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codeName="ThisWorkbook"/>
  <mc:AlternateContent xmlns:mc="http://schemas.openxmlformats.org/markup-compatibility/2006">
    <mc:Choice Requires="x15">
      <x15ac:absPath xmlns:x15ac="http://schemas.microsoft.com/office/spreadsheetml/2010/11/ac" url="I:\.shortcut-targets-by-id\1TLkPxhF_a9qKF0esNe9-_JXIEcPOBfxL\00 Streamline\02_Clients\Autoflight\01 Tasks\20230501 ASWING Model - 4-1-13\"/>
    </mc:Choice>
  </mc:AlternateContent>
  <xr:revisionPtr revIDLastSave="0" documentId="13_ncr:1_{BC785A5E-B146-4D7D-9CF1-155947F342A0}" xr6:coauthVersionLast="47" xr6:coauthVersionMax="47" xr10:uidLastSave="{00000000-0000-0000-0000-000000000000}"/>
  <bookViews>
    <workbookView xWindow="-28920" yWindow="-120" windowWidth="29040" windowHeight="15840" tabRatio="856" activeTab="11" xr2:uid="{00000000-000D-0000-FFFF-FFFF00000000}"/>
  </bookViews>
  <sheets>
    <sheet name="Revisions" sheetId="35" r:id="rId1"/>
    <sheet name="Prosperity Reference" sheetId="34" r:id="rId2"/>
    <sheet name="Inputs" sheetId="46" r:id="rId3"/>
    <sheet name="Inputs-Imperial" sheetId="1" state="hidden" r:id="rId4"/>
    <sheet name="Loads" sheetId="6" state="hidden" r:id="rId5"/>
    <sheet name="Sizing" sheetId="14" state="hidden" r:id="rId6"/>
    <sheet name="Laminate Zones" sheetId="16" state="hidden" r:id="rId7"/>
    <sheet name="Weight " sheetId="15" state="hidden" r:id="rId8"/>
    <sheet name="Stiffness" sheetId="38" state="hidden" r:id="rId9"/>
    <sheet name="CANARD AERO" sheetId="47" r:id="rId10"/>
    <sheet name="Trapezoidal Wing Summary" sheetId="40" r:id="rId11"/>
    <sheet name="CANARD STRUCT" sheetId="45" r:id="rId12"/>
    <sheet name="REF - ASWING AERO-Imperial" sheetId="44" state="hidden" r:id="rId13"/>
    <sheet name="REF - ASWING STRUCT-Imperial" sheetId="43" state="hidden" r:id="rId14"/>
    <sheet name="REF - Materials" sheetId="4" state="hidden" r:id="rId15"/>
    <sheet name="REF - Shear Buckling" sheetId="20" state="hidden" r:id="rId16"/>
    <sheet name="REF - ASWING Input" sheetId="36" state="hidden" r:id="rId17"/>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1" l="1"/>
  <c r="F1" i="45"/>
  <c r="F2" i="45"/>
  <c r="F3" i="45"/>
  <c r="F12" i="45"/>
  <c r="F13" i="45"/>
  <c r="AM46" i="40"/>
  <c r="AN46" i="40"/>
  <c r="AO46" i="40"/>
  <c r="AP46" i="40"/>
  <c r="AQ46" i="40"/>
  <c r="AR46" i="40"/>
  <c r="AM47" i="40"/>
  <c r="AN47" i="40"/>
  <c r="AO47" i="40"/>
  <c r="AP47" i="40"/>
  <c r="AQ47" i="40"/>
  <c r="AR47" i="40"/>
  <c r="AM48" i="40"/>
  <c r="AN48" i="40"/>
  <c r="AO48" i="40"/>
  <c r="AP48" i="40"/>
  <c r="AQ48" i="40"/>
  <c r="AR48" i="40"/>
  <c r="AM49" i="40"/>
  <c r="AN49" i="40"/>
  <c r="AO49" i="40"/>
  <c r="AP49" i="40"/>
  <c r="AQ49" i="40"/>
  <c r="AR49" i="40"/>
  <c r="AM50" i="40"/>
  <c r="AN50" i="40"/>
  <c r="AO50" i="40"/>
  <c r="AP50" i="40"/>
  <c r="AQ50" i="40"/>
  <c r="AR50" i="40"/>
  <c r="AM51" i="40"/>
  <c r="AN51" i="40"/>
  <c r="AO51" i="40"/>
  <c r="AP51" i="40"/>
  <c r="AQ51" i="40"/>
  <c r="AR51" i="40"/>
  <c r="AM52" i="40"/>
  <c r="AN52" i="40"/>
  <c r="AO52" i="40"/>
  <c r="AP52" i="40"/>
  <c r="AQ52" i="40"/>
  <c r="AR52" i="40"/>
  <c r="AM53" i="40"/>
  <c r="AN53" i="40"/>
  <c r="AO53" i="40"/>
  <c r="AP53" i="40"/>
  <c r="AQ53" i="40"/>
  <c r="AR53" i="40"/>
  <c r="AM54" i="40"/>
  <c r="AN54" i="40"/>
  <c r="AO54" i="40"/>
  <c r="AP54" i="40"/>
  <c r="AQ54" i="40"/>
  <c r="AR54" i="40"/>
  <c r="AM55" i="40"/>
  <c r="AN55" i="40"/>
  <c r="AO55" i="40"/>
  <c r="AP55" i="40"/>
  <c r="AQ55" i="40"/>
  <c r="AR55" i="40"/>
  <c r="AM56" i="40"/>
  <c r="AN56" i="40"/>
  <c r="AO56" i="40"/>
  <c r="AP56" i="40"/>
  <c r="AQ56" i="40"/>
  <c r="AR56" i="40"/>
  <c r="AM57" i="40"/>
  <c r="AN57" i="40"/>
  <c r="AO57" i="40"/>
  <c r="AP57" i="40"/>
  <c r="AQ57" i="40"/>
  <c r="AR57" i="40"/>
  <c r="AM58" i="40"/>
  <c r="AN58" i="40"/>
  <c r="AO58" i="40"/>
  <c r="AP58" i="40"/>
  <c r="AQ58" i="40"/>
  <c r="AR58" i="40"/>
  <c r="AM59" i="40"/>
  <c r="AN59" i="40"/>
  <c r="AO59" i="40"/>
  <c r="AP59" i="40"/>
  <c r="AQ59" i="40"/>
  <c r="AR59" i="40"/>
  <c r="AM60" i="40"/>
  <c r="AN60" i="40"/>
  <c r="AO60" i="40"/>
  <c r="AP60" i="40"/>
  <c r="AQ60" i="40"/>
  <c r="AR60" i="40"/>
  <c r="AM61" i="40"/>
  <c r="AN61" i="40"/>
  <c r="AO61" i="40"/>
  <c r="AP61" i="40"/>
  <c r="AQ61" i="40"/>
  <c r="AR61" i="40"/>
  <c r="AM62" i="40"/>
  <c r="AN62" i="40"/>
  <c r="AO62" i="40"/>
  <c r="AP62" i="40"/>
  <c r="AQ62" i="40"/>
  <c r="AR62" i="40"/>
  <c r="AM63" i="40"/>
  <c r="AN63" i="40"/>
  <c r="AO63" i="40"/>
  <c r="AP63" i="40"/>
  <c r="AQ63" i="40"/>
  <c r="AR63" i="40"/>
  <c r="AM64" i="40"/>
  <c r="AN64" i="40"/>
  <c r="AO64" i="40"/>
  <c r="AP64" i="40"/>
  <c r="AQ64" i="40"/>
  <c r="AR64" i="40"/>
  <c r="AM65" i="40"/>
  <c r="AN65" i="40"/>
  <c r="AO65" i="40"/>
  <c r="AP65" i="40"/>
  <c r="AQ65" i="40"/>
  <c r="AR65" i="40"/>
  <c r="AM66" i="40"/>
  <c r="AN66" i="40"/>
  <c r="AO66" i="40"/>
  <c r="AP66" i="40"/>
  <c r="AQ66" i="40"/>
  <c r="AR66" i="40"/>
  <c r="AM67" i="40"/>
  <c r="AN67" i="40"/>
  <c r="AO67" i="40"/>
  <c r="AP67" i="40"/>
  <c r="AQ67" i="40"/>
  <c r="AR67" i="40"/>
  <c r="AM68" i="40"/>
  <c r="AN68" i="40"/>
  <c r="AO68" i="40"/>
  <c r="AP68" i="40"/>
  <c r="AQ68" i="40"/>
  <c r="AR68" i="40"/>
  <c r="AM69" i="40"/>
  <c r="AN69" i="40"/>
  <c r="AO69" i="40"/>
  <c r="AP69" i="40"/>
  <c r="AQ69" i="40"/>
  <c r="AR69" i="40"/>
  <c r="AM70" i="40"/>
  <c r="AN70" i="40"/>
  <c r="AO70" i="40"/>
  <c r="AP70" i="40"/>
  <c r="AQ70" i="40"/>
  <c r="AR70" i="40"/>
  <c r="AM71" i="40"/>
  <c r="AN71" i="40"/>
  <c r="AO71" i="40"/>
  <c r="AP71" i="40"/>
  <c r="AQ71" i="40"/>
  <c r="AR71" i="40"/>
  <c r="AM72" i="40"/>
  <c r="AN72" i="40"/>
  <c r="AO72" i="40"/>
  <c r="AP72" i="40"/>
  <c r="AQ72" i="40"/>
  <c r="AR72" i="40"/>
  <c r="AM73" i="40"/>
  <c r="AN73" i="40"/>
  <c r="AO73" i="40"/>
  <c r="AP73" i="40"/>
  <c r="AQ73" i="40"/>
  <c r="AR73" i="40"/>
  <c r="AM74" i="40"/>
  <c r="AN74" i="40"/>
  <c r="AO74" i="40"/>
  <c r="AP74" i="40"/>
  <c r="AQ74" i="40"/>
  <c r="AR74" i="40"/>
  <c r="AM75" i="40"/>
  <c r="AN75" i="40"/>
  <c r="AO75" i="40"/>
  <c r="AP75" i="40"/>
  <c r="AQ75" i="40"/>
  <c r="AR75" i="40"/>
  <c r="AM76" i="40"/>
  <c r="AN76" i="40"/>
  <c r="AO76" i="40"/>
  <c r="AP76" i="40"/>
  <c r="AQ76" i="40"/>
  <c r="AR76" i="40"/>
  <c r="AM77" i="40"/>
  <c r="AN77" i="40"/>
  <c r="AO77" i="40"/>
  <c r="AP77" i="40"/>
  <c r="AQ77" i="40"/>
  <c r="AR77" i="40"/>
  <c r="AM78" i="40"/>
  <c r="AN78" i="40"/>
  <c r="AO78" i="40"/>
  <c r="AP78" i="40"/>
  <c r="AQ78" i="40"/>
  <c r="AR78" i="40"/>
  <c r="AM79" i="40"/>
  <c r="AN79" i="40"/>
  <c r="AO79" i="40"/>
  <c r="AP79" i="40"/>
  <c r="AQ79" i="40"/>
  <c r="AR79" i="40"/>
  <c r="AM80" i="40"/>
  <c r="AN80" i="40"/>
  <c r="AO80" i="40"/>
  <c r="AP80" i="40"/>
  <c r="AQ80" i="40"/>
  <c r="AR80" i="40"/>
  <c r="AM81" i="40"/>
  <c r="AN81" i="40"/>
  <c r="AO81" i="40"/>
  <c r="AP81" i="40"/>
  <c r="AQ81" i="40"/>
  <c r="AR81" i="40"/>
  <c r="AM82" i="40"/>
  <c r="AN82" i="40"/>
  <c r="AO82" i="40"/>
  <c r="AP82" i="40"/>
  <c r="AQ82" i="40"/>
  <c r="AR82" i="40"/>
  <c r="AM83" i="40"/>
  <c r="AN83" i="40"/>
  <c r="AO83" i="40"/>
  <c r="AP83" i="40"/>
  <c r="AQ83" i="40"/>
  <c r="AR83" i="40"/>
  <c r="AM84" i="40"/>
  <c r="AN84" i="40"/>
  <c r="AO84" i="40"/>
  <c r="AP84" i="40"/>
  <c r="AQ84" i="40"/>
  <c r="AR84" i="40"/>
  <c r="AM85" i="40"/>
  <c r="AN85" i="40"/>
  <c r="AO85" i="40"/>
  <c r="AP85" i="40"/>
  <c r="AQ85" i="40"/>
  <c r="AR85" i="40"/>
  <c r="AM86" i="40"/>
  <c r="AN86" i="40"/>
  <c r="AO86" i="40"/>
  <c r="AP86" i="40"/>
  <c r="AQ86" i="40"/>
  <c r="AR86" i="40"/>
  <c r="AM87" i="40"/>
  <c r="AN87" i="40"/>
  <c r="AO87" i="40"/>
  <c r="AP87" i="40"/>
  <c r="AQ87" i="40"/>
  <c r="AR87" i="40"/>
  <c r="AM88" i="40"/>
  <c r="AN88" i="40"/>
  <c r="AO88" i="40"/>
  <c r="AP88" i="40"/>
  <c r="AQ88" i="40"/>
  <c r="AR88" i="40"/>
  <c r="AM89" i="40"/>
  <c r="AN89" i="40"/>
  <c r="AO89" i="40"/>
  <c r="AP89" i="40"/>
  <c r="AQ89" i="40"/>
  <c r="AR89" i="40"/>
  <c r="AM90" i="40"/>
  <c r="AN90" i="40"/>
  <c r="AO90" i="40"/>
  <c r="AP90" i="40"/>
  <c r="AQ90" i="40"/>
  <c r="AR90" i="40"/>
  <c r="AM91" i="40"/>
  <c r="AN91" i="40"/>
  <c r="AO91" i="40"/>
  <c r="AP91" i="40"/>
  <c r="AQ91" i="40"/>
  <c r="AR91" i="40"/>
  <c r="AM92" i="40"/>
  <c r="AN92" i="40"/>
  <c r="AO92" i="40"/>
  <c r="AP92" i="40"/>
  <c r="AQ92" i="40"/>
  <c r="AR92" i="40"/>
  <c r="AM93" i="40"/>
  <c r="AN93" i="40"/>
  <c r="AO93" i="40"/>
  <c r="AP93" i="40"/>
  <c r="AQ93" i="40"/>
  <c r="AR93" i="40"/>
  <c r="AM94" i="40"/>
  <c r="AN94" i="40"/>
  <c r="AO94" i="40"/>
  <c r="AP94" i="40"/>
  <c r="AQ94" i="40"/>
  <c r="AR94" i="40"/>
  <c r="AM95" i="40"/>
  <c r="AN95" i="40"/>
  <c r="AO95" i="40"/>
  <c r="AP95" i="40"/>
  <c r="AQ95" i="40"/>
  <c r="AR95" i="40"/>
  <c r="AM96" i="40"/>
  <c r="AN96" i="40"/>
  <c r="AO96" i="40"/>
  <c r="AP96" i="40"/>
  <c r="AQ96" i="40"/>
  <c r="AR96" i="40"/>
  <c r="AM97" i="40"/>
  <c r="AN97" i="40"/>
  <c r="AO97" i="40"/>
  <c r="AP97" i="40"/>
  <c r="AQ97" i="40"/>
  <c r="AR97" i="40"/>
  <c r="AM98" i="40"/>
  <c r="AN98" i="40"/>
  <c r="AO98" i="40"/>
  <c r="AP98" i="40"/>
  <c r="AQ98" i="40"/>
  <c r="AR98" i="40"/>
  <c r="AM99" i="40"/>
  <c r="AN99" i="40"/>
  <c r="AO99" i="40"/>
  <c r="AP99" i="40"/>
  <c r="AQ99" i="40"/>
  <c r="AR99" i="40"/>
  <c r="AM100" i="40"/>
  <c r="AN100" i="40"/>
  <c r="AO100" i="40"/>
  <c r="AP100" i="40"/>
  <c r="AQ100" i="40"/>
  <c r="AR100" i="40"/>
  <c r="AM101" i="40"/>
  <c r="AN101" i="40"/>
  <c r="AO101" i="40"/>
  <c r="AP101" i="40"/>
  <c r="AQ101" i="40"/>
  <c r="AR101" i="40"/>
  <c r="AM102" i="40"/>
  <c r="AN102" i="40"/>
  <c r="AO102" i="40"/>
  <c r="AP102" i="40"/>
  <c r="AQ102" i="40"/>
  <c r="AR102" i="40"/>
  <c r="AM103" i="40"/>
  <c r="AN103" i="40"/>
  <c r="AO103" i="40"/>
  <c r="AP103" i="40"/>
  <c r="AQ103" i="40"/>
  <c r="AR103" i="40"/>
  <c r="AM104" i="40"/>
  <c r="AN104" i="40"/>
  <c r="AO104" i="40"/>
  <c r="AP104" i="40"/>
  <c r="AQ104" i="40"/>
  <c r="AR104" i="40"/>
  <c r="AM105" i="40"/>
  <c r="AN105" i="40"/>
  <c r="AO105" i="40"/>
  <c r="AP105" i="40"/>
  <c r="AQ105" i="40"/>
  <c r="AR105" i="40"/>
  <c r="AM106" i="40"/>
  <c r="AN106" i="40"/>
  <c r="AO106" i="40"/>
  <c r="AP106" i="40"/>
  <c r="AQ106" i="40"/>
  <c r="AR106" i="40"/>
  <c r="AM107" i="40"/>
  <c r="AN107" i="40"/>
  <c r="AO107" i="40"/>
  <c r="AP107" i="40"/>
  <c r="AQ107" i="40"/>
  <c r="AR107" i="40"/>
  <c r="AM108" i="40"/>
  <c r="AN108" i="40"/>
  <c r="AO108" i="40"/>
  <c r="AP108" i="40"/>
  <c r="AQ108" i="40"/>
  <c r="AR108" i="40"/>
  <c r="AM109" i="40"/>
  <c r="AN109" i="40"/>
  <c r="AO109" i="40"/>
  <c r="AP109" i="40"/>
  <c r="AQ109" i="40"/>
  <c r="AR109" i="40"/>
  <c r="AM110" i="40"/>
  <c r="AN110" i="40"/>
  <c r="AO110" i="40"/>
  <c r="AP110" i="40"/>
  <c r="AQ110" i="40"/>
  <c r="AR110" i="40"/>
  <c r="AM111" i="40"/>
  <c r="AN111" i="40"/>
  <c r="AO111" i="40"/>
  <c r="AP111" i="40"/>
  <c r="AQ111" i="40"/>
  <c r="AR111" i="40"/>
  <c r="AM112" i="40"/>
  <c r="AN112" i="40"/>
  <c r="AO112" i="40"/>
  <c r="AP112" i="40"/>
  <c r="AQ112" i="40"/>
  <c r="AR112" i="40"/>
  <c r="AM113" i="40"/>
  <c r="AN113" i="40"/>
  <c r="AO113" i="40"/>
  <c r="AP113" i="40"/>
  <c r="AQ113" i="40"/>
  <c r="AR113" i="40"/>
  <c r="AM114" i="40"/>
  <c r="AN114" i="40"/>
  <c r="AO114" i="40"/>
  <c r="AP114" i="40"/>
  <c r="AQ114" i="40"/>
  <c r="AR114" i="40"/>
  <c r="AM115" i="40"/>
  <c r="AN115" i="40"/>
  <c r="AO115" i="40"/>
  <c r="AP115" i="40"/>
  <c r="AQ115" i="40"/>
  <c r="AR115" i="40"/>
  <c r="AM116" i="40"/>
  <c r="AN116" i="40"/>
  <c r="AO116" i="40"/>
  <c r="AP116" i="40"/>
  <c r="AQ116" i="40"/>
  <c r="AR116" i="40"/>
  <c r="AM117" i="40"/>
  <c r="AN117" i="40"/>
  <c r="AO117" i="40"/>
  <c r="AP117" i="40"/>
  <c r="AQ117" i="40"/>
  <c r="AR117" i="40"/>
  <c r="AM118" i="40"/>
  <c r="AN118" i="40"/>
  <c r="AO118" i="40"/>
  <c r="AP118" i="40"/>
  <c r="AQ118" i="40"/>
  <c r="AR118" i="40"/>
  <c r="AM119" i="40"/>
  <c r="AN119" i="40"/>
  <c r="AO119" i="40"/>
  <c r="AP119" i="40"/>
  <c r="AQ119" i="40"/>
  <c r="AR119" i="40"/>
  <c r="AM120" i="40"/>
  <c r="AN120" i="40"/>
  <c r="AO120" i="40"/>
  <c r="AP120" i="40"/>
  <c r="AQ120" i="40"/>
  <c r="AR120" i="40"/>
  <c r="AM121" i="40"/>
  <c r="AN121" i="40"/>
  <c r="AO121" i="40"/>
  <c r="AP121" i="40"/>
  <c r="AQ121" i="40"/>
  <c r="AR121" i="40"/>
  <c r="AM122" i="40"/>
  <c r="AN122" i="40"/>
  <c r="AO122" i="40"/>
  <c r="AP122" i="40"/>
  <c r="AQ122" i="40"/>
  <c r="AR122" i="40"/>
  <c r="AM123" i="40"/>
  <c r="AN123" i="40"/>
  <c r="AO123" i="40"/>
  <c r="AP123" i="40"/>
  <c r="AQ123" i="40"/>
  <c r="AR123" i="40"/>
  <c r="AM124" i="40"/>
  <c r="AN124" i="40"/>
  <c r="AO124" i="40"/>
  <c r="AP124" i="40"/>
  <c r="AQ124" i="40"/>
  <c r="AR124" i="40"/>
  <c r="AM125" i="40"/>
  <c r="AN125" i="40"/>
  <c r="AO125" i="40"/>
  <c r="AP125" i="40"/>
  <c r="AQ125" i="40"/>
  <c r="AR125" i="40"/>
  <c r="AM126" i="40"/>
  <c r="AN126" i="40"/>
  <c r="AO126" i="40"/>
  <c r="AP126" i="40"/>
  <c r="AQ126" i="40"/>
  <c r="AR126" i="40"/>
  <c r="AM127" i="40"/>
  <c r="AN127" i="40"/>
  <c r="AO127" i="40"/>
  <c r="AP127" i="40"/>
  <c r="AQ127" i="40"/>
  <c r="AR127" i="40"/>
  <c r="AM128" i="40"/>
  <c r="AN128" i="40"/>
  <c r="AO128" i="40"/>
  <c r="AP128" i="40"/>
  <c r="AQ128" i="40"/>
  <c r="AR128" i="40"/>
  <c r="AM129" i="40"/>
  <c r="AN129" i="40"/>
  <c r="AO129" i="40"/>
  <c r="AP129" i="40"/>
  <c r="AQ129" i="40"/>
  <c r="AR129" i="40"/>
  <c r="AM130" i="40"/>
  <c r="AN130" i="40"/>
  <c r="AO130" i="40"/>
  <c r="AP130" i="40"/>
  <c r="AQ130" i="40"/>
  <c r="AR130" i="40"/>
  <c r="AM131" i="40"/>
  <c r="AN131" i="40"/>
  <c r="AO131" i="40"/>
  <c r="AP131" i="40"/>
  <c r="AQ131" i="40"/>
  <c r="AR131" i="40"/>
  <c r="AM132" i="40"/>
  <c r="AN132" i="40"/>
  <c r="AO132" i="40"/>
  <c r="AP132" i="40"/>
  <c r="AQ132" i="40"/>
  <c r="AR132" i="40"/>
  <c r="AM133" i="40"/>
  <c r="AN133" i="40"/>
  <c r="AO133" i="40"/>
  <c r="AP133" i="40"/>
  <c r="AQ133" i="40"/>
  <c r="AR133" i="40"/>
  <c r="AM134" i="40"/>
  <c r="AN134" i="40"/>
  <c r="AO134" i="40"/>
  <c r="AP134" i="40"/>
  <c r="AQ134" i="40"/>
  <c r="AR134" i="40"/>
  <c r="AM135" i="40"/>
  <c r="AN135" i="40"/>
  <c r="AO135" i="40"/>
  <c r="AP135" i="40"/>
  <c r="AQ135" i="40"/>
  <c r="AR135" i="40"/>
  <c r="AM136" i="40"/>
  <c r="AN136" i="40"/>
  <c r="AO136" i="40"/>
  <c r="AP136" i="40"/>
  <c r="AQ136" i="40"/>
  <c r="AR136" i="40"/>
  <c r="AM137" i="40"/>
  <c r="AN137" i="40"/>
  <c r="AO137" i="40"/>
  <c r="AP137" i="40"/>
  <c r="AQ137" i="40"/>
  <c r="AR137" i="40"/>
  <c r="AM138" i="40"/>
  <c r="AN138" i="40"/>
  <c r="AO138" i="40"/>
  <c r="AP138" i="40"/>
  <c r="AQ138" i="40"/>
  <c r="AR138" i="40"/>
  <c r="AM139" i="40"/>
  <c r="AN139" i="40"/>
  <c r="AO139" i="40"/>
  <c r="AP139" i="40"/>
  <c r="AQ139" i="40"/>
  <c r="AR139" i="40"/>
  <c r="AM140" i="40"/>
  <c r="AN140" i="40"/>
  <c r="AO140" i="40"/>
  <c r="AP140" i="40"/>
  <c r="AQ140" i="40"/>
  <c r="AR140" i="40"/>
  <c r="AM141" i="40"/>
  <c r="AN141" i="40"/>
  <c r="AO141" i="40"/>
  <c r="AP141" i="40"/>
  <c r="AQ141" i="40"/>
  <c r="AR141" i="40"/>
  <c r="AM142" i="40"/>
  <c r="AN142" i="40"/>
  <c r="AO142" i="40"/>
  <c r="AP142" i="40"/>
  <c r="AQ142" i="40"/>
  <c r="AR142" i="40"/>
  <c r="AM143" i="40"/>
  <c r="AN143" i="40"/>
  <c r="AO143" i="40"/>
  <c r="AP143" i="40"/>
  <c r="AQ143" i="40"/>
  <c r="AR143" i="40"/>
  <c r="AM144" i="40"/>
  <c r="AN144" i="40"/>
  <c r="AO144" i="40"/>
  <c r="AO145" i="40" s="1"/>
  <c r="AP144" i="40"/>
  <c r="AQ144" i="40"/>
  <c r="AR144" i="40"/>
  <c r="AR45" i="40"/>
  <c r="AQ45" i="40"/>
  <c r="AP45" i="40"/>
  <c r="AO45" i="40"/>
  <c r="AM45" i="40"/>
  <c r="AN45" i="40"/>
  <c r="E10" i="46"/>
  <c r="E9" i="46"/>
  <c r="E5" i="46"/>
  <c r="E2" i="46"/>
  <c r="K2" i="47"/>
  <c r="H2" i="47"/>
  <c r="E2" i="47"/>
  <c r="AR145" i="40" l="1"/>
  <c r="BD34" i="44"/>
  <c r="BC34" i="44"/>
  <c r="BB34" i="44"/>
  <c r="BA34" i="44"/>
  <c r="AZ34" i="44"/>
  <c r="AY34" i="44"/>
  <c r="AX34" i="44"/>
  <c r="AW34" i="44"/>
  <c r="AV34" i="44"/>
  <c r="AU34" i="44"/>
  <c r="AT34" i="44"/>
  <c r="AS34" i="44"/>
  <c r="AR34" i="44"/>
  <c r="BD33" i="44"/>
  <c r="BC33" i="44"/>
  <c r="BB33" i="44"/>
  <c r="BA33" i="44"/>
  <c r="AZ33" i="44"/>
  <c r="AY33" i="44"/>
  <c r="AX33" i="44"/>
  <c r="AW33" i="44"/>
  <c r="AV33" i="44"/>
  <c r="AU33" i="44"/>
  <c r="AT33" i="44"/>
  <c r="AS33" i="44"/>
  <c r="AR33" i="44"/>
  <c r="BD32" i="44"/>
  <c r="BC32" i="44"/>
  <c r="BB32" i="44"/>
  <c r="BA32" i="44"/>
  <c r="AZ32" i="44"/>
  <c r="AY32" i="44"/>
  <c r="AX32" i="44"/>
  <c r="AW32" i="44"/>
  <c r="AV32" i="44"/>
  <c r="AU32" i="44"/>
  <c r="AT32" i="44"/>
  <c r="AS32" i="44"/>
  <c r="AR32" i="44"/>
  <c r="BD31" i="44"/>
  <c r="BC31" i="44"/>
  <c r="BB31" i="44"/>
  <c r="BA31" i="44"/>
  <c r="AZ31" i="44"/>
  <c r="AY31" i="44"/>
  <c r="AX31" i="44"/>
  <c r="AW31" i="44"/>
  <c r="AV31" i="44"/>
  <c r="AU31" i="44"/>
  <c r="AT31" i="44"/>
  <c r="AS31" i="44"/>
  <c r="AR31" i="44"/>
  <c r="BD30" i="44"/>
  <c r="BC30" i="44"/>
  <c r="BB30" i="44"/>
  <c r="BA30" i="44"/>
  <c r="AZ30" i="44"/>
  <c r="AY30" i="44"/>
  <c r="AX30" i="44"/>
  <c r="AW30" i="44"/>
  <c r="AV30" i="44"/>
  <c r="AU30" i="44"/>
  <c r="AT30" i="44"/>
  <c r="AS30" i="44"/>
  <c r="AR30" i="44"/>
  <c r="BD29" i="44"/>
  <c r="BC29" i="44"/>
  <c r="BB29" i="44"/>
  <c r="BA29" i="44"/>
  <c r="AZ29" i="44"/>
  <c r="AY29" i="44"/>
  <c r="AX29" i="44"/>
  <c r="AW29" i="44"/>
  <c r="AV29" i="44"/>
  <c r="AU29" i="44"/>
  <c r="AT29" i="44"/>
  <c r="AS29" i="44"/>
  <c r="AR29" i="44"/>
  <c r="BD28" i="44"/>
  <c r="BC28" i="44"/>
  <c r="BB28" i="44"/>
  <c r="BA28" i="44"/>
  <c r="AZ28" i="44"/>
  <c r="AY28" i="44"/>
  <c r="AX28" i="44"/>
  <c r="AW28" i="44"/>
  <c r="AV28" i="44"/>
  <c r="AU28" i="44"/>
  <c r="AT28" i="44"/>
  <c r="AS28" i="44"/>
  <c r="AR28" i="44"/>
  <c r="BD27" i="44"/>
  <c r="BC27" i="44"/>
  <c r="BB27" i="44"/>
  <c r="BA27" i="44"/>
  <c r="AZ27" i="44"/>
  <c r="AY27" i="44"/>
  <c r="AX27" i="44"/>
  <c r="AW27" i="44"/>
  <c r="AV27" i="44"/>
  <c r="AU27" i="44"/>
  <c r="AT27" i="44"/>
  <c r="AS27" i="44"/>
  <c r="AR27" i="44"/>
  <c r="AW26" i="44"/>
  <c r="AE26" i="44"/>
  <c r="C12" i="6"/>
  <c r="C13" i="6"/>
  <c r="B13" i="6"/>
  <c r="B12" i="6"/>
  <c r="AG26" i="44"/>
  <c r="AH26" i="44"/>
  <c r="AI26" i="44"/>
  <c r="AJ26" i="44"/>
  <c r="AL26" i="44"/>
  <c r="AE27" i="44"/>
  <c r="AF27" i="44"/>
  <c r="AG27" i="44"/>
  <c r="AH27" i="44"/>
  <c r="AI27" i="44"/>
  <c r="AJ27" i="44"/>
  <c r="AK27" i="44"/>
  <c r="AL27" i="44"/>
  <c r="AM27" i="44"/>
  <c r="AN27" i="44"/>
  <c r="AO27" i="44"/>
  <c r="AP27" i="44"/>
  <c r="AQ27" i="44"/>
  <c r="AE28" i="44"/>
  <c r="AF28" i="44"/>
  <c r="AG28" i="44"/>
  <c r="AH28" i="44"/>
  <c r="AI28" i="44"/>
  <c r="AJ28" i="44"/>
  <c r="AK28" i="44"/>
  <c r="AL28" i="44"/>
  <c r="AM28" i="44"/>
  <c r="AN28" i="44"/>
  <c r="AO28" i="44"/>
  <c r="AP28" i="44"/>
  <c r="AQ28" i="44"/>
  <c r="AE29" i="44"/>
  <c r="AF29" i="44"/>
  <c r="AG29" i="44"/>
  <c r="AH29" i="44"/>
  <c r="AI29" i="44"/>
  <c r="AJ29" i="44"/>
  <c r="AK29" i="44"/>
  <c r="AL29" i="44"/>
  <c r="AM29" i="44"/>
  <c r="AN29" i="44"/>
  <c r="AO29" i="44"/>
  <c r="AP29" i="44"/>
  <c r="AQ29" i="44"/>
  <c r="AE30" i="44"/>
  <c r="AF30" i="44"/>
  <c r="AG30" i="44"/>
  <c r="AH30" i="44"/>
  <c r="AI30" i="44"/>
  <c r="AJ30" i="44"/>
  <c r="AK30" i="44"/>
  <c r="AL30" i="44"/>
  <c r="AM30" i="44"/>
  <c r="AN30" i="44"/>
  <c r="AO30" i="44"/>
  <c r="AP30" i="44"/>
  <c r="AQ30" i="44"/>
  <c r="AE31" i="44"/>
  <c r="AF31" i="44"/>
  <c r="AG31" i="44"/>
  <c r="AH31" i="44"/>
  <c r="AI31" i="44"/>
  <c r="AJ31" i="44"/>
  <c r="AK31" i="44"/>
  <c r="AL31" i="44"/>
  <c r="AM31" i="44"/>
  <c r="AN31" i="44"/>
  <c r="AO31" i="44"/>
  <c r="AP31" i="44"/>
  <c r="AQ31" i="44"/>
  <c r="AE32" i="44"/>
  <c r="AF32" i="44"/>
  <c r="AG32" i="44"/>
  <c r="AH32" i="44"/>
  <c r="AI32" i="44"/>
  <c r="AJ32" i="44"/>
  <c r="AK32" i="44"/>
  <c r="AL32" i="44"/>
  <c r="AM32" i="44"/>
  <c r="AN32" i="44"/>
  <c r="AO32" i="44"/>
  <c r="AP32" i="44"/>
  <c r="AQ32" i="44"/>
  <c r="AE33" i="44"/>
  <c r="AF33" i="44"/>
  <c r="AG33" i="44"/>
  <c r="AH33" i="44"/>
  <c r="AI33" i="44"/>
  <c r="AJ33" i="44"/>
  <c r="AK33" i="44"/>
  <c r="AL33" i="44"/>
  <c r="AM33" i="44"/>
  <c r="AN33" i="44"/>
  <c r="AO33" i="44"/>
  <c r="AP33" i="44"/>
  <c r="AQ33" i="44"/>
  <c r="AE34" i="44"/>
  <c r="AF34" i="44"/>
  <c r="AG34" i="44"/>
  <c r="AH34" i="44"/>
  <c r="AI34" i="44"/>
  <c r="AJ34" i="44"/>
  <c r="AK34" i="44"/>
  <c r="AL34" i="44"/>
  <c r="AM34" i="44"/>
  <c r="AN34" i="44"/>
  <c r="AO34" i="44"/>
  <c r="AP34" i="44"/>
  <c r="AQ34" i="44"/>
  <c r="O31" i="44"/>
  <c r="P31" i="44"/>
  <c r="Q31" i="44"/>
  <c r="R31" i="44"/>
  <c r="S31" i="44"/>
  <c r="T31" i="44"/>
  <c r="U31" i="44"/>
  <c r="V31" i="44"/>
  <c r="W31" i="44"/>
  <c r="X31" i="44"/>
  <c r="Y31" i="44"/>
  <c r="Z31" i="44"/>
  <c r="AA31" i="44"/>
  <c r="AB31" i="44"/>
  <c r="AC31" i="44"/>
  <c r="AD31" i="44"/>
  <c r="O32" i="44"/>
  <c r="P32" i="44"/>
  <c r="Q32" i="44"/>
  <c r="R32" i="44"/>
  <c r="S32" i="44"/>
  <c r="T32" i="44"/>
  <c r="U32" i="44"/>
  <c r="V32" i="44"/>
  <c r="W32" i="44"/>
  <c r="X32" i="44"/>
  <c r="Y32" i="44"/>
  <c r="Z32" i="44"/>
  <c r="AA32" i="44"/>
  <c r="AB32" i="44"/>
  <c r="AC32" i="44"/>
  <c r="AD32" i="44"/>
  <c r="O33" i="44"/>
  <c r="P33" i="44"/>
  <c r="Q33" i="44"/>
  <c r="R33" i="44"/>
  <c r="S33" i="44"/>
  <c r="T33" i="44"/>
  <c r="U33" i="44"/>
  <c r="V33" i="44"/>
  <c r="W33" i="44"/>
  <c r="X33" i="44"/>
  <c r="Y33" i="44"/>
  <c r="Z33" i="44"/>
  <c r="AA33" i="44"/>
  <c r="AB33" i="44"/>
  <c r="AC33" i="44"/>
  <c r="AD33" i="44"/>
  <c r="O34" i="44"/>
  <c r="P34" i="44"/>
  <c r="Q34" i="44"/>
  <c r="R34" i="44"/>
  <c r="S34" i="44"/>
  <c r="T34" i="44"/>
  <c r="U34" i="44"/>
  <c r="V34" i="44"/>
  <c r="W34" i="44"/>
  <c r="X34" i="44"/>
  <c r="Y34" i="44"/>
  <c r="Z34" i="44"/>
  <c r="AA34" i="44"/>
  <c r="AB34" i="44"/>
  <c r="AC34" i="44"/>
  <c r="AD34" i="44"/>
  <c r="E22" i="1"/>
  <c r="AM26" i="44" l="1"/>
  <c r="C55" i="34"/>
  <c r="E11" i="34"/>
  <c r="E10" i="34"/>
  <c r="E9" i="34"/>
  <c r="AF26" i="44" l="1"/>
  <c r="AT26" i="44"/>
  <c r="AU26" i="44"/>
  <c r="AY26" i="44"/>
  <c r="AZ26" i="44"/>
  <c r="AR26" i="44"/>
  <c r="AS26" i="44"/>
  <c r="AR22" i="44" l="1"/>
  <c r="AE22" i="44"/>
  <c r="O22" i="44"/>
  <c r="A22" i="44"/>
  <c r="E28" i="1" l="1"/>
  <c r="E26" i="1"/>
  <c r="E25" i="1"/>
  <c r="E24" i="1"/>
  <c r="E21" i="1"/>
  <c r="E20" i="1"/>
  <c r="GH60" i="43"/>
  <c r="GG60" i="43"/>
  <c r="GF60" i="43"/>
  <c r="GE60" i="43"/>
  <c r="GD60" i="43"/>
  <c r="GC60" i="43"/>
  <c r="GB60" i="43"/>
  <c r="GA60" i="43"/>
  <c r="FZ60" i="43"/>
  <c r="GH59" i="43"/>
  <c r="GG59" i="43"/>
  <c r="GF59" i="43"/>
  <c r="GE59" i="43"/>
  <c r="GD59" i="43"/>
  <c r="GC59" i="43"/>
  <c r="GB59" i="43"/>
  <c r="GA59" i="43"/>
  <c r="FZ59" i="43"/>
  <c r="GH58" i="43"/>
  <c r="GG58" i="43"/>
  <c r="GF58" i="43"/>
  <c r="GE58" i="43"/>
  <c r="GD58" i="43"/>
  <c r="GC58" i="43"/>
  <c r="GB58" i="43"/>
  <c r="GA58" i="43"/>
  <c r="FZ58" i="43"/>
  <c r="GH57" i="43"/>
  <c r="GG57" i="43"/>
  <c r="GF57" i="43"/>
  <c r="GE57" i="43"/>
  <c r="GD57" i="43"/>
  <c r="GC57" i="43"/>
  <c r="GB57" i="43"/>
  <c r="GA57" i="43"/>
  <c r="FZ57" i="43"/>
  <c r="GH56" i="43"/>
  <c r="GG56" i="43"/>
  <c r="GF56" i="43"/>
  <c r="GE56" i="43"/>
  <c r="GD56" i="43"/>
  <c r="GC56" i="43"/>
  <c r="GB56" i="43"/>
  <c r="GA56" i="43"/>
  <c r="FZ56" i="43"/>
  <c r="GH55" i="43"/>
  <c r="GG55" i="43"/>
  <c r="GF55" i="43"/>
  <c r="GE55" i="43"/>
  <c r="GD55" i="43"/>
  <c r="GC55" i="43"/>
  <c r="GB55" i="43"/>
  <c r="GA55" i="43"/>
  <c r="FZ55" i="43"/>
  <c r="GH54" i="43"/>
  <c r="GG54" i="43"/>
  <c r="GF54" i="43"/>
  <c r="GE54" i="43"/>
  <c r="GD54" i="43"/>
  <c r="GC54" i="43"/>
  <c r="GB54" i="43"/>
  <c r="GA54" i="43"/>
  <c r="FZ54" i="43"/>
  <c r="GH53" i="43"/>
  <c r="GG53" i="43"/>
  <c r="GF53" i="43"/>
  <c r="GE53" i="43"/>
  <c r="GD53" i="43"/>
  <c r="GC53" i="43"/>
  <c r="GB53" i="43"/>
  <c r="GA53" i="43"/>
  <c r="FZ53" i="43"/>
  <c r="GH52" i="43"/>
  <c r="GG52" i="43"/>
  <c r="GF52" i="43"/>
  <c r="GE52" i="43"/>
  <c r="GD52" i="43"/>
  <c r="GC52" i="43"/>
  <c r="GB52" i="43"/>
  <c r="GA52" i="43"/>
  <c r="FZ52" i="43"/>
  <c r="GH51" i="43"/>
  <c r="GG51" i="43"/>
  <c r="GF51" i="43"/>
  <c r="GE51" i="43"/>
  <c r="GD51" i="43"/>
  <c r="GC51" i="43"/>
  <c r="GB51" i="43"/>
  <c r="GA51" i="43"/>
  <c r="FZ51" i="43"/>
  <c r="GH50" i="43"/>
  <c r="GG50" i="43"/>
  <c r="GF50" i="43"/>
  <c r="GE50" i="43"/>
  <c r="GD50" i="43"/>
  <c r="GC50" i="43"/>
  <c r="GB50" i="43"/>
  <c r="GA50" i="43"/>
  <c r="FZ50" i="43"/>
  <c r="EI51" i="43"/>
  <c r="EJ51" i="43"/>
  <c r="EK51" i="43"/>
  <c r="EL51" i="43"/>
  <c r="EM51" i="43"/>
  <c r="EN51" i="43"/>
  <c r="EO51" i="43"/>
  <c r="EP51" i="43"/>
  <c r="EQ51" i="43"/>
  <c r="EI52" i="43"/>
  <c r="EJ52" i="43"/>
  <c r="EK52" i="43"/>
  <c r="EL52" i="43"/>
  <c r="EM52" i="43"/>
  <c r="EN52" i="43"/>
  <c r="EO52" i="43"/>
  <c r="EP52" i="43"/>
  <c r="EQ52" i="43"/>
  <c r="EI53" i="43"/>
  <c r="EJ53" i="43"/>
  <c r="EK53" i="43"/>
  <c r="EL53" i="43"/>
  <c r="EM53" i="43"/>
  <c r="EN53" i="43"/>
  <c r="EO53" i="43"/>
  <c r="EP53" i="43"/>
  <c r="EQ53" i="43"/>
  <c r="EI54" i="43"/>
  <c r="EJ54" i="43"/>
  <c r="EK54" i="43"/>
  <c r="EL54" i="43"/>
  <c r="EM54" i="43"/>
  <c r="EN54" i="43"/>
  <c r="EO54" i="43"/>
  <c r="EP54" i="43"/>
  <c r="EQ54" i="43"/>
  <c r="EI55" i="43"/>
  <c r="EJ55" i="43"/>
  <c r="EK55" i="43"/>
  <c r="EL55" i="43"/>
  <c r="EM55" i="43"/>
  <c r="EN55" i="43"/>
  <c r="EO55" i="43"/>
  <c r="EP55" i="43"/>
  <c r="EQ55" i="43"/>
  <c r="EI56" i="43"/>
  <c r="EJ56" i="43"/>
  <c r="EK56" i="43"/>
  <c r="EL56" i="43"/>
  <c r="EM56" i="43"/>
  <c r="EN56" i="43"/>
  <c r="EO56" i="43"/>
  <c r="EP56" i="43"/>
  <c r="EQ56" i="43"/>
  <c r="EI57" i="43"/>
  <c r="EJ57" i="43"/>
  <c r="EK57" i="43"/>
  <c r="EL57" i="43"/>
  <c r="EM57" i="43"/>
  <c r="EN57" i="43"/>
  <c r="EO57" i="43"/>
  <c r="EP57" i="43"/>
  <c r="EQ57" i="43"/>
  <c r="EI58" i="43"/>
  <c r="EJ58" i="43"/>
  <c r="EK58" i="43"/>
  <c r="EL58" i="43"/>
  <c r="EM58" i="43"/>
  <c r="EN58" i="43"/>
  <c r="EO58" i="43"/>
  <c r="EP58" i="43"/>
  <c r="EQ58" i="43"/>
  <c r="EI59" i="43"/>
  <c r="EJ59" i="43"/>
  <c r="EK59" i="43"/>
  <c r="EL59" i="43"/>
  <c r="EM59" i="43"/>
  <c r="EN59" i="43"/>
  <c r="EO59" i="43"/>
  <c r="EP59" i="43"/>
  <c r="EQ59" i="43"/>
  <c r="EI60" i="43"/>
  <c r="EJ60" i="43"/>
  <c r="EK60" i="43"/>
  <c r="EL60" i="43"/>
  <c r="EM60" i="43"/>
  <c r="EN60" i="43"/>
  <c r="EO60" i="43"/>
  <c r="EP60" i="43"/>
  <c r="EQ60" i="43"/>
  <c r="EQ50" i="43"/>
  <c r="EP50" i="43"/>
  <c r="EJ50" i="43"/>
  <c r="EK50" i="43"/>
  <c r="EL50" i="43"/>
  <c r="EM50" i="43"/>
  <c r="EN50" i="43"/>
  <c r="EI50" i="43"/>
  <c r="CR51" i="43"/>
  <c r="CS51" i="43"/>
  <c r="CT51" i="43"/>
  <c r="CU51" i="43"/>
  <c r="CV51" i="43"/>
  <c r="CW51" i="43"/>
  <c r="CX51" i="43"/>
  <c r="CY51" i="43"/>
  <c r="CZ51" i="43"/>
  <c r="CR52" i="43"/>
  <c r="CS52" i="43"/>
  <c r="CT52" i="43"/>
  <c r="CU52" i="43"/>
  <c r="CV52" i="43"/>
  <c r="CW52" i="43"/>
  <c r="CX52" i="43"/>
  <c r="CY52" i="43"/>
  <c r="CZ52" i="43"/>
  <c r="CR53" i="43"/>
  <c r="CS53" i="43"/>
  <c r="CT53" i="43"/>
  <c r="CU53" i="43"/>
  <c r="CV53" i="43"/>
  <c r="CW53" i="43"/>
  <c r="CX53" i="43"/>
  <c r="CY53" i="43"/>
  <c r="CZ53" i="43"/>
  <c r="CR54" i="43"/>
  <c r="CS54" i="43"/>
  <c r="CT54" i="43"/>
  <c r="CU54" i="43"/>
  <c r="CV54" i="43"/>
  <c r="CW54" i="43"/>
  <c r="CX54" i="43"/>
  <c r="CY54" i="43"/>
  <c r="CZ54" i="43"/>
  <c r="CR55" i="43"/>
  <c r="CS55" i="43"/>
  <c r="CT55" i="43"/>
  <c r="CU55" i="43"/>
  <c r="CV55" i="43"/>
  <c r="CW55" i="43"/>
  <c r="CX55" i="43"/>
  <c r="CY55" i="43"/>
  <c r="CZ55" i="43"/>
  <c r="CR56" i="43"/>
  <c r="CS56" i="43"/>
  <c r="CT56" i="43"/>
  <c r="CU56" i="43"/>
  <c r="CV56" i="43"/>
  <c r="CW56" i="43"/>
  <c r="CX56" i="43"/>
  <c r="CY56" i="43"/>
  <c r="CZ56" i="43"/>
  <c r="CR57" i="43"/>
  <c r="CS57" i="43"/>
  <c r="CT57" i="43"/>
  <c r="CU57" i="43"/>
  <c r="CV57" i="43"/>
  <c r="CW57" i="43"/>
  <c r="CX57" i="43"/>
  <c r="CY57" i="43"/>
  <c r="CZ57" i="43"/>
  <c r="CR58" i="43"/>
  <c r="CS58" i="43"/>
  <c r="CT58" i="43"/>
  <c r="CU58" i="43"/>
  <c r="CV58" i="43"/>
  <c r="CW58" i="43"/>
  <c r="CX58" i="43"/>
  <c r="CY58" i="43"/>
  <c r="CZ58" i="43"/>
  <c r="CR59" i="43"/>
  <c r="CS59" i="43"/>
  <c r="CT59" i="43"/>
  <c r="CU59" i="43"/>
  <c r="CV59" i="43"/>
  <c r="CW59" i="43"/>
  <c r="CX59" i="43"/>
  <c r="CY59" i="43"/>
  <c r="CZ59" i="43"/>
  <c r="CR60" i="43"/>
  <c r="CS60" i="43"/>
  <c r="CT60" i="43"/>
  <c r="CU60" i="43"/>
  <c r="CV60" i="43"/>
  <c r="CW60" i="43"/>
  <c r="CX60" i="43"/>
  <c r="CY60" i="43"/>
  <c r="CZ60" i="43"/>
  <c r="CR61" i="43"/>
  <c r="CS61" i="43"/>
  <c r="CT61" i="43"/>
  <c r="CU61" i="43"/>
  <c r="CV61" i="43"/>
  <c r="CW61" i="43"/>
  <c r="CX61" i="43"/>
  <c r="CY61" i="43"/>
  <c r="CZ61" i="43"/>
  <c r="CR62" i="43"/>
  <c r="CS62" i="43"/>
  <c r="CT62" i="43"/>
  <c r="CU62" i="43"/>
  <c r="CV62" i="43"/>
  <c r="CW62" i="43"/>
  <c r="CX62" i="43"/>
  <c r="CY62" i="43"/>
  <c r="CZ62" i="43"/>
  <c r="CR63" i="43"/>
  <c r="CS63" i="43"/>
  <c r="CT63" i="43"/>
  <c r="CU63" i="43"/>
  <c r="CV63" i="43"/>
  <c r="CW63" i="43"/>
  <c r="CX63" i="43"/>
  <c r="CY63" i="43"/>
  <c r="CZ63" i="43"/>
  <c r="CR64" i="43"/>
  <c r="CS64" i="43"/>
  <c r="CT64" i="43"/>
  <c r="CU64" i="43"/>
  <c r="CV64" i="43"/>
  <c r="CW64" i="43"/>
  <c r="CX64" i="43"/>
  <c r="CY64" i="43"/>
  <c r="CZ64" i="43"/>
  <c r="CR65" i="43"/>
  <c r="CS65" i="43"/>
  <c r="CT65" i="43"/>
  <c r="CU65" i="43"/>
  <c r="CV65" i="43"/>
  <c r="CW65" i="43"/>
  <c r="CX65" i="43"/>
  <c r="CY65" i="43"/>
  <c r="CZ65" i="43"/>
  <c r="CR66" i="43"/>
  <c r="CS66" i="43"/>
  <c r="CT66" i="43"/>
  <c r="CU66" i="43"/>
  <c r="CV66" i="43"/>
  <c r="CW66" i="43"/>
  <c r="CX66" i="43"/>
  <c r="CY66" i="43"/>
  <c r="CZ66" i="43"/>
  <c r="CR67" i="43"/>
  <c r="CS67" i="43"/>
  <c r="CT67" i="43"/>
  <c r="CU67" i="43"/>
  <c r="CV67" i="43"/>
  <c r="CW67" i="43"/>
  <c r="CX67" i="43"/>
  <c r="CY67" i="43"/>
  <c r="CZ67" i="43"/>
  <c r="CR68" i="43"/>
  <c r="CS68" i="43"/>
  <c r="CT68" i="43"/>
  <c r="CU68" i="43"/>
  <c r="CV68" i="43"/>
  <c r="CW68" i="43"/>
  <c r="CX68" i="43"/>
  <c r="CY68" i="43"/>
  <c r="CZ68" i="43"/>
  <c r="CR69" i="43"/>
  <c r="CS69" i="43"/>
  <c r="CT69" i="43"/>
  <c r="CU69" i="43"/>
  <c r="CV69" i="43"/>
  <c r="CW69" i="43"/>
  <c r="CX69" i="43"/>
  <c r="CY69" i="43"/>
  <c r="CZ69" i="43"/>
  <c r="CR70" i="43"/>
  <c r="CS70" i="43"/>
  <c r="CT70" i="43"/>
  <c r="CU70" i="43"/>
  <c r="CV70" i="43"/>
  <c r="CW70" i="43"/>
  <c r="CX70" i="43"/>
  <c r="CY70" i="43"/>
  <c r="CZ70" i="43"/>
  <c r="CR71" i="43"/>
  <c r="CS71" i="43"/>
  <c r="CT71" i="43"/>
  <c r="CU71" i="43"/>
  <c r="CV71" i="43"/>
  <c r="CW71" i="43"/>
  <c r="CX71" i="43"/>
  <c r="CY71" i="43"/>
  <c r="CZ71" i="43"/>
  <c r="CZ50" i="43"/>
  <c r="CY50" i="43"/>
  <c r="CS50" i="43"/>
  <c r="CT50" i="43"/>
  <c r="CU50" i="43"/>
  <c r="CV50" i="43"/>
  <c r="CW50" i="43"/>
  <c r="CR50" i="43"/>
  <c r="AN145" i="40" l="1"/>
  <c r="AK26" i="44"/>
  <c r="AX26" i="44"/>
  <c r="AV26" i="44"/>
  <c r="S51" i="43"/>
  <c r="DC64" i="43"/>
  <c r="DC63" i="43"/>
  <c r="DC62" i="43"/>
  <c r="DC59" i="43"/>
  <c r="DC56" i="43"/>
  <c r="DC55" i="43"/>
  <c r="DC54" i="43"/>
  <c r="DC51" i="43"/>
  <c r="GN59" i="43"/>
  <c r="GN55" i="43"/>
  <c r="GN54" i="43"/>
  <c r="GN57" i="43"/>
  <c r="GN51" i="43"/>
  <c r="GN53" i="43"/>
  <c r="GO50" i="43"/>
  <c r="GI57" i="43"/>
  <c r="GI60" i="43"/>
  <c r="GJ59" i="43"/>
  <c r="GI58" i="43"/>
  <c r="GI54" i="43"/>
  <c r="GI53" i="43"/>
  <c r="GI56" i="43"/>
  <c r="GJ55" i="43"/>
  <c r="GI50" i="43"/>
  <c r="GI52" i="43"/>
  <c r="GJ51" i="43"/>
  <c r="EW57" i="43"/>
  <c r="EW56" i="43"/>
  <c r="EW59" i="43"/>
  <c r="EW53" i="43"/>
  <c r="EW52" i="43"/>
  <c r="EW55" i="43"/>
  <c r="EX52" i="43"/>
  <c r="EW51" i="43"/>
  <c r="ES59" i="43"/>
  <c r="ER55" i="43"/>
  <c r="ER58" i="43"/>
  <c r="ER52" i="43"/>
  <c r="ER51" i="43"/>
  <c r="ER54" i="43"/>
  <c r="ES51" i="43"/>
  <c r="ER50" i="43"/>
  <c r="DF70" i="43"/>
  <c r="DF66" i="43"/>
  <c r="DF65" i="43"/>
  <c r="DF68" i="43"/>
  <c r="DG65" i="43"/>
  <c r="DF61" i="43"/>
  <c r="DF64" i="43"/>
  <c r="DF58" i="43"/>
  <c r="DF57" i="43"/>
  <c r="DF60" i="43"/>
  <c r="DF54" i="43"/>
  <c r="DF53" i="43"/>
  <c r="DF56" i="43"/>
  <c r="DF50" i="43"/>
  <c r="DF52" i="43"/>
  <c r="DA68" i="43"/>
  <c r="DA67" i="43"/>
  <c r="DA64" i="43"/>
  <c r="DA63" i="43"/>
  <c r="DB65" i="43"/>
  <c r="DA60" i="43"/>
  <c r="DA59" i="43"/>
  <c r="DA56" i="43"/>
  <c r="DA55" i="43"/>
  <c r="DB57" i="43"/>
  <c r="DA52" i="43"/>
  <c r="DA51" i="43"/>
  <c r="DB51" i="43"/>
  <c r="DA50" i="43"/>
  <c r="HK60" i="43"/>
  <c r="HJ60" i="43"/>
  <c r="HI60" i="43"/>
  <c r="HH60" i="43"/>
  <c r="HG60" i="43"/>
  <c r="HF60" i="43"/>
  <c r="HE60" i="43"/>
  <c r="HD60" i="43"/>
  <c r="HC60" i="43"/>
  <c r="HB60" i="43"/>
  <c r="HA60" i="43"/>
  <c r="GZ60" i="43"/>
  <c r="GY60" i="43"/>
  <c r="GX60" i="43"/>
  <c r="GW60" i="43"/>
  <c r="GV60" i="43"/>
  <c r="GU60" i="43"/>
  <c r="GT60" i="43"/>
  <c r="GS60" i="43"/>
  <c r="GR60" i="43"/>
  <c r="GQ60" i="43"/>
  <c r="GP60" i="43"/>
  <c r="GO60" i="43"/>
  <c r="GN60" i="43"/>
  <c r="GM60" i="43"/>
  <c r="GL60" i="43"/>
  <c r="GK60" i="43"/>
  <c r="GJ60" i="43"/>
  <c r="FY60" i="43"/>
  <c r="FX60" i="43"/>
  <c r="FV60" i="43"/>
  <c r="FU60" i="43"/>
  <c r="HK59" i="43"/>
  <c r="HJ59" i="43"/>
  <c r="HI59" i="43"/>
  <c r="HH59" i="43"/>
  <c r="HG59" i="43"/>
  <c r="HF59" i="43"/>
  <c r="HE59" i="43"/>
  <c r="HD59" i="43"/>
  <c r="HC59" i="43"/>
  <c r="HB59" i="43"/>
  <c r="HA59" i="43"/>
  <c r="GZ59" i="43"/>
  <c r="GY59" i="43"/>
  <c r="GX59" i="43"/>
  <c r="GW59" i="43"/>
  <c r="GV59" i="43"/>
  <c r="GU59" i="43"/>
  <c r="GT59" i="43"/>
  <c r="GS59" i="43"/>
  <c r="GR59" i="43"/>
  <c r="GQ59" i="43"/>
  <c r="GP59" i="43"/>
  <c r="GO59" i="43"/>
  <c r="GM59" i="43"/>
  <c r="GL59" i="43"/>
  <c r="GK59" i="43"/>
  <c r="GI59" i="43"/>
  <c r="FY59" i="43"/>
  <c r="FX59" i="43"/>
  <c r="FV59" i="43"/>
  <c r="FU59" i="43"/>
  <c r="HK58" i="43"/>
  <c r="HJ58" i="43"/>
  <c r="HI58" i="43"/>
  <c r="HH58" i="43"/>
  <c r="HG58" i="43"/>
  <c r="HF58" i="43"/>
  <c r="HE58" i="43"/>
  <c r="HD58" i="43"/>
  <c r="HC58" i="43"/>
  <c r="HB58" i="43"/>
  <c r="HA58" i="43"/>
  <c r="GZ58" i="43"/>
  <c r="GY58" i="43"/>
  <c r="GX58" i="43"/>
  <c r="GW58" i="43"/>
  <c r="GV58" i="43"/>
  <c r="GU58" i="43"/>
  <c r="GT58" i="43"/>
  <c r="GS58" i="43"/>
  <c r="GR58" i="43"/>
  <c r="GQ58" i="43"/>
  <c r="GP58" i="43"/>
  <c r="GN58" i="43"/>
  <c r="GM58" i="43"/>
  <c r="GL58" i="43"/>
  <c r="GK58" i="43"/>
  <c r="GJ58" i="43"/>
  <c r="FY58" i="43"/>
  <c r="FX58" i="43"/>
  <c r="FV58" i="43"/>
  <c r="FU58" i="43"/>
  <c r="HK57" i="43"/>
  <c r="HJ57" i="43"/>
  <c r="HI57" i="43"/>
  <c r="HH57" i="43"/>
  <c r="HG57" i="43"/>
  <c r="HF57" i="43"/>
  <c r="HE57" i="43"/>
  <c r="HD57" i="43"/>
  <c r="HC57" i="43"/>
  <c r="HB57" i="43"/>
  <c r="HA57" i="43"/>
  <c r="GZ57" i="43"/>
  <c r="GY57" i="43"/>
  <c r="GX57" i="43"/>
  <c r="GW57" i="43"/>
  <c r="GV57" i="43"/>
  <c r="GU57" i="43"/>
  <c r="GT57" i="43"/>
  <c r="GS57" i="43"/>
  <c r="GR57" i="43"/>
  <c r="GQ57" i="43"/>
  <c r="GP57" i="43"/>
  <c r="GO57" i="43"/>
  <c r="GM57" i="43"/>
  <c r="GL57" i="43"/>
  <c r="GK57" i="43"/>
  <c r="FY57" i="43"/>
  <c r="FX57" i="43"/>
  <c r="FV57" i="43"/>
  <c r="FU57" i="43"/>
  <c r="HK56" i="43"/>
  <c r="HJ56" i="43"/>
  <c r="HI56" i="43"/>
  <c r="HH56" i="43"/>
  <c r="HG56" i="43"/>
  <c r="HF56" i="43"/>
  <c r="HE56" i="43"/>
  <c r="HD56" i="43"/>
  <c r="HC56" i="43"/>
  <c r="HB56" i="43"/>
  <c r="HA56" i="43"/>
  <c r="GZ56" i="43"/>
  <c r="GY56" i="43"/>
  <c r="GX56" i="43"/>
  <c r="GW56" i="43"/>
  <c r="GV56" i="43"/>
  <c r="GU56" i="43"/>
  <c r="GT56" i="43"/>
  <c r="GS56" i="43"/>
  <c r="GR56" i="43"/>
  <c r="GQ56" i="43"/>
  <c r="GP56" i="43"/>
  <c r="GO56" i="43"/>
  <c r="GN56" i="43"/>
  <c r="GM56" i="43"/>
  <c r="GL56" i="43"/>
  <c r="GK56" i="43"/>
  <c r="GJ56" i="43"/>
  <c r="FY56" i="43"/>
  <c r="FX56" i="43"/>
  <c r="FV56" i="43"/>
  <c r="FU56" i="43"/>
  <c r="HK55" i="43"/>
  <c r="HJ55" i="43"/>
  <c r="HI55" i="43"/>
  <c r="HH55" i="43"/>
  <c r="HG55" i="43"/>
  <c r="HF55" i="43"/>
  <c r="HE55" i="43"/>
  <c r="HD55" i="43"/>
  <c r="HC55" i="43"/>
  <c r="HB55" i="43"/>
  <c r="HA55" i="43"/>
  <c r="GZ55" i="43"/>
  <c r="GY55" i="43"/>
  <c r="GX55" i="43"/>
  <c r="GW55" i="43"/>
  <c r="GV55" i="43"/>
  <c r="GU55" i="43"/>
  <c r="GT55" i="43"/>
  <c r="GS55" i="43"/>
  <c r="GR55" i="43"/>
  <c r="GQ55" i="43"/>
  <c r="GP55" i="43"/>
  <c r="GO55" i="43"/>
  <c r="GM55" i="43"/>
  <c r="GL55" i="43"/>
  <c r="GK55" i="43"/>
  <c r="GI55" i="43"/>
  <c r="FY55" i="43"/>
  <c r="FX55" i="43"/>
  <c r="FV55" i="43"/>
  <c r="FU55" i="43"/>
  <c r="HK54" i="43"/>
  <c r="HJ54" i="43"/>
  <c r="HI54" i="43"/>
  <c r="HH54" i="43"/>
  <c r="HG54" i="43"/>
  <c r="HF54" i="43"/>
  <c r="HE54" i="43"/>
  <c r="HD54" i="43"/>
  <c r="HC54" i="43"/>
  <c r="HB54" i="43"/>
  <c r="HA54" i="43"/>
  <c r="GZ54" i="43"/>
  <c r="GY54" i="43"/>
  <c r="GX54" i="43"/>
  <c r="GW54" i="43"/>
  <c r="GV54" i="43"/>
  <c r="GU54" i="43"/>
  <c r="GT54" i="43"/>
  <c r="GS54" i="43"/>
  <c r="GR54" i="43"/>
  <c r="GQ54" i="43"/>
  <c r="GP54" i="43"/>
  <c r="GM54" i="43"/>
  <c r="GL54" i="43"/>
  <c r="GK54" i="43"/>
  <c r="GJ54" i="43"/>
  <c r="FY54" i="43"/>
  <c r="FX54" i="43"/>
  <c r="FV54" i="43"/>
  <c r="FU54" i="43"/>
  <c r="HK53" i="43"/>
  <c r="HJ53" i="43"/>
  <c r="HI53" i="43"/>
  <c r="HH53" i="43"/>
  <c r="HG53" i="43"/>
  <c r="HF53" i="43"/>
  <c r="HE53" i="43"/>
  <c r="HD53" i="43"/>
  <c r="HC53" i="43"/>
  <c r="HB53" i="43"/>
  <c r="HA53" i="43"/>
  <c r="GZ53" i="43"/>
  <c r="GY53" i="43"/>
  <c r="GX53" i="43"/>
  <c r="GW53" i="43"/>
  <c r="GV53" i="43"/>
  <c r="GU53" i="43"/>
  <c r="GT53" i="43"/>
  <c r="GS53" i="43"/>
  <c r="GR53" i="43"/>
  <c r="GQ53" i="43"/>
  <c r="GP53" i="43"/>
  <c r="GO53" i="43"/>
  <c r="GM53" i="43"/>
  <c r="GL53" i="43"/>
  <c r="GK53" i="43"/>
  <c r="FY53" i="43"/>
  <c r="FX53" i="43"/>
  <c r="FV53" i="43"/>
  <c r="FU53" i="43"/>
  <c r="HK52" i="43"/>
  <c r="HJ52" i="43"/>
  <c r="HI52" i="43"/>
  <c r="HH52" i="43"/>
  <c r="HG52" i="43"/>
  <c r="HF52" i="43"/>
  <c r="HE52" i="43"/>
  <c r="HD52" i="43"/>
  <c r="HC52" i="43"/>
  <c r="HB52" i="43"/>
  <c r="HA52" i="43"/>
  <c r="GZ52" i="43"/>
  <c r="GY52" i="43"/>
  <c r="GX52" i="43"/>
  <c r="GW52" i="43"/>
  <c r="GV52" i="43"/>
  <c r="GU52" i="43"/>
  <c r="GT52" i="43"/>
  <c r="GS52" i="43"/>
  <c r="GR52" i="43"/>
  <c r="GQ52" i="43"/>
  <c r="GP52" i="43"/>
  <c r="GO52" i="43"/>
  <c r="GN52" i="43"/>
  <c r="GM52" i="43"/>
  <c r="GL52" i="43"/>
  <c r="GK52" i="43"/>
  <c r="GJ52" i="43"/>
  <c r="FY52" i="43"/>
  <c r="FX52" i="43"/>
  <c r="FV52" i="43"/>
  <c r="FU52" i="43"/>
  <c r="HK51" i="43"/>
  <c r="HJ51" i="43"/>
  <c r="HI51" i="43"/>
  <c r="HH51" i="43"/>
  <c r="HG51" i="43"/>
  <c r="HF51" i="43"/>
  <c r="HE51" i="43"/>
  <c r="HD51" i="43"/>
  <c r="HC51" i="43"/>
  <c r="HB51" i="43"/>
  <c r="HA51" i="43"/>
  <c r="GZ51" i="43"/>
  <c r="GY51" i="43"/>
  <c r="GX51" i="43"/>
  <c r="GW51" i="43"/>
  <c r="GV51" i="43"/>
  <c r="GU51" i="43"/>
  <c r="GT51" i="43"/>
  <c r="GS51" i="43"/>
  <c r="GR51" i="43"/>
  <c r="GQ51" i="43"/>
  <c r="GP51" i="43"/>
  <c r="GO51" i="43"/>
  <c r="GM51" i="43"/>
  <c r="GL51" i="43"/>
  <c r="GK51" i="43"/>
  <c r="GI51" i="43"/>
  <c r="FY51" i="43"/>
  <c r="FX51" i="43"/>
  <c r="FV51" i="43"/>
  <c r="FU51" i="43"/>
  <c r="HK50" i="43"/>
  <c r="HJ50" i="43"/>
  <c r="HI50" i="43"/>
  <c r="HH50" i="43"/>
  <c r="HG50" i="43"/>
  <c r="HF50" i="43"/>
  <c r="HE50" i="43"/>
  <c r="HD50" i="43"/>
  <c r="HC50" i="43"/>
  <c r="HB50" i="43"/>
  <c r="HA50" i="43"/>
  <c r="GZ50" i="43"/>
  <c r="GY50" i="43"/>
  <c r="GX50" i="43"/>
  <c r="GW50" i="43"/>
  <c r="GV50" i="43"/>
  <c r="GU50" i="43"/>
  <c r="GT50" i="43"/>
  <c r="GS50" i="43"/>
  <c r="GR50" i="43"/>
  <c r="GQ50" i="43"/>
  <c r="GP50" i="43"/>
  <c r="GM50" i="43"/>
  <c r="GL50" i="43"/>
  <c r="GK50" i="43"/>
  <c r="GJ50" i="43"/>
  <c r="FY50" i="43"/>
  <c r="FX50" i="43"/>
  <c r="FV50" i="43"/>
  <c r="FU50" i="43"/>
  <c r="FT60" i="43"/>
  <c r="FS60" i="43"/>
  <c r="FR60" i="43"/>
  <c r="FQ60" i="43"/>
  <c r="FP60" i="43"/>
  <c r="FO60" i="43"/>
  <c r="FN60" i="43"/>
  <c r="FM60" i="43"/>
  <c r="FL60" i="43"/>
  <c r="FK60" i="43"/>
  <c r="FJ60" i="43"/>
  <c r="FI60" i="43"/>
  <c r="FH60" i="43"/>
  <c r="FG60" i="43"/>
  <c r="FF60" i="43"/>
  <c r="FE60" i="43"/>
  <c r="FD60" i="43"/>
  <c r="FC60" i="43"/>
  <c r="FB60" i="43"/>
  <c r="FA60" i="43"/>
  <c r="EZ60" i="43"/>
  <c r="EY60" i="43"/>
  <c r="EW60" i="43"/>
  <c r="EV60" i="43"/>
  <c r="EU60" i="43"/>
  <c r="ET60" i="43"/>
  <c r="ES60" i="43"/>
  <c r="ER60" i="43"/>
  <c r="EH60" i="43"/>
  <c r="EG60" i="43"/>
  <c r="EF60" i="43"/>
  <c r="EE60" i="43"/>
  <c r="ED60" i="43"/>
  <c r="FT59" i="43"/>
  <c r="FS59" i="43"/>
  <c r="FR59" i="43"/>
  <c r="FQ59" i="43"/>
  <c r="FP59" i="43"/>
  <c r="FO59" i="43"/>
  <c r="FN59" i="43"/>
  <c r="FM59" i="43"/>
  <c r="FL59" i="43"/>
  <c r="FK59" i="43"/>
  <c r="FJ59" i="43"/>
  <c r="FI59" i="43"/>
  <c r="FH59" i="43"/>
  <c r="FG59" i="43"/>
  <c r="FF59" i="43"/>
  <c r="FE59" i="43"/>
  <c r="FD59" i="43"/>
  <c r="FC59" i="43"/>
  <c r="FB59" i="43"/>
  <c r="FA59" i="43"/>
  <c r="EZ59" i="43"/>
  <c r="EY59" i="43"/>
  <c r="EX59" i="43"/>
  <c r="EV59" i="43"/>
  <c r="EU59" i="43"/>
  <c r="ET59" i="43"/>
  <c r="ER59" i="43"/>
  <c r="EH59" i="43"/>
  <c r="EG59" i="43"/>
  <c r="EF59" i="43"/>
  <c r="EE59" i="43"/>
  <c r="ED59" i="43"/>
  <c r="FT58" i="43"/>
  <c r="FS58" i="43"/>
  <c r="FR58" i="43"/>
  <c r="FQ58" i="43"/>
  <c r="FP58" i="43"/>
  <c r="FO58" i="43"/>
  <c r="FN58" i="43"/>
  <c r="FM58" i="43"/>
  <c r="FL58" i="43"/>
  <c r="FK58" i="43"/>
  <c r="FJ58" i="43"/>
  <c r="FI58" i="43"/>
  <c r="FH58" i="43"/>
  <c r="FG58" i="43"/>
  <c r="FF58" i="43"/>
  <c r="FE58" i="43"/>
  <c r="FD58" i="43"/>
  <c r="FC58" i="43"/>
  <c r="FB58" i="43"/>
  <c r="FA58" i="43"/>
  <c r="EZ58" i="43"/>
  <c r="EY58" i="43"/>
  <c r="EX58" i="43"/>
  <c r="EW58" i="43"/>
  <c r="EV58" i="43"/>
  <c r="EU58" i="43"/>
  <c r="ET58" i="43"/>
  <c r="ES58" i="43"/>
  <c r="EH58" i="43"/>
  <c r="EG58" i="43"/>
  <c r="EF58" i="43"/>
  <c r="EE58" i="43"/>
  <c r="ED58" i="43"/>
  <c r="FT57" i="43"/>
  <c r="FS57" i="43"/>
  <c r="FR57" i="43"/>
  <c r="FQ57" i="43"/>
  <c r="FP57" i="43"/>
  <c r="FO57" i="43"/>
  <c r="FN57" i="43"/>
  <c r="FM57" i="43"/>
  <c r="FL57" i="43"/>
  <c r="FK57" i="43"/>
  <c r="FJ57" i="43"/>
  <c r="FI57" i="43"/>
  <c r="FH57" i="43"/>
  <c r="FG57" i="43"/>
  <c r="FF57" i="43"/>
  <c r="FE57" i="43"/>
  <c r="FD57" i="43"/>
  <c r="FC57" i="43"/>
  <c r="FB57" i="43"/>
  <c r="FA57" i="43"/>
  <c r="EZ57" i="43"/>
  <c r="EY57" i="43"/>
  <c r="EX57" i="43"/>
  <c r="EV57" i="43"/>
  <c r="EU57" i="43"/>
  <c r="ET57" i="43"/>
  <c r="ES57" i="43"/>
  <c r="ER57" i="43"/>
  <c r="EH57" i="43"/>
  <c r="EG57" i="43"/>
  <c r="EF57" i="43"/>
  <c r="EE57" i="43"/>
  <c r="ED57" i="43"/>
  <c r="FT56" i="43"/>
  <c r="FS56" i="43"/>
  <c r="FR56" i="43"/>
  <c r="FQ56" i="43"/>
  <c r="FP56" i="43"/>
  <c r="FO56" i="43"/>
  <c r="FN56" i="43"/>
  <c r="FM56" i="43"/>
  <c r="FL56" i="43"/>
  <c r="FK56" i="43"/>
  <c r="FJ56" i="43"/>
  <c r="FI56" i="43"/>
  <c r="FH56" i="43"/>
  <c r="FG56" i="43"/>
  <c r="FF56" i="43"/>
  <c r="FE56" i="43"/>
  <c r="FD56" i="43"/>
  <c r="FC56" i="43"/>
  <c r="FB56" i="43"/>
  <c r="FA56" i="43"/>
  <c r="EZ56" i="43"/>
  <c r="EY56" i="43"/>
  <c r="EV56" i="43"/>
  <c r="EU56" i="43"/>
  <c r="ET56" i="43"/>
  <c r="ES56" i="43"/>
  <c r="EH56" i="43"/>
  <c r="EG56" i="43"/>
  <c r="EF56" i="43"/>
  <c r="EE56" i="43"/>
  <c r="ED56" i="43"/>
  <c r="FT55" i="43"/>
  <c r="FS55" i="43"/>
  <c r="FR55" i="43"/>
  <c r="FQ55" i="43"/>
  <c r="FP55" i="43"/>
  <c r="FO55" i="43"/>
  <c r="FN55" i="43"/>
  <c r="FM55" i="43"/>
  <c r="FL55" i="43"/>
  <c r="FK55" i="43"/>
  <c r="FJ55" i="43"/>
  <c r="FI55" i="43"/>
  <c r="FH55" i="43"/>
  <c r="FG55" i="43"/>
  <c r="FF55" i="43"/>
  <c r="FE55" i="43"/>
  <c r="FD55" i="43"/>
  <c r="FC55" i="43"/>
  <c r="FB55" i="43"/>
  <c r="FA55" i="43"/>
  <c r="EZ55" i="43"/>
  <c r="EY55" i="43"/>
  <c r="EX55" i="43"/>
  <c r="EV55" i="43"/>
  <c r="EU55" i="43"/>
  <c r="ET55" i="43"/>
  <c r="EH55" i="43"/>
  <c r="EG55" i="43"/>
  <c r="EF55" i="43"/>
  <c r="EE55" i="43"/>
  <c r="ED55" i="43"/>
  <c r="FT54" i="43"/>
  <c r="FS54" i="43"/>
  <c r="FR54" i="43"/>
  <c r="FQ54" i="43"/>
  <c r="FP54" i="43"/>
  <c r="FO54" i="43"/>
  <c r="FN54" i="43"/>
  <c r="FM54" i="43"/>
  <c r="FL54" i="43"/>
  <c r="FK54" i="43"/>
  <c r="FJ54" i="43"/>
  <c r="FI54" i="43"/>
  <c r="FH54" i="43"/>
  <c r="FG54" i="43"/>
  <c r="FF54" i="43"/>
  <c r="FE54" i="43"/>
  <c r="FD54" i="43"/>
  <c r="FC54" i="43"/>
  <c r="FB54" i="43"/>
  <c r="FA54" i="43"/>
  <c r="EZ54" i="43"/>
  <c r="EY54" i="43"/>
  <c r="EX54" i="43"/>
  <c r="EW54" i="43"/>
  <c r="EV54" i="43"/>
  <c r="EU54" i="43"/>
  <c r="ET54" i="43"/>
  <c r="ES54" i="43"/>
  <c r="EH54" i="43"/>
  <c r="EG54" i="43"/>
  <c r="EF54" i="43"/>
  <c r="EE54" i="43"/>
  <c r="ED54" i="43"/>
  <c r="FT53" i="43"/>
  <c r="FS53" i="43"/>
  <c r="FR53" i="43"/>
  <c r="FQ53" i="43"/>
  <c r="FP53" i="43"/>
  <c r="FO53" i="43"/>
  <c r="FN53" i="43"/>
  <c r="FM53" i="43"/>
  <c r="FL53" i="43"/>
  <c r="FK53" i="43"/>
  <c r="FJ53" i="43"/>
  <c r="FI53" i="43"/>
  <c r="FH53" i="43"/>
  <c r="FG53" i="43"/>
  <c r="FF53" i="43"/>
  <c r="FE53" i="43"/>
  <c r="FD53" i="43"/>
  <c r="FC53" i="43"/>
  <c r="FB53" i="43"/>
  <c r="FA53" i="43"/>
  <c r="EZ53" i="43"/>
  <c r="EY53" i="43"/>
  <c r="EX53" i="43"/>
  <c r="EV53" i="43"/>
  <c r="EU53" i="43"/>
  <c r="ET53" i="43"/>
  <c r="ES53" i="43"/>
  <c r="ER53" i="43"/>
  <c r="EH53" i="43"/>
  <c r="EG53" i="43"/>
  <c r="EF53" i="43"/>
  <c r="EE53" i="43"/>
  <c r="ED53" i="43"/>
  <c r="FT52" i="43"/>
  <c r="FS52" i="43"/>
  <c r="FR52" i="43"/>
  <c r="FQ52" i="43"/>
  <c r="FP52" i="43"/>
  <c r="FO52" i="43"/>
  <c r="FN52" i="43"/>
  <c r="FM52" i="43"/>
  <c r="FL52" i="43"/>
  <c r="FK52" i="43"/>
  <c r="FJ52" i="43"/>
  <c r="FI52" i="43"/>
  <c r="FH52" i="43"/>
  <c r="FG52" i="43"/>
  <c r="FF52" i="43"/>
  <c r="FE52" i="43"/>
  <c r="FD52" i="43"/>
  <c r="FC52" i="43"/>
  <c r="FB52" i="43"/>
  <c r="FA52" i="43"/>
  <c r="EZ52" i="43"/>
  <c r="EY52" i="43"/>
  <c r="EV52" i="43"/>
  <c r="EU52" i="43"/>
  <c r="ET52" i="43"/>
  <c r="ES52" i="43"/>
  <c r="EH52" i="43"/>
  <c r="EG52" i="43"/>
  <c r="EF52" i="43"/>
  <c r="EE52" i="43"/>
  <c r="ED52" i="43"/>
  <c r="FT51" i="43"/>
  <c r="FS51" i="43"/>
  <c r="FR51" i="43"/>
  <c r="FQ51" i="43"/>
  <c r="FP51" i="43"/>
  <c r="FO51" i="43"/>
  <c r="FN51" i="43"/>
  <c r="FM51" i="43"/>
  <c r="FL51" i="43"/>
  <c r="FK51" i="43"/>
  <c r="FJ51" i="43"/>
  <c r="FI51" i="43"/>
  <c r="FH51" i="43"/>
  <c r="FG51" i="43"/>
  <c r="FF51" i="43"/>
  <c r="FE51" i="43"/>
  <c r="FD51" i="43"/>
  <c r="FC51" i="43"/>
  <c r="FB51" i="43"/>
  <c r="FA51" i="43"/>
  <c r="EZ51" i="43"/>
  <c r="EY51" i="43"/>
  <c r="EX51" i="43"/>
  <c r="EV51" i="43"/>
  <c r="EU51" i="43"/>
  <c r="ET51" i="43"/>
  <c r="EH51" i="43"/>
  <c r="EG51" i="43"/>
  <c r="EF51" i="43"/>
  <c r="EE51" i="43"/>
  <c r="ED51" i="43"/>
  <c r="FT50" i="43"/>
  <c r="FS50" i="43"/>
  <c r="FR50" i="43"/>
  <c r="FQ50" i="43"/>
  <c r="FP50" i="43"/>
  <c r="FO50" i="43"/>
  <c r="FN50" i="43"/>
  <c r="FM50" i="43"/>
  <c r="FL50" i="43"/>
  <c r="FK50" i="43"/>
  <c r="FJ50" i="43"/>
  <c r="FI50" i="43"/>
  <c r="FH50" i="43"/>
  <c r="FG50" i="43"/>
  <c r="FF50" i="43"/>
  <c r="FE50" i="43"/>
  <c r="FD50" i="43"/>
  <c r="FC50" i="43"/>
  <c r="FB50" i="43"/>
  <c r="FA50" i="43"/>
  <c r="EZ50" i="43"/>
  <c r="EY50" i="43"/>
  <c r="EX50" i="43"/>
  <c r="EW50" i="43"/>
  <c r="EV50" i="43"/>
  <c r="EU50" i="43"/>
  <c r="ET50" i="43"/>
  <c r="ES50" i="43"/>
  <c r="EO50" i="43"/>
  <c r="EH50" i="43"/>
  <c r="EG50" i="43"/>
  <c r="EF50" i="43"/>
  <c r="EE50" i="43"/>
  <c r="ED50" i="43"/>
  <c r="CM51" i="43"/>
  <c r="CN51" i="43"/>
  <c r="CO51" i="43"/>
  <c r="CP51" i="43"/>
  <c r="CQ51" i="43"/>
  <c r="DD51" i="43"/>
  <c r="DE51" i="43"/>
  <c r="DF51" i="43"/>
  <c r="DG51" i="43"/>
  <c r="DH51" i="43"/>
  <c r="DI51" i="43"/>
  <c r="DJ51" i="43"/>
  <c r="DK51" i="43"/>
  <c r="DL51" i="43"/>
  <c r="DM51" i="43"/>
  <c r="DN51" i="43"/>
  <c r="DO51" i="43"/>
  <c r="DP51" i="43"/>
  <c r="DQ51" i="43"/>
  <c r="DR51" i="43"/>
  <c r="DS51" i="43"/>
  <c r="DT51" i="43"/>
  <c r="DU51" i="43"/>
  <c r="DV51" i="43"/>
  <c r="DW51" i="43"/>
  <c r="DX51" i="43"/>
  <c r="DY51" i="43"/>
  <c r="DZ51" i="43"/>
  <c r="EA51" i="43"/>
  <c r="EB51" i="43"/>
  <c r="EC51" i="43"/>
  <c r="CM52" i="43"/>
  <c r="CN52" i="43"/>
  <c r="CO52" i="43"/>
  <c r="CP52" i="43"/>
  <c r="CQ52" i="43"/>
  <c r="DB52" i="43"/>
  <c r="DC52" i="43"/>
  <c r="DD52" i="43"/>
  <c r="DE52" i="43"/>
  <c r="DG52" i="43"/>
  <c r="DH52" i="43"/>
  <c r="DI52" i="43"/>
  <c r="DJ52" i="43"/>
  <c r="DK52" i="43"/>
  <c r="DL52" i="43"/>
  <c r="DM52" i="43"/>
  <c r="DN52" i="43"/>
  <c r="DO52" i="43"/>
  <c r="DP52" i="43"/>
  <c r="DQ52" i="43"/>
  <c r="DR52" i="43"/>
  <c r="DS52" i="43"/>
  <c r="DT52" i="43"/>
  <c r="DU52" i="43"/>
  <c r="DV52" i="43"/>
  <c r="DW52" i="43"/>
  <c r="DX52" i="43"/>
  <c r="DY52" i="43"/>
  <c r="DZ52" i="43"/>
  <c r="EA52" i="43"/>
  <c r="EB52" i="43"/>
  <c r="EC52" i="43"/>
  <c r="CM53" i="43"/>
  <c r="CN53" i="43"/>
  <c r="CO53" i="43"/>
  <c r="CP53" i="43"/>
  <c r="CQ53" i="43"/>
  <c r="DA53" i="43"/>
  <c r="DB53" i="43"/>
  <c r="DC53" i="43"/>
  <c r="DD53" i="43"/>
  <c r="DE53" i="43"/>
  <c r="DH53" i="43"/>
  <c r="DI53" i="43"/>
  <c r="DJ53" i="43"/>
  <c r="DK53" i="43"/>
  <c r="DL53" i="43"/>
  <c r="DM53" i="43"/>
  <c r="DN53" i="43"/>
  <c r="DO53" i="43"/>
  <c r="DP53" i="43"/>
  <c r="DQ53" i="43"/>
  <c r="DR53" i="43"/>
  <c r="DS53" i="43"/>
  <c r="DT53" i="43"/>
  <c r="DU53" i="43"/>
  <c r="DV53" i="43"/>
  <c r="DW53" i="43"/>
  <c r="DX53" i="43"/>
  <c r="DY53" i="43"/>
  <c r="DZ53" i="43"/>
  <c r="EA53" i="43"/>
  <c r="EB53" i="43"/>
  <c r="EC53" i="43"/>
  <c r="CM54" i="43"/>
  <c r="CN54" i="43"/>
  <c r="CO54" i="43"/>
  <c r="CP54" i="43"/>
  <c r="CQ54" i="43"/>
  <c r="DA54" i="43"/>
  <c r="DB54" i="43"/>
  <c r="DD54" i="43"/>
  <c r="DE54" i="43"/>
  <c r="DG54" i="43"/>
  <c r="DH54" i="43"/>
  <c r="DI54" i="43"/>
  <c r="DJ54" i="43"/>
  <c r="DK54" i="43"/>
  <c r="DL54" i="43"/>
  <c r="DM54" i="43"/>
  <c r="DN54" i="43"/>
  <c r="DO54" i="43"/>
  <c r="DP54" i="43"/>
  <c r="DQ54" i="43"/>
  <c r="DR54" i="43"/>
  <c r="DS54" i="43"/>
  <c r="DT54" i="43"/>
  <c r="DU54" i="43"/>
  <c r="DV54" i="43"/>
  <c r="DW54" i="43"/>
  <c r="DX54" i="43"/>
  <c r="DY54" i="43"/>
  <c r="DZ54" i="43"/>
  <c r="EA54" i="43"/>
  <c r="EB54" i="43"/>
  <c r="EC54" i="43"/>
  <c r="CM55" i="43"/>
  <c r="CN55" i="43"/>
  <c r="CO55" i="43"/>
  <c r="CP55" i="43"/>
  <c r="CQ55" i="43"/>
  <c r="DD55" i="43"/>
  <c r="DE55" i="43"/>
  <c r="DF55" i="43"/>
  <c r="DG55" i="43"/>
  <c r="DH55" i="43"/>
  <c r="DI55" i="43"/>
  <c r="DJ55" i="43"/>
  <c r="DK55" i="43"/>
  <c r="DL55" i="43"/>
  <c r="DM55" i="43"/>
  <c r="DN55" i="43"/>
  <c r="DO55" i="43"/>
  <c r="DP55" i="43"/>
  <c r="DQ55" i="43"/>
  <c r="DR55" i="43"/>
  <c r="DS55" i="43"/>
  <c r="DT55" i="43"/>
  <c r="DU55" i="43"/>
  <c r="DV55" i="43"/>
  <c r="DW55" i="43"/>
  <c r="DX55" i="43"/>
  <c r="DY55" i="43"/>
  <c r="DZ55" i="43"/>
  <c r="EA55" i="43"/>
  <c r="EB55" i="43"/>
  <c r="EC55" i="43"/>
  <c r="CM56" i="43"/>
  <c r="CN56" i="43"/>
  <c r="CO56" i="43"/>
  <c r="CP56" i="43"/>
  <c r="CQ56" i="43"/>
  <c r="DB56" i="43"/>
  <c r="DD56" i="43"/>
  <c r="DE56" i="43"/>
  <c r="DG56" i="43"/>
  <c r="DH56" i="43"/>
  <c r="DI56" i="43"/>
  <c r="DJ56" i="43"/>
  <c r="DK56" i="43"/>
  <c r="DL56" i="43"/>
  <c r="DM56" i="43"/>
  <c r="DN56" i="43"/>
  <c r="DO56" i="43"/>
  <c r="DP56" i="43"/>
  <c r="DQ56" i="43"/>
  <c r="DR56" i="43"/>
  <c r="DS56" i="43"/>
  <c r="DT56" i="43"/>
  <c r="DU56" i="43"/>
  <c r="DV56" i="43"/>
  <c r="DW56" i="43"/>
  <c r="DX56" i="43"/>
  <c r="DY56" i="43"/>
  <c r="DZ56" i="43"/>
  <c r="EA56" i="43"/>
  <c r="EB56" i="43"/>
  <c r="EC56" i="43"/>
  <c r="CM57" i="43"/>
  <c r="CN57" i="43"/>
  <c r="CO57" i="43"/>
  <c r="CP57" i="43"/>
  <c r="CQ57" i="43"/>
  <c r="DA57" i="43"/>
  <c r="DC57" i="43"/>
  <c r="DD57" i="43"/>
  <c r="DE57" i="43"/>
  <c r="DH57" i="43"/>
  <c r="DI57" i="43"/>
  <c r="DJ57" i="43"/>
  <c r="DK57" i="43"/>
  <c r="DL57" i="43"/>
  <c r="DM57" i="43"/>
  <c r="DN57" i="43"/>
  <c r="DO57" i="43"/>
  <c r="DP57" i="43"/>
  <c r="DQ57" i="43"/>
  <c r="DR57" i="43"/>
  <c r="DS57" i="43"/>
  <c r="DT57" i="43"/>
  <c r="DU57" i="43"/>
  <c r="DV57" i="43"/>
  <c r="DW57" i="43"/>
  <c r="DX57" i="43"/>
  <c r="DY57" i="43"/>
  <c r="DZ57" i="43"/>
  <c r="EA57" i="43"/>
  <c r="EB57" i="43"/>
  <c r="EC57" i="43"/>
  <c r="CM58" i="43"/>
  <c r="CN58" i="43"/>
  <c r="CO58" i="43"/>
  <c r="CP58" i="43"/>
  <c r="CQ58" i="43"/>
  <c r="DA58" i="43"/>
  <c r="DB58" i="43"/>
  <c r="DC58" i="43"/>
  <c r="DD58" i="43"/>
  <c r="DE58" i="43"/>
  <c r="DG58" i="43"/>
  <c r="DH58" i="43"/>
  <c r="DI58" i="43"/>
  <c r="DJ58" i="43"/>
  <c r="DK58" i="43"/>
  <c r="DL58" i="43"/>
  <c r="DM58" i="43"/>
  <c r="DN58" i="43"/>
  <c r="DO58" i="43"/>
  <c r="DP58" i="43"/>
  <c r="DQ58" i="43"/>
  <c r="DR58" i="43"/>
  <c r="DS58" i="43"/>
  <c r="DT58" i="43"/>
  <c r="DU58" i="43"/>
  <c r="DV58" i="43"/>
  <c r="DW58" i="43"/>
  <c r="DX58" i="43"/>
  <c r="DY58" i="43"/>
  <c r="DZ58" i="43"/>
  <c r="EA58" i="43"/>
  <c r="EB58" i="43"/>
  <c r="EC58" i="43"/>
  <c r="CM59" i="43"/>
  <c r="CN59" i="43"/>
  <c r="CO59" i="43"/>
  <c r="CP59" i="43"/>
  <c r="CQ59" i="43"/>
  <c r="DD59" i="43"/>
  <c r="DE59" i="43"/>
  <c r="DF59" i="43"/>
  <c r="DG59" i="43"/>
  <c r="DH59" i="43"/>
  <c r="DI59" i="43"/>
  <c r="DJ59" i="43"/>
  <c r="DK59" i="43"/>
  <c r="DL59" i="43"/>
  <c r="DM59" i="43"/>
  <c r="DN59" i="43"/>
  <c r="DO59" i="43"/>
  <c r="DP59" i="43"/>
  <c r="DQ59" i="43"/>
  <c r="DR59" i="43"/>
  <c r="DS59" i="43"/>
  <c r="DT59" i="43"/>
  <c r="DU59" i="43"/>
  <c r="DV59" i="43"/>
  <c r="DW59" i="43"/>
  <c r="DX59" i="43"/>
  <c r="DY59" i="43"/>
  <c r="DZ59" i="43"/>
  <c r="EA59" i="43"/>
  <c r="EB59" i="43"/>
  <c r="EC59" i="43"/>
  <c r="CM60" i="43"/>
  <c r="CN60" i="43"/>
  <c r="CO60" i="43"/>
  <c r="CP60" i="43"/>
  <c r="CQ60" i="43"/>
  <c r="DB60" i="43"/>
  <c r="DC60" i="43"/>
  <c r="DD60" i="43"/>
  <c r="DE60" i="43"/>
  <c r="DG60" i="43"/>
  <c r="DH60" i="43"/>
  <c r="DI60" i="43"/>
  <c r="DJ60" i="43"/>
  <c r="DK60" i="43"/>
  <c r="DL60" i="43"/>
  <c r="DM60" i="43"/>
  <c r="DN60" i="43"/>
  <c r="DO60" i="43"/>
  <c r="DP60" i="43"/>
  <c r="DQ60" i="43"/>
  <c r="DR60" i="43"/>
  <c r="DS60" i="43"/>
  <c r="DT60" i="43"/>
  <c r="DU60" i="43"/>
  <c r="DV60" i="43"/>
  <c r="DW60" i="43"/>
  <c r="DX60" i="43"/>
  <c r="DY60" i="43"/>
  <c r="DZ60" i="43"/>
  <c r="EA60" i="43"/>
  <c r="EB60" i="43"/>
  <c r="EC60" i="43"/>
  <c r="CM61" i="43"/>
  <c r="CN61" i="43"/>
  <c r="CO61" i="43"/>
  <c r="CP61" i="43"/>
  <c r="CQ61" i="43"/>
  <c r="DA61" i="43"/>
  <c r="DB61" i="43"/>
  <c r="DC61" i="43"/>
  <c r="DD61" i="43"/>
  <c r="DE61" i="43"/>
  <c r="DH61" i="43"/>
  <c r="DI61" i="43"/>
  <c r="DJ61" i="43"/>
  <c r="DK61" i="43"/>
  <c r="DL61" i="43"/>
  <c r="DM61" i="43"/>
  <c r="DN61" i="43"/>
  <c r="DO61" i="43"/>
  <c r="DP61" i="43"/>
  <c r="DQ61" i="43"/>
  <c r="DR61" i="43"/>
  <c r="DS61" i="43"/>
  <c r="DT61" i="43"/>
  <c r="DU61" i="43"/>
  <c r="DV61" i="43"/>
  <c r="DW61" i="43"/>
  <c r="DX61" i="43"/>
  <c r="DY61" i="43"/>
  <c r="DZ61" i="43"/>
  <c r="EA61" i="43"/>
  <c r="EB61" i="43"/>
  <c r="EC61" i="43"/>
  <c r="CM62" i="43"/>
  <c r="CN62" i="43"/>
  <c r="CO62" i="43"/>
  <c r="CP62" i="43"/>
  <c r="CQ62" i="43"/>
  <c r="DA62" i="43"/>
  <c r="DB62" i="43"/>
  <c r="DD62" i="43"/>
  <c r="DE62" i="43"/>
  <c r="DG62" i="43"/>
  <c r="DH62" i="43"/>
  <c r="DI62" i="43"/>
  <c r="DJ62" i="43"/>
  <c r="DK62" i="43"/>
  <c r="DL62" i="43"/>
  <c r="DM62" i="43"/>
  <c r="DN62" i="43"/>
  <c r="DO62" i="43"/>
  <c r="DP62" i="43"/>
  <c r="DQ62" i="43"/>
  <c r="DR62" i="43"/>
  <c r="DS62" i="43"/>
  <c r="DT62" i="43"/>
  <c r="DU62" i="43"/>
  <c r="DV62" i="43"/>
  <c r="DW62" i="43"/>
  <c r="DX62" i="43"/>
  <c r="DY62" i="43"/>
  <c r="DZ62" i="43"/>
  <c r="EA62" i="43"/>
  <c r="EB62" i="43"/>
  <c r="EC62" i="43"/>
  <c r="CM63" i="43"/>
  <c r="CN63" i="43"/>
  <c r="CO63" i="43"/>
  <c r="CP63" i="43"/>
  <c r="CQ63" i="43"/>
  <c r="DD63" i="43"/>
  <c r="DE63" i="43"/>
  <c r="DF63" i="43"/>
  <c r="DG63" i="43"/>
  <c r="DH63" i="43"/>
  <c r="DI63" i="43"/>
  <c r="DJ63" i="43"/>
  <c r="DK63" i="43"/>
  <c r="DL63" i="43"/>
  <c r="DM63" i="43"/>
  <c r="DN63" i="43"/>
  <c r="DO63" i="43"/>
  <c r="DP63" i="43"/>
  <c r="DQ63" i="43"/>
  <c r="DR63" i="43"/>
  <c r="DS63" i="43"/>
  <c r="DT63" i="43"/>
  <c r="DU63" i="43"/>
  <c r="DV63" i="43"/>
  <c r="DW63" i="43"/>
  <c r="DX63" i="43"/>
  <c r="DY63" i="43"/>
  <c r="DZ63" i="43"/>
  <c r="EA63" i="43"/>
  <c r="EB63" i="43"/>
  <c r="EC63" i="43"/>
  <c r="CM64" i="43"/>
  <c r="CN64" i="43"/>
  <c r="CO64" i="43"/>
  <c r="CP64" i="43"/>
  <c r="CQ64" i="43"/>
  <c r="DB64" i="43"/>
  <c r="DD64" i="43"/>
  <c r="DE64" i="43"/>
  <c r="DG64" i="43"/>
  <c r="DH64" i="43"/>
  <c r="DI64" i="43"/>
  <c r="DJ64" i="43"/>
  <c r="DK64" i="43"/>
  <c r="DL64" i="43"/>
  <c r="DM64" i="43"/>
  <c r="DN64" i="43"/>
  <c r="DO64" i="43"/>
  <c r="DP64" i="43"/>
  <c r="DQ64" i="43"/>
  <c r="DR64" i="43"/>
  <c r="DS64" i="43"/>
  <c r="DT64" i="43"/>
  <c r="DU64" i="43"/>
  <c r="DV64" i="43"/>
  <c r="DW64" i="43"/>
  <c r="DX64" i="43"/>
  <c r="DY64" i="43"/>
  <c r="DZ64" i="43"/>
  <c r="EA64" i="43"/>
  <c r="EB64" i="43"/>
  <c r="EC64" i="43"/>
  <c r="CM65" i="43"/>
  <c r="CN65" i="43"/>
  <c r="CO65" i="43"/>
  <c r="CP65" i="43"/>
  <c r="CQ65" i="43"/>
  <c r="DA65" i="43"/>
  <c r="DC65" i="43"/>
  <c r="DD65" i="43"/>
  <c r="DE65" i="43"/>
  <c r="DH65" i="43"/>
  <c r="DI65" i="43"/>
  <c r="DJ65" i="43"/>
  <c r="DK65" i="43"/>
  <c r="DL65" i="43"/>
  <c r="DM65" i="43"/>
  <c r="DN65" i="43"/>
  <c r="DO65" i="43"/>
  <c r="DP65" i="43"/>
  <c r="DQ65" i="43"/>
  <c r="DR65" i="43"/>
  <c r="DS65" i="43"/>
  <c r="DT65" i="43"/>
  <c r="DU65" i="43"/>
  <c r="DV65" i="43"/>
  <c r="DW65" i="43"/>
  <c r="DX65" i="43"/>
  <c r="DY65" i="43"/>
  <c r="DZ65" i="43"/>
  <c r="EA65" i="43"/>
  <c r="EB65" i="43"/>
  <c r="EC65" i="43"/>
  <c r="CM66" i="43"/>
  <c r="CN66" i="43"/>
  <c r="CO66" i="43"/>
  <c r="CP66" i="43"/>
  <c r="CQ66" i="43"/>
  <c r="DA66" i="43"/>
  <c r="DB66" i="43"/>
  <c r="DC66" i="43"/>
  <c r="DD66" i="43"/>
  <c r="DE66" i="43"/>
  <c r="DG66" i="43"/>
  <c r="DH66" i="43"/>
  <c r="DI66" i="43"/>
  <c r="DJ66" i="43"/>
  <c r="DK66" i="43"/>
  <c r="DL66" i="43"/>
  <c r="DM66" i="43"/>
  <c r="DN66" i="43"/>
  <c r="DO66" i="43"/>
  <c r="DP66" i="43"/>
  <c r="DQ66" i="43"/>
  <c r="DR66" i="43"/>
  <c r="DS66" i="43"/>
  <c r="DT66" i="43"/>
  <c r="DU66" i="43"/>
  <c r="DV66" i="43"/>
  <c r="DW66" i="43"/>
  <c r="DX66" i="43"/>
  <c r="DY66" i="43"/>
  <c r="DZ66" i="43"/>
  <c r="EA66" i="43"/>
  <c r="EB66" i="43"/>
  <c r="EC66" i="43"/>
  <c r="CM67" i="43"/>
  <c r="CN67" i="43"/>
  <c r="CO67" i="43"/>
  <c r="CP67" i="43"/>
  <c r="CQ67" i="43"/>
  <c r="DC67" i="43"/>
  <c r="DD67" i="43"/>
  <c r="DE67" i="43"/>
  <c r="DF67" i="43"/>
  <c r="DG67" i="43"/>
  <c r="DH67" i="43"/>
  <c r="DI67" i="43"/>
  <c r="DJ67" i="43"/>
  <c r="DK67" i="43"/>
  <c r="DL67" i="43"/>
  <c r="DM67" i="43"/>
  <c r="DN67" i="43"/>
  <c r="DO67" i="43"/>
  <c r="DP67" i="43"/>
  <c r="DQ67" i="43"/>
  <c r="DR67" i="43"/>
  <c r="DS67" i="43"/>
  <c r="DT67" i="43"/>
  <c r="DU67" i="43"/>
  <c r="DV67" i="43"/>
  <c r="DW67" i="43"/>
  <c r="DX67" i="43"/>
  <c r="DY67" i="43"/>
  <c r="DZ67" i="43"/>
  <c r="EA67" i="43"/>
  <c r="EB67" i="43"/>
  <c r="EC67" i="43"/>
  <c r="CM68" i="43"/>
  <c r="CN68" i="43"/>
  <c r="CO68" i="43"/>
  <c r="CP68" i="43"/>
  <c r="CQ68" i="43"/>
  <c r="DB68" i="43"/>
  <c r="DC68" i="43"/>
  <c r="DD68" i="43"/>
  <c r="DE68" i="43"/>
  <c r="DG68" i="43"/>
  <c r="DH68" i="43"/>
  <c r="DI68" i="43"/>
  <c r="DJ68" i="43"/>
  <c r="DK68" i="43"/>
  <c r="DL68" i="43"/>
  <c r="DM68" i="43"/>
  <c r="DN68" i="43"/>
  <c r="DO68" i="43"/>
  <c r="DP68" i="43"/>
  <c r="DQ68" i="43"/>
  <c r="DR68" i="43"/>
  <c r="DS68" i="43"/>
  <c r="DT68" i="43"/>
  <c r="DU68" i="43"/>
  <c r="DV68" i="43"/>
  <c r="DW68" i="43"/>
  <c r="DX68" i="43"/>
  <c r="DY68" i="43"/>
  <c r="DZ68" i="43"/>
  <c r="EA68" i="43"/>
  <c r="EB68" i="43"/>
  <c r="EC68" i="43"/>
  <c r="CM69" i="43"/>
  <c r="CN69" i="43"/>
  <c r="CO69" i="43"/>
  <c r="CP69" i="43"/>
  <c r="CQ69" i="43"/>
  <c r="DA69" i="43"/>
  <c r="DB69" i="43"/>
  <c r="DC69" i="43"/>
  <c r="DD69" i="43"/>
  <c r="DE69" i="43"/>
  <c r="DF69" i="43"/>
  <c r="DH69" i="43"/>
  <c r="DI69" i="43"/>
  <c r="DJ69" i="43"/>
  <c r="DK69" i="43"/>
  <c r="DL69" i="43"/>
  <c r="DM69" i="43"/>
  <c r="DN69" i="43"/>
  <c r="DO69" i="43"/>
  <c r="DP69" i="43"/>
  <c r="DQ69" i="43"/>
  <c r="DR69" i="43"/>
  <c r="DS69" i="43"/>
  <c r="DT69" i="43"/>
  <c r="DU69" i="43"/>
  <c r="DV69" i="43"/>
  <c r="DW69" i="43"/>
  <c r="DX69" i="43"/>
  <c r="DY69" i="43"/>
  <c r="DZ69" i="43"/>
  <c r="EA69" i="43"/>
  <c r="EB69" i="43"/>
  <c r="EC69" i="43"/>
  <c r="CM70" i="43"/>
  <c r="CN70" i="43"/>
  <c r="CO70" i="43"/>
  <c r="CP70" i="43"/>
  <c r="CQ70" i="43"/>
  <c r="DA70" i="43"/>
  <c r="DB70" i="43"/>
  <c r="DC70" i="43"/>
  <c r="DD70" i="43"/>
  <c r="DE70" i="43"/>
  <c r="DG70" i="43"/>
  <c r="DH70" i="43"/>
  <c r="DI70" i="43"/>
  <c r="DJ70" i="43"/>
  <c r="DK70" i="43"/>
  <c r="DL70" i="43"/>
  <c r="DM70" i="43"/>
  <c r="DN70" i="43"/>
  <c r="DO70" i="43"/>
  <c r="DP70" i="43"/>
  <c r="DQ70" i="43"/>
  <c r="DR70" i="43"/>
  <c r="DS70" i="43"/>
  <c r="DT70" i="43"/>
  <c r="DU70" i="43"/>
  <c r="DV70" i="43"/>
  <c r="DW70" i="43"/>
  <c r="DX70" i="43"/>
  <c r="DY70" i="43"/>
  <c r="DZ70" i="43"/>
  <c r="EA70" i="43"/>
  <c r="EB70" i="43"/>
  <c r="EC70" i="43"/>
  <c r="CM71" i="43"/>
  <c r="CN71" i="43"/>
  <c r="CO71" i="43"/>
  <c r="CP71" i="43"/>
  <c r="CQ71" i="43"/>
  <c r="DA71" i="43"/>
  <c r="DC71" i="43"/>
  <c r="DD71" i="43"/>
  <c r="DE71" i="43"/>
  <c r="DF71" i="43"/>
  <c r="DG71" i="43"/>
  <c r="DH71" i="43"/>
  <c r="DI71" i="43"/>
  <c r="DJ71" i="43"/>
  <c r="DK71" i="43"/>
  <c r="DL71" i="43"/>
  <c r="DM71" i="43"/>
  <c r="DN71" i="43"/>
  <c r="DO71" i="43"/>
  <c r="DP71" i="43"/>
  <c r="DQ71" i="43"/>
  <c r="DR71" i="43"/>
  <c r="DS71" i="43"/>
  <c r="DT71" i="43"/>
  <c r="DU71" i="43"/>
  <c r="DV71" i="43"/>
  <c r="DW71" i="43"/>
  <c r="DX71" i="43"/>
  <c r="DY71" i="43"/>
  <c r="DZ71" i="43"/>
  <c r="EA71" i="43"/>
  <c r="EB71" i="43"/>
  <c r="EC71" i="43"/>
  <c r="DW50" i="43"/>
  <c r="DS50" i="43"/>
  <c r="DR50" i="43"/>
  <c r="DT50" i="43"/>
  <c r="DQ50" i="43"/>
  <c r="DJ50" i="43"/>
  <c r="DK50" i="43"/>
  <c r="DL50" i="43"/>
  <c r="DM50" i="43"/>
  <c r="DN50" i="43"/>
  <c r="DI50" i="43"/>
  <c r="DE50" i="43"/>
  <c r="DH50" i="43"/>
  <c r="DG50" i="43"/>
  <c r="DD50" i="43"/>
  <c r="DB50" i="43"/>
  <c r="DC50" i="43"/>
  <c r="CO50" i="43"/>
  <c r="CP50" i="43"/>
  <c r="CN50" i="43"/>
  <c r="CQ50" i="43"/>
  <c r="CX50" i="43"/>
  <c r="DO50" i="43"/>
  <c r="DP50" i="43"/>
  <c r="DU50" i="43"/>
  <c r="DV50" i="43"/>
  <c r="DX50" i="43"/>
  <c r="DY50" i="43"/>
  <c r="DZ50" i="43"/>
  <c r="EA50" i="43"/>
  <c r="EB50" i="43"/>
  <c r="EC50" i="43"/>
  <c r="CM50" i="43"/>
  <c r="T30" i="44"/>
  <c r="S30" i="44"/>
  <c r="R30" i="44"/>
  <c r="T29" i="44"/>
  <c r="S29" i="44"/>
  <c r="R29" i="44"/>
  <c r="T28" i="44"/>
  <c r="S28" i="44"/>
  <c r="R28" i="44"/>
  <c r="T27" i="44"/>
  <c r="S27" i="44"/>
  <c r="R27" i="44"/>
  <c r="T26" i="44"/>
  <c r="S26" i="44"/>
  <c r="R26" i="44"/>
  <c r="T25" i="44"/>
  <c r="S25" i="44"/>
  <c r="R25" i="44"/>
  <c r="T24" i="44"/>
  <c r="S24" i="44"/>
  <c r="R24" i="44"/>
  <c r="O30" i="44"/>
  <c r="O29" i="44"/>
  <c r="O28" i="44"/>
  <c r="O27" i="44"/>
  <c r="O26" i="44"/>
  <c r="O25" i="44"/>
  <c r="O24" i="44"/>
  <c r="U25" i="44"/>
  <c r="W25" i="44"/>
  <c r="U26" i="44"/>
  <c r="W26" i="44"/>
  <c r="U27" i="44"/>
  <c r="W27" i="44"/>
  <c r="U28" i="44"/>
  <c r="W28" i="44"/>
  <c r="U29" i="44"/>
  <c r="W29" i="44"/>
  <c r="U30" i="44"/>
  <c r="W30" i="44"/>
  <c r="U24" i="44"/>
  <c r="W24" i="44"/>
  <c r="AY25" i="44"/>
  <c r="AW25" i="44"/>
  <c r="AY24" i="44"/>
  <c r="AW24" i="44"/>
  <c r="AE25" i="44"/>
  <c r="AE24" i="44"/>
  <c r="AI25" i="44"/>
  <c r="AH25" i="44"/>
  <c r="AG25" i="44"/>
  <c r="AI24" i="44"/>
  <c r="AH24" i="44"/>
  <c r="AG24" i="44"/>
  <c r="AJ25" i="44"/>
  <c r="AL25" i="44"/>
  <c r="AJ24" i="44"/>
  <c r="AL24" i="44"/>
  <c r="AU25" i="44"/>
  <c r="AT24" i="44"/>
  <c r="AR25" i="44"/>
  <c r="A25" i="44"/>
  <c r="D25" i="44"/>
  <c r="E25" i="44"/>
  <c r="F25" i="44"/>
  <c r="A26" i="44"/>
  <c r="D26" i="44"/>
  <c r="E26" i="44"/>
  <c r="F26" i="44"/>
  <c r="A27" i="44"/>
  <c r="D27" i="44"/>
  <c r="E27" i="44"/>
  <c r="F27" i="44"/>
  <c r="A28" i="44"/>
  <c r="D28" i="44"/>
  <c r="E28" i="44"/>
  <c r="F28" i="44"/>
  <c r="A29" i="44"/>
  <c r="D29" i="44"/>
  <c r="E29" i="44"/>
  <c r="F29" i="44"/>
  <c r="A30" i="44"/>
  <c r="D30" i="44"/>
  <c r="E30" i="44"/>
  <c r="F30" i="44"/>
  <c r="A31" i="44"/>
  <c r="D31" i="44"/>
  <c r="E31" i="44"/>
  <c r="F31" i="44"/>
  <c r="A32" i="44"/>
  <c r="D32" i="44"/>
  <c r="E32" i="44"/>
  <c r="F32" i="44"/>
  <c r="A33" i="44"/>
  <c r="D33" i="44"/>
  <c r="E33" i="44"/>
  <c r="F33" i="44"/>
  <c r="A34" i="44"/>
  <c r="D34" i="44"/>
  <c r="E34" i="44"/>
  <c r="F34" i="44"/>
  <c r="D24" i="44"/>
  <c r="E24" i="44"/>
  <c r="F24" i="44"/>
  <c r="A24" i="44"/>
  <c r="AR3" i="44"/>
  <c r="R15" i="44"/>
  <c r="U7" i="44"/>
  <c r="R5" i="44"/>
  <c r="R6" i="44"/>
  <c r="R7" i="44"/>
  <c r="X30" i="44"/>
  <c r="V30" i="44"/>
  <c r="X29" i="44"/>
  <c r="V29" i="44"/>
  <c r="X28" i="44"/>
  <c r="V28" i="44"/>
  <c r="X27" i="44"/>
  <c r="V27" i="44"/>
  <c r="X26" i="44"/>
  <c r="V26" i="44"/>
  <c r="AZ25" i="44"/>
  <c r="AX25" i="44"/>
  <c r="AT25" i="44"/>
  <c r="AM25" i="44"/>
  <c r="AK25" i="44"/>
  <c r="X25" i="44"/>
  <c r="V25" i="44"/>
  <c r="AZ24" i="44"/>
  <c r="AX24" i="44"/>
  <c r="AU24" i="44"/>
  <c r="AR24" i="44"/>
  <c r="AM24" i="44"/>
  <c r="AK24" i="44"/>
  <c r="X24" i="44"/>
  <c r="V24" i="44"/>
  <c r="K7" i="47"/>
  <c r="K6" i="47"/>
  <c r="K5" i="47"/>
  <c r="K4" i="47"/>
  <c r="H7" i="47"/>
  <c r="AB27" i="44" s="1"/>
  <c r="H6" i="47"/>
  <c r="AA27" i="44" s="1"/>
  <c r="H14" i="47"/>
  <c r="AC30" i="44" s="1"/>
  <c r="H5" i="47"/>
  <c r="Z28" i="44" s="1"/>
  <c r="E5" i="47"/>
  <c r="R4" i="44" s="1"/>
  <c r="H13" i="47"/>
  <c r="H4" i="47"/>
  <c r="Y28" i="44" s="1"/>
  <c r="E4" i="47"/>
  <c r="R3" i="44" s="1"/>
  <c r="A2" i="47"/>
  <c r="R50" i="43"/>
  <c r="S50" i="43"/>
  <c r="G54" i="43"/>
  <c r="E50" i="43"/>
  <c r="H71" i="43"/>
  <c r="H72" i="43"/>
  <c r="H73" i="43"/>
  <c r="H74" i="43"/>
  <c r="H75" i="43"/>
  <c r="G55" i="43"/>
  <c r="G56" i="43"/>
  <c r="G59" i="43"/>
  <c r="G60" i="43"/>
  <c r="G67" i="43"/>
  <c r="G68" i="43"/>
  <c r="G71" i="43"/>
  <c r="G72" i="43"/>
  <c r="G75" i="43"/>
  <c r="G52" i="43"/>
  <c r="R51" i="43"/>
  <c r="H70" i="43"/>
  <c r="H69" i="43"/>
  <c r="H68" i="43"/>
  <c r="H67" i="43"/>
  <c r="H66" i="43"/>
  <c r="H65" i="43"/>
  <c r="H64" i="43"/>
  <c r="H63" i="43"/>
  <c r="H62" i="43"/>
  <c r="H61" i="43"/>
  <c r="H60" i="43"/>
  <c r="H59" i="43"/>
  <c r="H58" i="43"/>
  <c r="H57" i="43"/>
  <c r="H56" i="43"/>
  <c r="H55" i="43"/>
  <c r="H54" i="43"/>
  <c r="H53" i="43"/>
  <c r="H52" i="43"/>
  <c r="F35" i="43"/>
  <c r="F27" i="43"/>
  <c r="R13" i="44" l="1"/>
  <c r="BC24" i="44"/>
  <c r="AO25" i="44"/>
  <c r="BD25" i="44"/>
  <c r="BD24" i="44"/>
  <c r="Q30" i="44"/>
  <c r="Q28" i="44"/>
  <c r="C31" i="44"/>
  <c r="Q27" i="44"/>
  <c r="C30" i="44"/>
  <c r="C33" i="44"/>
  <c r="Q29" i="44"/>
  <c r="Q26" i="44"/>
  <c r="C29" i="44"/>
  <c r="C25" i="44"/>
  <c r="Q25" i="44"/>
  <c r="C28" i="44"/>
  <c r="C24" i="44"/>
  <c r="C27" i="44"/>
  <c r="C32" i="44"/>
  <c r="Q24" i="44"/>
  <c r="C34" i="44"/>
  <c r="C26" i="44"/>
  <c r="AA25" i="44"/>
  <c r="R14" i="44"/>
  <c r="BB25" i="44"/>
  <c r="AC25" i="44"/>
  <c r="AQ25" i="44"/>
  <c r="U3" i="44"/>
  <c r="BC25" i="44"/>
  <c r="H15" i="47"/>
  <c r="AD24" i="44" s="1"/>
  <c r="U4" i="44"/>
  <c r="AA24" i="44"/>
  <c r="AA26" i="44"/>
  <c r="Z27" i="44"/>
  <c r="AA28" i="44"/>
  <c r="AA29" i="44"/>
  <c r="AA30" i="44"/>
  <c r="U5" i="44"/>
  <c r="Y3" i="44"/>
  <c r="Z26" i="44"/>
  <c r="AP25" i="44"/>
  <c r="AC26" i="44"/>
  <c r="AC28" i="44"/>
  <c r="U6" i="44"/>
  <c r="Y4" i="44"/>
  <c r="Z30" i="44"/>
  <c r="AC24" i="44"/>
  <c r="Z25" i="44"/>
  <c r="R11" i="44"/>
  <c r="R12" i="44"/>
  <c r="G50" i="43"/>
  <c r="GN50" i="43"/>
  <c r="GO54" i="43"/>
  <c r="GO58" i="43"/>
  <c r="DB55" i="43"/>
  <c r="DG69" i="43"/>
  <c r="DG61" i="43"/>
  <c r="DG53" i="43"/>
  <c r="GJ53" i="43"/>
  <c r="GJ57" i="43"/>
  <c r="DB71" i="43"/>
  <c r="DB63" i="43"/>
  <c r="ES55" i="43"/>
  <c r="EX56" i="43"/>
  <c r="DB67" i="43"/>
  <c r="DF62" i="43"/>
  <c r="DG57" i="43"/>
  <c r="ER56" i="43"/>
  <c r="EX60" i="43"/>
  <c r="DB59" i="43"/>
  <c r="G64" i="43"/>
  <c r="Y24" i="44"/>
  <c r="AC27" i="44"/>
  <c r="Y29" i="44"/>
  <c r="AB24" i="44"/>
  <c r="Y25" i="44"/>
  <c r="AD27" i="44"/>
  <c r="AB28" i="44"/>
  <c r="Z29" i="44"/>
  <c r="AN25" i="44"/>
  <c r="BA25" i="44"/>
  <c r="Y26" i="44"/>
  <c r="Y30" i="44"/>
  <c r="AB29" i="44"/>
  <c r="AB25" i="44"/>
  <c r="Y27" i="44"/>
  <c r="AC29" i="44"/>
  <c r="AB26" i="44"/>
  <c r="AB30" i="44"/>
  <c r="Z24" i="44"/>
  <c r="G73" i="43"/>
  <c r="G69" i="43"/>
  <c r="G65" i="43"/>
  <c r="G61" i="43"/>
  <c r="G57" i="43"/>
  <c r="G53" i="43"/>
  <c r="G74" i="43"/>
  <c r="G70" i="43"/>
  <c r="G66" i="43"/>
  <c r="G62" i="43"/>
  <c r="G58" i="43"/>
  <c r="E55" i="43"/>
  <c r="E56" i="43"/>
  <c r="E59" i="43"/>
  <c r="E62" i="43"/>
  <c r="E65" i="43"/>
  <c r="E68" i="43"/>
  <c r="E72" i="43"/>
  <c r="E75" i="43"/>
  <c r="E54" i="43"/>
  <c r="E57" i="43"/>
  <c r="E60" i="43"/>
  <c r="E64" i="43"/>
  <c r="E67" i="43"/>
  <c r="E70" i="43"/>
  <c r="E73" i="43"/>
  <c r="E69" i="43"/>
  <c r="E61" i="43"/>
  <c r="E53" i="43"/>
  <c r="E74" i="43"/>
  <c r="E66" i="43"/>
  <c r="E58" i="43"/>
  <c r="E71" i="43"/>
  <c r="E63" i="43"/>
  <c r="AQ145" i="40" l="1"/>
  <c r="AP145" i="40"/>
  <c r="AP24" i="44"/>
  <c r="BB26" i="44"/>
  <c r="AO26" i="44"/>
  <c r="AQ24" i="44"/>
  <c r="BA26" i="44"/>
  <c r="AN26" i="44"/>
  <c r="BC26" i="44"/>
  <c r="AP26" i="44"/>
  <c r="AQ26" i="44"/>
  <c r="BD26" i="44"/>
  <c r="AO24" i="44"/>
  <c r="BB24" i="44"/>
  <c r="AN24" i="44"/>
  <c r="BA24" i="44"/>
  <c r="AS24" i="44"/>
  <c r="AD29" i="44"/>
  <c r="AD30" i="44"/>
  <c r="AS25" i="44"/>
  <c r="AD25" i="44"/>
  <c r="Y5" i="44"/>
  <c r="AD28" i="44"/>
  <c r="AD26" i="44"/>
  <c r="G63" i="43"/>
  <c r="E52" i="43"/>
  <c r="Q50" i="43" l="1"/>
  <c r="V50" i="43" l="1"/>
  <c r="F38" i="43"/>
  <c r="F37" i="43"/>
  <c r="F23" i="43"/>
  <c r="F15" i="43"/>
  <c r="F16" i="43"/>
  <c r="F17" i="43"/>
  <c r="F11" i="43"/>
  <c r="F9" i="43"/>
  <c r="F14" i="43"/>
  <c r="F13" i="43"/>
  <c r="F12" i="43"/>
  <c r="F42" i="43"/>
  <c r="F41" i="43"/>
  <c r="E30" i="1"/>
  <c r="E31" i="1"/>
  <c r="E32" i="1"/>
  <c r="E29" i="1"/>
  <c r="E23" i="1"/>
  <c r="E19" i="1"/>
  <c r="E18" i="1"/>
  <c r="E35" i="1"/>
  <c r="E36" i="1"/>
  <c r="E37" i="1"/>
  <c r="E34" i="1"/>
  <c r="E13" i="1"/>
  <c r="E14" i="1"/>
  <c r="E15" i="1"/>
  <c r="D13" i="6" s="1"/>
  <c r="E16" i="1"/>
  <c r="E17" i="1"/>
  <c r="E11" i="1"/>
  <c r="E4" i="1"/>
  <c r="E3" i="1"/>
  <c r="E7" i="1"/>
  <c r="E8" i="1"/>
  <c r="E6" i="1"/>
  <c r="E38" i="1"/>
  <c r="E27" i="1"/>
  <c r="E33" i="1"/>
  <c r="P35" i="46"/>
  <c r="I66" i="46"/>
  <c r="J72" i="46"/>
  <c r="J70" i="46"/>
  <c r="J69" i="46"/>
  <c r="J66" i="46"/>
  <c r="P40" i="46"/>
  <c r="P36" i="46"/>
  <c r="P34" i="46"/>
  <c r="P42" i="46" s="1"/>
  <c r="U23" i="46"/>
  <c r="T23" i="46"/>
  <c r="S23" i="46"/>
  <c r="R23" i="46"/>
  <c r="Q23" i="46"/>
  <c r="P23" i="46"/>
  <c r="P22" i="46"/>
  <c r="Q21" i="46"/>
  <c r="Q20" i="46"/>
  <c r="Q19" i="46"/>
  <c r="Q18" i="46"/>
  <c r="U17" i="46"/>
  <c r="T17" i="46"/>
  <c r="S17" i="46"/>
  <c r="R17" i="46"/>
  <c r="Q17" i="46"/>
  <c r="P17" i="46"/>
  <c r="R16" i="46"/>
  <c r="R15" i="46"/>
  <c r="Q14" i="46"/>
  <c r="Q13" i="46"/>
  <c r="Q12" i="46"/>
  <c r="B2" i="47"/>
  <c r="U11" i="46"/>
  <c r="T11" i="46"/>
  <c r="S11" i="46"/>
  <c r="R11" i="46"/>
  <c r="Q11" i="46"/>
  <c r="P11" i="46"/>
  <c r="R10" i="46"/>
  <c r="R9" i="46"/>
  <c r="Q8" i="46"/>
  <c r="R7" i="46"/>
  <c r="R6" i="46"/>
  <c r="Q5" i="46"/>
  <c r="U4" i="46"/>
  <c r="T4" i="46"/>
  <c r="S4" i="46"/>
  <c r="R4" i="46"/>
  <c r="Q4" i="46"/>
  <c r="P4" i="46"/>
  <c r="X3" i="46"/>
  <c r="W3" i="46"/>
  <c r="V3" i="46"/>
  <c r="U3" i="46"/>
  <c r="T3" i="46"/>
  <c r="S3" i="46"/>
  <c r="R3" i="46"/>
  <c r="Q3" i="46"/>
  <c r="P3" i="46"/>
  <c r="FW60" i="43"/>
  <c r="FW59" i="43"/>
  <c r="FW58" i="43"/>
  <c r="FW57" i="43"/>
  <c r="FW56" i="43"/>
  <c r="FW55" i="43"/>
  <c r="FW54" i="43"/>
  <c r="FW53" i="43"/>
  <c r="FW52" i="43"/>
  <c r="FW51" i="43"/>
  <c r="T51" i="43"/>
  <c r="W51" i="43"/>
  <c r="FW50" i="43"/>
  <c r="AC50" i="43"/>
  <c r="X50" i="43"/>
  <c r="T50" i="43"/>
  <c r="F44" i="43"/>
  <c r="F43" i="43"/>
  <c r="AP6" i="44"/>
  <c r="AP7" i="44"/>
  <c r="I69" i="46" l="1"/>
  <c r="E12" i="1"/>
  <c r="I70" i="46"/>
  <c r="E5" i="1"/>
  <c r="E9" i="1"/>
  <c r="W50" i="43"/>
  <c r="F55" i="43"/>
  <c r="F60" i="43"/>
  <c r="F65" i="43"/>
  <c r="F71" i="43"/>
  <c r="F52" i="43"/>
  <c r="F56" i="43"/>
  <c r="F61" i="43"/>
  <c r="F67" i="43"/>
  <c r="F72" i="43"/>
  <c r="F62" i="43"/>
  <c r="F50" i="43"/>
  <c r="F57" i="43"/>
  <c r="F63" i="43"/>
  <c r="F68" i="43"/>
  <c r="F73" i="43"/>
  <c r="F74" i="43"/>
  <c r="F53" i="43"/>
  <c r="F59" i="43"/>
  <c r="F64" i="43"/>
  <c r="F69" i="43"/>
  <c r="F75" i="43"/>
  <c r="F70" i="43"/>
  <c r="F66" i="43"/>
  <c r="F58" i="43"/>
  <c r="AH50" i="43"/>
  <c r="X51" i="43"/>
  <c r="P43" i="46"/>
  <c r="P39" i="46"/>
  <c r="P38" i="46"/>
  <c r="J67" i="46"/>
  <c r="P33" i="46"/>
  <c r="I72" i="46"/>
  <c r="AG50" i="43"/>
  <c r="AG51" i="43"/>
  <c r="AB50" i="43"/>
  <c r="P30" i="44" l="1"/>
  <c r="P26" i="44"/>
  <c r="P27" i="44"/>
  <c r="CG62" i="43"/>
  <c r="AL30" i="45" s="1"/>
  <c r="CG63" i="43"/>
  <c r="AL31" i="45" s="1"/>
  <c r="CG68" i="43"/>
  <c r="AL36" i="45" s="1"/>
  <c r="CG53" i="43"/>
  <c r="AL21" i="45" s="1"/>
  <c r="P28" i="44"/>
  <c r="CG56" i="43"/>
  <c r="AL24" i="45" s="1"/>
  <c r="CG61" i="43"/>
  <c r="AL29" i="45" s="1"/>
  <c r="CG57" i="43"/>
  <c r="AL25" i="45" s="1"/>
  <c r="CG70" i="43"/>
  <c r="AL38" i="45" s="1"/>
  <c r="AM145" i="40"/>
  <c r="CG71" i="43" s="1"/>
  <c r="AL39" i="45" s="1"/>
  <c r="CG60" i="43"/>
  <c r="AL28" i="45" s="1"/>
  <c r="CG66" i="43"/>
  <c r="AL34" i="45" s="1"/>
  <c r="CG67" i="43"/>
  <c r="AL35" i="45" s="1"/>
  <c r="CG51" i="43"/>
  <c r="AL19" i="45" s="1"/>
  <c r="B24" i="44"/>
  <c r="CG50" i="43"/>
  <c r="AL18" i="45" s="1"/>
  <c r="CG69" i="43"/>
  <c r="AL37" i="45" s="1"/>
  <c r="CG65" i="43"/>
  <c r="AL33" i="45" s="1"/>
  <c r="CG58" i="43"/>
  <c r="AL26" i="45" s="1"/>
  <c r="CG59" i="43"/>
  <c r="AL27" i="45" s="1"/>
  <c r="B27" i="44"/>
  <c r="CG54" i="43"/>
  <c r="AL22" i="45" s="1"/>
  <c r="CG55" i="43"/>
  <c r="AL23" i="45" s="1"/>
  <c r="P29" i="44"/>
  <c r="CG52" i="43"/>
  <c r="AL20" i="45" s="1"/>
  <c r="CG64" i="43"/>
  <c r="AL32" i="45" s="1"/>
  <c r="D12" i="6"/>
  <c r="AL50" i="43"/>
  <c r="AH51" i="43"/>
  <c r="AC51" i="43"/>
  <c r="F54" i="43"/>
  <c r="AR51" i="43"/>
  <c r="AM51" i="43"/>
  <c r="AR50" i="43"/>
  <c r="AM50" i="43"/>
  <c r="J73" i="46"/>
  <c r="J68" i="46"/>
  <c r="J71" i="46"/>
  <c r="P41" i="46"/>
  <c r="P37" i="46"/>
  <c r="AF51" i="43"/>
  <c r="AA51" i="43"/>
  <c r="AB51" i="43"/>
  <c r="J52" i="43"/>
  <c r="E56" i="34"/>
  <c r="H24" i="44"/>
  <c r="N58" i="43"/>
  <c r="N59" i="43"/>
  <c r="CH51" i="43"/>
  <c r="AM19" i="45" s="1"/>
  <c r="CH52" i="43"/>
  <c r="AM20" i="45" s="1"/>
  <c r="CH53" i="43"/>
  <c r="AM21" i="45" s="1"/>
  <c r="CH54" i="43"/>
  <c r="AM22" i="45" s="1"/>
  <c r="CH55" i="43"/>
  <c r="AM23" i="45" s="1"/>
  <c r="CH56" i="43"/>
  <c r="AM24" i="45" s="1"/>
  <c r="CH57" i="43"/>
  <c r="AM25" i="45" s="1"/>
  <c r="CH58" i="43"/>
  <c r="AM26" i="45" s="1"/>
  <c r="CH59" i="43"/>
  <c r="AM27" i="45" s="1"/>
  <c r="CH60" i="43"/>
  <c r="AM28" i="45" s="1"/>
  <c r="CH61" i="43"/>
  <c r="AM29" i="45" s="1"/>
  <c r="CH62" i="43"/>
  <c r="AM30" i="45" s="1"/>
  <c r="CH63" i="43"/>
  <c r="AM31" i="45" s="1"/>
  <c r="CH64" i="43"/>
  <c r="AM32" i="45" s="1"/>
  <c r="CH65" i="43"/>
  <c r="AM33" i="45" s="1"/>
  <c r="CH66" i="43"/>
  <c r="AM34" i="45" s="1"/>
  <c r="CH67" i="43"/>
  <c r="AM35" i="45" s="1"/>
  <c r="CH68" i="43"/>
  <c r="AM36" i="45" s="1"/>
  <c r="CH69" i="43"/>
  <c r="AM37" i="45" s="1"/>
  <c r="CH70" i="43"/>
  <c r="AM38" i="45" s="1"/>
  <c r="CH71" i="43"/>
  <c r="AM39" i="45" s="1"/>
  <c r="CH50" i="43"/>
  <c r="AM18" i="45" s="1"/>
  <c r="A2" i="44"/>
  <c r="B2" i="44"/>
  <c r="BC51" i="43"/>
  <c r="H19" i="45" s="1"/>
  <c r="BD51" i="43"/>
  <c r="I19" i="45" s="1"/>
  <c r="BE51" i="43"/>
  <c r="J19" i="45" s="1"/>
  <c r="BG51" i="43"/>
  <c r="L19" i="45" s="1"/>
  <c r="BH51" i="43"/>
  <c r="M19" i="45" s="1"/>
  <c r="BI51" i="43"/>
  <c r="N19" i="45" s="1"/>
  <c r="BJ51" i="43"/>
  <c r="O19" i="45" s="1"/>
  <c r="BK51" i="43"/>
  <c r="P19" i="45" s="1"/>
  <c r="BN51" i="43"/>
  <c r="S19" i="45" s="1"/>
  <c r="BO51" i="43"/>
  <c r="T19" i="45" s="1"/>
  <c r="BP51" i="43"/>
  <c r="U19" i="45" s="1"/>
  <c r="BQ51" i="43"/>
  <c r="V19" i="45" s="1"/>
  <c r="BR51" i="43"/>
  <c r="W19" i="45" s="1"/>
  <c r="BS51" i="43"/>
  <c r="X19" i="45" s="1"/>
  <c r="BU51" i="43"/>
  <c r="Z19" i="45" s="1"/>
  <c r="BV51" i="43"/>
  <c r="AA19" i="45" s="1"/>
  <c r="BW51" i="43"/>
  <c r="AB19" i="45" s="1"/>
  <c r="CD51" i="43"/>
  <c r="AI19" i="45" s="1"/>
  <c r="CE51" i="43"/>
  <c r="AJ19" i="45" s="1"/>
  <c r="CL51" i="43"/>
  <c r="AQ19" i="45" s="1"/>
  <c r="BC52" i="43"/>
  <c r="H20" i="45" s="1"/>
  <c r="BD52" i="43"/>
  <c r="I20" i="45" s="1"/>
  <c r="BE52" i="43"/>
  <c r="J20" i="45" s="1"/>
  <c r="BG52" i="43"/>
  <c r="L20" i="45" s="1"/>
  <c r="BH52" i="43"/>
  <c r="M20" i="45" s="1"/>
  <c r="BI52" i="43"/>
  <c r="N20" i="45" s="1"/>
  <c r="BJ52" i="43"/>
  <c r="O20" i="45" s="1"/>
  <c r="BK52" i="43"/>
  <c r="P20" i="45" s="1"/>
  <c r="BN52" i="43"/>
  <c r="S20" i="45" s="1"/>
  <c r="BO52" i="43"/>
  <c r="T20" i="45" s="1"/>
  <c r="BP52" i="43"/>
  <c r="U20" i="45" s="1"/>
  <c r="BQ52" i="43"/>
  <c r="V20" i="45" s="1"/>
  <c r="BR52" i="43"/>
  <c r="W20" i="45" s="1"/>
  <c r="BS52" i="43"/>
  <c r="X20" i="45" s="1"/>
  <c r="BU52" i="43"/>
  <c r="Z20" i="45" s="1"/>
  <c r="BV52" i="43"/>
  <c r="AA20" i="45" s="1"/>
  <c r="BW52" i="43"/>
  <c r="AB20" i="45" s="1"/>
  <c r="CD52" i="43"/>
  <c r="AI20" i="45" s="1"/>
  <c r="CE52" i="43"/>
  <c r="AJ20" i="45" s="1"/>
  <c r="CL52" i="43"/>
  <c r="AQ20" i="45" s="1"/>
  <c r="BC53" i="43"/>
  <c r="H21" i="45" s="1"/>
  <c r="BD53" i="43"/>
  <c r="I21" i="45" s="1"/>
  <c r="BE53" i="43"/>
  <c r="J21" i="45" s="1"/>
  <c r="BG53" i="43"/>
  <c r="L21" i="45" s="1"/>
  <c r="BH53" i="43"/>
  <c r="M21" i="45" s="1"/>
  <c r="BI53" i="43"/>
  <c r="N21" i="45" s="1"/>
  <c r="BJ53" i="43"/>
  <c r="O21" i="45" s="1"/>
  <c r="BK53" i="43"/>
  <c r="P21" i="45" s="1"/>
  <c r="BN53" i="43"/>
  <c r="S21" i="45" s="1"/>
  <c r="BO53" i="43"/>
  <c r="T21" i="45" s="1"/>
  <c r="BP53" i="43"/>
  <c r="U21" i="45" s="1"/>
  <c r="BQ53" i="43"/>
  <c r="V21" i="45" s="1"/>
  <c r="BR53" i="43"/>
  <c r="W21" i="45" s="1"/>
  <c r="BS53" i="43"/>
  <c r="X21" i="45" s="1"/>
  <c r="BU53" i="43"/>
  <c r="Z21" i="45" s="1"/>
  <c r="BV53" i="43"/>
  <c r="AA21" i="45" s="1"/>
  <c r="BW53" i="43"/>
  <c r="AB21" i="45" s="1"/>
  <c r="CD53" i="43"/>
  <c r="AI21" i="45" s="1"/>
  <c r="CE53" i="43"/>
  <c r="AJ21" i="45" s="1"/>
  <c r="CL53" i="43"/>
  <c r="AQ21" i="45" s="1"/>
  <c r="BC54" i="43"/>
  <c r="H22" i="45" s="1"/>
  <c r="BD54" i="43"/>
  <c r="I22" i="45" s="1"/>
  <c r="BE54" i="43"/>
  <c r="J22" i="45" s="1"/>
  <c r="BG54" i="43"/>
  <c r="L22" i="45" s="1"/>
  <c r="BH54" i="43"/>
  <c r="M22" i="45" s="1"/>
  <c r="BI54" i="43"/>
  <c r="N22" i="45" s="1"/>
  <c r="BJ54" i="43"/>
  <c r="O22" i="45" s="1"/>
  <c r="BK54" i="43"/>
  <c r="P22" i="45" s="1"/>
  <c r="BN54" i="43"/>
  <c r="S22" i="45" s="1"/>
  <c r="BO54" i="43"/>
  <c r="T22" i="45" s="1"/>
  <c r="BP54" i="43"/>
  <c r="U22" i="45" s="1"/>
  <c r="BQ54" i="43"/>
  <c r="V22" i="45" s="1"/>
  <c r="BR54" i="43"/>
  <c r="W22" i="45" s="1"/>
  <c r="BS54" i="43"/>
  <c r="X22" i="45" s="1"/>
  <c r="BU54" i="43"/>
  <c r="Z22" i="45" s="1"/>
  <c r="BV54" i="43"/>
  <c r="AA22" i="45" s="1"/>
  <c r="BW54" i="43"/>
  <c r="AB22" i="45" s="1"/>
  <c r="CD54" i="43"/>
  <c r="AI22" i="45" s="1"/>
  <c r="CE54" i="43"/>
  <c r="AJ22" i="45" s="1"/>
  <c r="CL54" i="43"/>
  <c r="AQ22" i="45" s="1"/>
  <c r="BC55" i="43"/>
  <c r="H23" i="45" s="1"/>
  <c r="BD55" i="43"/>
  <c r="I23" i="45" s="1"/>
  <c r="BE55" i="43"/>
  <c r="J23" i="45" s="1"/>
  <c r="BG55" i="43"/>
  <c r="L23" i="45" s="1"/>
  <c r="BH55" i="43"/>
  <c r="M23" i="45" s="1"/>
  <c r="BI55" i="43"/>
  <c r="N23" i="45" s="1"/>
  <c r="BJ55" i="43"/>
  <c r="O23" i="45" s="1"/>
  <c r="BK55" i="43"/>
  <c r="P23" i="45" s="1"/>
  <c r="BN55" i="43"/>
  <c r="S23" i="45" s="1"/>
  <c r="BO55" i="43"/>
  <c r="T23" i="45" s="1"/>
  <c r="BP55" i="43"/>
  <c r="U23" i="45" s="1"/>
  <c r="BQ55" i="43"/>
  <c r="V23" i="45" s="1"/>
  <c r="BR55" i="43"/>
  <c r="W23" i="45" s="1"/>
  <c r="BS55" i="43"/>
  <c r="X23" i="45" s="1"/>
  <c r="BU55" i="43"/>
  <c r="Z23" i="45" s="1"/>
  <c r="BV55" i="43"/>
  <c r="AA23" i="45" s="1"/>
  <c r="BW55" i="43"/>
  <c r="AB23" i="45" s="1"/>
  <c r="CD55" i="43"/>
  <c r="AI23" i="45" s="1"/>
  <c r="CE55" i="43"/>
  <c r="AJ23" i="45" s="1"/>
  <c r="CL55" i="43"/>
  <c r="AQ23" i="45" s="1"/>
  <c r="BC56" i="43"/>
  <c r="H24" i="45" s="1"/>
  <c r="BD56" i="43"/>
  <c r="I24" i="45" s="1"/>
  <c r="BE56" i="43"/>
  <c r="J24" i="45" s="1"/>
  <c r="BG56" i="43"/>
  <c r="L24" i="45" s="1"/>
  <c r="BH56" i="43"/>
  <c r="M24" i="45" s="1"/>
  <c r="BI56" i="43"/>
  <c r="N24" i="45" s="1"/>
  <c r="BJ56" i="43"/>
  <c r="O24" i="45" s="1"/>
  <c r="BK56" i="43"/>
  <c r="P24" i="45" s="1"/>
  <c r="BN56" i="43"/>
  <c r="S24" i="45" s="1"/>
  <c r="BO56" i="43"/>
  <c r="T24" i="45" s="1"/>
  <c r="BP56" i="43"/>
  <c r="U24" i="45" s="1"/>
  <c r="BQ56" i="43"/>
  <c r="V24" i="45" s="1"/>
  <c r="BR56" i="43"/>
  <c r="W24" i="45" s="1"/>
  <c r="BS56" i="43"/>
  <c r="X24" i="45" s="1"/>
  <c r="BU56" i="43"/>
  <c r="Z24" i="45" s="1"/>
  <c r="BV56" i="43"/>
  <c r="AA24" i="45" s="1"/>
  <c r="BW56" i="43"/>
  <c r="AB24" i="45" s="1"/>
  <c r="CD56" i="43"/>
  <c r="AI24" i="45" s="1"/>
  <c r="CE56" i="43"/>
  <c r="AJ24" i="45" s="1"/>
  <c r="CL56" i="43"/>
  <c r="AQ24" i="45" s="1"/>
  <c r="BC57" i="43"/>
  <c r="H25" i="45" s="1"/>
  <c r="BD57" i="43"/>
  <c r="I25" i="45" s="1"/>
  <c r="BE57" i="43"/>
  <c r="J25" i="45" s="1"/>
  <c r="BG57" i="43"/>
  <c r="L25" i="45" s="1"/>
  <c r="BH57" i="43"/>
  <c r="M25" i="45" s="1"/>
  <c r="BI57" i="43"/>
  <c r="N25" i="45" s="1"/>
  <c r="BJ57" i="43"/>
  <c r="O25" i="45" s="1"/>
  <c r="BK57" i="43"/>
  <c r="P25" i="45" s="1"/>
  <c r="BN57" i="43"/>
  <c r="S25" i="45" s="1"/>
  <c r="BO57" i="43"/>
  <c r="T25" i="45" s="1"/>
  <c r="BP57" i="43"/>
  <c r="U25" i="45" s="1"/>
  <c r="BQ57" i="43"/>
  <c r="V25" i="45" s="1"/>
  <c r="BR57" i="43"/>
  <c r="W25" i="45" s="1"/>
  <c r="BS57" i="43"/>
  <c r="X25" i="45" s="1"/>
  <c r="BU57" i="43"/>
  <c r="Z25" i="45" s="1"/>
  <c r="BV57" i="43"/>
  <c r="AA25" i="45" s="1"/>
  <c r="BW57" i="43"/>
  <c r="AB25" i="45" s="1"/>
  <c r="CD57" i="43"/>
  <c r="AI25" i="45" s="1"/>
  <c r="CE57" i="43"/>
  <c r="AJ25" i="45" s="1"/>
  <c r="CL57" i="43"/>
  <c r="AQ25" i="45" s="1"/>
  <c r="BC58" i="43"/>
  <c r="H26" i="45" s="1"/>
  <c r="BD58" i="43"/>
  <c r="I26" i="45" s="1"/>
  <c r="BE58" i="43"/>
  <c r="J26" i="45" s="1"/>
  <c r="BG58" i="43"/>
  <c r="L26" i="45" s="1"/>
  <c r="BH58" i="43"/>
  <c r="M26" i="45" s="1"/>
  <c r="BI58" i="43"/>
  <c r="N26" i="45" s="1"/>
  <c r="BJ58" i="43"/>
  <c r="O26" i="45" s="1"/>
  <c r="BK58" i="43"/>
  <c r="P26" i="45" s="1"/>
  <c r="BN58" i="43"/>
  <c r="S26" i="45" s="1"/>
  <c r="BO58" i="43"/>
  <c r="T26" i="45" s="1"/>
  <c r="BP58" i="43"/>
  <c r="U26" i="45" s="1"/>
  <c r="BQ58" i="43"/>
  <c r="V26" i="45" s="1"/>
  <c r="BR58" i="43"/>
  <c r="W26" i="45" s="1"/>
  <c r="BS58" i="43"/>
  <c r="X26" i="45" s="1"/>
  <c r="BU58" i="43"/>
  <c r="Z26" i="45" s="1"/>
  <c r="BV58" i="43"/>
  <c r="AA26" i="45" s="1"/>
  <c r="BW58" i="43"/>
  <c r="AB26" i="45" s="1"/>
  <c r="CD58" i="43"/>
  <c r="AI26" i="45" s="1"/>
  <c r="CE58" i="43"/>
  <c r="AJ26" i="45" s="1"/>
  <c r="CL58" i="43"/>
  <c r="AQ26" i="45" s="1"/>
  <c r="BC59" i="43"/>
  <c r="H27" i="45" s="1"/>
  <c r="BD59" i="43"/>
  <c r="I27" i="45" s="1"/>
  <c r="BE59" i="43"/>
  <c r="J27" i="45" s="1"/>
  <c r="BG59" i="43"/>
  <c r="L27" i="45" s="1"/>
  <c r="BH59" i="43"/>
  <c r="M27" i="45" s="1"/>
  <c r="BI59" i="43"/>
  <c r="N27" i="45" s="1"/>
  <c r="BJ59" i="43"/>
  <c r="O27" i="45" s="1"/>
  <c r="BK59" i="43"/>
  <c r="P27" i="45" s="1"/>
  <c r="BN59" i="43"/>
  <c r="S27" i="45" s="1"/>
  <c r="BO59" i="43"/>
  <c r="T27" i="45" s="1"/>
  <c r="BP59" i="43"/>
  <c r="U27" i="45" s="1"/>
  <c r="BQ59" i="43"/>
  <c r="V27" i="45" s="1"/>
  <c r="BR59" i="43"/>
  <c r="W27" i="45" s="1"/>
  <c r="BS59" i="43"/>
  <c r="X27" i="45" s="1"/>
  <c r="BU59" i="43"/>
  <c r="Z27" i="45" s="1"/>
  <c r="BV59" i="43"/>
  <c r="AA27" i="45" s="1"/>
  <c r="BW59" i="43"/>
  <c r="AB27" i="45" s="1"/>
  <c r="CD59" i="43"/>
  <c r="AI27" i="45" s="1"/>
  <c r="CE59" i="43"/>
  <c r="AJ27" i="45" s="1"/>
  <c r="CL59" i="43"/>
  <c r="AQ27" i="45" s="1"/>
  <c r="BC60" i="43"/>
  <c r="H28" i="45" s="1"/>
  <c r="BD60" i="43"/>
  <c r="I28" i="45" s="1"/>
  <c r="BE60" i="43"/>
  <c r="J28" i="45" s="1"/>
  <c r="BG60" i="43"/>
  <c r="L28" i="45" s="1"/>
  <c r="BH60" i="43"/>
  <c r="M28" i="45" s="1"/>
  <c r="BI60" i="43"/>
  <c r="N28" i="45" s="1"/>
  <c r="BJ60" i="43"/>
  <c r="O28" i="45" s="1"/>
  <c r="BK60" i="43"/>
  <c r="P28" i="45" s="1"/>
  <c r="BN60" i="43"/>
  <c r="S28" i="45" s="1"/>
  <c r="BO60" i="43"/>
  <c r="T28" i="45" s="1"/>
  <c r="BP60" i="43"/>
  <c r="U28" i="45" s="1"/>
  <c r="BQ60" i="43"/>
  <c r="V28" i="45" s="1"/>
  <c r="BR60" i="43"/>
  <c r="W28" i="45" s="1"/>
  <c r="BS60" i="43"/>
  <c r="X28" i="45" s="1"/>
  <c r="BU60" i="43"/>
  <c r="Z28" i="45" s="1"/>
  <c r="BV60" i="43"/>
  <c r="AA28" i="45" s="1"/>
  <c r="BW60" i="43"/>
  <c r="AB28" i="45" s="1"/>
  <c r="CD60" i="43"/>
  <c r="AI28" i="45" s="1"/>
  <c r="CE60" i="43"/>
  <c r="AJ28" i="45" s="1"/>
  <c r="CL60" i="43"/>
  <c r="AQ28" i="45" s="1"/>
  <c r="BC61" i="43"/>
  <c r="H29" i="45" s="1"/>
  <c r="BD61" i="43"/>
  <c r="I29" i="45" s="1"/>
  <c r="BE61" i="43"/>
  <c r="J29" i="45" s="1"/>
  <c r="BG61" i="43"/>
  <c r="L29" i="45" s="1"/>
  <c r="BH61" i="43"/>
  <c r="M29" i="45" s="1"/>
  <c r="BI61" i="43"/>
  <c r="N29" i="45" s="1"/>
  <c r="BJ61" i="43"/>
  <c r="O29" i="45" s="1"/>
  <c r="BK61" i="43"/>
  <c r="P29" i="45" s="1"/>
  <c r="BN61" i="43"/>
  <c r="S29" i="45" s="1"/>
  <c r="BO61" i="43"/>
  <c r="T29" i="45" s="1"/>
  <c r="BP61" i="43"/>
  <c r="U29" i="45" s="1"/>
  <c r="BQ61" i="43"/>
  <c r="V29" i="45" s="1"/>
  <c r="BR61" i="43"/>
  <c r="W29" i="45" s="1"/>
  <c r="BS61" i="43"/>
  <c r="X29" i="45" s="1"/>
  <c r="BU61" i="43"/>
  <c r="Z29" i="45" s="1"/>
  <c r="BV61" i="43"/>
  <c r="AA29" i="45" s="1"/>
  <c r="BW61" i="43"/>
  <c r="AB29" i="45" s="1"/>
  <c r="CD61" i="43"/>
  <c r="AI29" i="45" s="1"/>
  <c r="CE61" i="43"/>
  <c r="AJ29" i="45" s="1"/>
  <c r="CL61" i="43"/>
  <c r="AQ29" i="45" s="1"/>
  <c r="BC62" i="43"/>
  <c r="H30" i="45" s="1"/>
  <c r="BD62" i="43"/>
  <c r="I30" i="45" s="1"/>
  <c r="BE62" i="43"/>
  <c r="J30" i="45" s="1"/>
  <c r="BG62" i="43"/>
  <c r="L30" i="45" s="1"/>
  <c r="BH62" i="43"/>
  <c r="M30" i="45" s="1"/>
  <c r="BI62" i="43"/>
  <c r="N30" i="45" s="1"/>
  <c r="BJ62" i="43"/>
  <c r="O30" i="45" s="1"/>
  <c r="BK62" i="43"/>
  <c r="P30" i="45" s="1"/>
  <c r="BN62" i="43"/>
  <c r="S30" i="45" s="1"/>
  <c r="BO62" i="43"/>
  <c r="T30" i="45" s="1"/>
  <c r="BP62" i="43"/>
  <c r="U30" i="45" s="1"/>
  <c r="BQ62" i="43"/>
  <c r="V30" i="45" s="1"/>
  <c r="BR62" i="43"/>
  <c r="W30" i="45" s="1"/>
  <c r="BS62" i="43"/>
  <c r="X30" i="45" s="1"/>
  <c r="BU62" i="43"/>
  <c r="Z30" i="45" s="1"/>
  <c r="BV62" i="43"/>
  <c r="AA30" i="45" s="1"/>
  <c r="BW62" i="43"/>
  <c r="AB30" i="45" s="1"/>
  <c r="CD62" i="43"/>
  <c r="AI30" i="45" s="1"/>
  <c r="CE62" i="43"/>
  <c r="AJ30" i="45" s="1"/>
  <c r="CL62" i="43"/>
  <c r="AQ30" i="45" s="1"/>
  <c r="BC63" i="43"/>
  <c r="H31" i="45" s="1"/>
  <c r="BD63" i="43"/>
  <c r="I31" i="45" s="1"/>
  <c r="BE63" i="43"/>
  <c r="J31" i="45" s="1"/>
  <c r="BG63" i="43"/>
  <c r="L31" i="45" s="1"/>
  <c r="BH63" i="43"/>
  <c r="M31" i="45" s="1"/>
  <c r="BI63" i="43"/>
  <c r="N31" i="45" s="1"/>
  <c r="BJ63" i="43"/>
  <c r="O31" i="45" s="1"/>
  <c r="BK63" i="43"/>
  <c r="P31" i="45" s="1"/>
  <c r="BN63" i="43"/>
  <c r="S31" i="45" s="1"/>
  <c r="BO63" i="43"/>
  <c r="T31" i="45" s="1"/>
  <c r="BP63" i="43"/>
  <c r="U31" i="45" s="1"/>
  <c r="BQ63" i="43"/>
  <c r="V31" i="45" s="1"/>
  <c r="BR63" i="43"/>
  <c r="W31" i="45" s="1"/>
  <c r="BS63" i="43"/>
  <c r="X31" i="45" s="1"/>
  <c r="BU63" i="43"/>
  <c r="Z31" i="45" s="1"/>
  <c r="BV63" i="43"/>
  <c r="AA31" i="45" s="1"/>
  <c r="BW63" i="43"/>
  <c r="AB31" i="45" s="1"/>
  <c r="CD63" i="43"/>
  <c r="AI31" i="45" s="1"/>
  <c r="CE63" i="43"/>
  <c r="AJ31" i="45" s="1"/>
  <c r="CL63" i="43"/>
  <c r="AQ31" i="45" s="1"/>
  <c r="BC64" i="43"/>
  <c r="H32" i="45" s="1"/>
  <c r="BD64" i="43"/>
  <c r="I32" i="45" s="1"/>
  <c r="BE64" i="43"/>
  <c r="J32" i="45" s="1"/>
  <c r="BG64" i="43"/>
  <c r="L32" i="45" s="1"/>
  <c r="BH64" i="43"/>
  <c r="M32" i="45" s="1"/>
  <c r="BI64" i="43"/>
  <c r="N32" i="45" s="1"/>
  <c r="BJ64" i="43"/>
  <c r="O32" i="45" s="1"/>
  <c r="BK64" i="43"/>
  <c r="P32" i="45" s="1"/>
  <c r="BN64" i="43"/>
  <c r="S32" i="45" s="1"/>
  <c r="BO64" i="43"/>
  <c r="T32" i="45" s="1"/>
  <c r="BP64" i="43"/>
  <c r="U32" i="45" s="1"/>
  <c r="BQ64" i="43"/>
  <c r="V32" i="45" s="1"/>
  <c r="BR64" i="43"/>
  <c r="W32" i="45" s="1"/>
  <c r="BS64" i="43"/>
  <c r="X32" i="45" s="1"/>
  <c r="BU64" i="43"/>
  <c r="Z32" i="45" s="1"/>
  <c r="BV64" i="43"/>
  <c r="AA32" i="45" s="1"/>
  <c r="BW64" i="43"/>
  <c r="AB32" i="45" s="1"/>
  <c r="CD64" i="43"/>
  <c r="AI32" i="45" s="1"/>
  <c r="CE64" i="43"/>
  <c r="AJ32" i="45" s="1"/>
  <c r="CL64" i="43"/>
  <c r="AQ32" i="45" s="1"/>
  <c r="BC65" i="43"/>
  <c r="H33" i="45" s="1"/>
  <c r="BD65" i="43"/>
  <c r="I33" i="45" s="1"/>
  <c r="BE65" i="43"/>
  <c r="J33" i="45" s="1"/>
  <c r="BG65" i="43"/>
  <c r="L33" i="45" s="1"/>
  <c r="BH65" i="43"/>
  <c r="M33" i="45" s="1"/>
  <c r="BI65" i="43"/>
  <c r="N33" i="45" s="1"/>
  <c r="BJ65" i="43"/>
  <c r="O33" i="45" s="1"/>
  <c r="BK65" i="43"/>
  <c r="P33" i="45" s="1"/>
  <c r="BN65" i="43"/>
  <c r="S33" i="45" s="1"/>
  <c r="BO65" i="43"/>
  <c r="T33" i="45" s="1"/>
  <c r="BP65" i="43"/>
  <c r="U33" i="45" s="1"/>
  <c r="BQ65" i="43"/>
  <c r="V33" i="45" s="1"/>
  <c r="BR65" i="43"/>
  <c r="W33" i="45" s="1"/>
  <c r="BS65" i="43"/>
  <c r="X33" i="45" s="1"/>
  <c r="BU65" i="43"/>
  <c r="Z33" i="45" s="1"/>
  <c r="BV65" i="43"/>
  <c r="AA33" i="45" s="1"/>
  <c r="BW65" i="43"/>
  <c r="AB33" i="45" s="1"/>
  <c r="CD65" i="43"/>
  <c r="AI33" i="45" s="1"/>
  <c r="CE65" i="43"/>
  <c r="AJ33" i="45" s="1"/>
  <c r="CL65" i="43"/>
  <c r="AQ33" i="45" s="1"/>
  <c r="BC66" i="43"/>
  <c r="H34" i="45" s="1"/>
  <c r="BD66" i="43"/>
  <c r="I34" i="45" s="1"/>
  <c r="BE66" i="43"/>
  <c r="J34" i="45" s="1"/>
  <c r="BG66" i="43"/>
  <c r="L34" i="45" s="1"/>
  <c r="BH66" i="43"/>
  <c r="M34" i="45" s="1"/>
  <c r="BI66" i="43"/>
  <c r="N34" i="45" s="1"/>
  <c r="BJ66" i="43"/>
  <c r="O34" i="45" s="1"/>
  <c r="BK66" i="43"/>
  <c r="P34" i="45" s="1"/>
  <c r="BN66" i="43"/>
  <c r="S34" i="45" s="1"/>
  <c r="BO66" i="43"/>
  <c r="T34" i="45" s="1"/>
  <c r="BP66" i="43"/>
  <c r="U34" i="45" s="1"/>
  <c r="BQ66" i="43"/>
  <c r="V34" i="45" s="1"/>
  <c r="BR66" i="43"/>
  <c r="W34" i="45" s="1"/>
  <c r="BS66" i="43"/>
  <c r="X34" i="45" s="1"/>
  <c r="BU66" i="43"/>
  <c r="Z34" i="45" s="1"/>
  <c r="BV66" i="43"/>
  <c r="AA34" i="45" s="1"/>
  <c r="BW66" i="43"/>
  <c r="AB34" i="45" s="1"/>
  <c r="CD66" i="43"/>
  <c r="AI34" i="45" s="1"/>
  <c r="CE66" i="43"/>
  <c r="AJ34" i="45" s="1"/>
  <c r="CL66" i="43"/>
  <c r="AQ34" i="45" s="1"/>
  <c r="BC67" i="43"/>
  <c r="H35" i="45" s="1"/>
  <c r="BD67" i="43"/>
  <c r="I35" i="45" s="1"/>
  <c r="BE67" i="43"/>
  <c r="J35" i="45" s="1"/>
  <c r="BG67" i="43"/>
  <c r="L35" i="45" s="1"/>
  <c r="BH67" i="43"/>
  <c r="M35" i="45" s="1"/>
  <c r="BI67" i="43"/>
  <c r="N35" i="45" s="1"/>
  <c r="BJ67" i="43"/>
  <c r="O35" i="45" s="1"/>
  <c r="BK67" i="43"/>
  <c r="P35" i="45" s="1"/>
  <c r="BN67" i="43"/>
  <c r="S35" i="45" s="1"/>
  <c r="BO67" i="43"/>
  <c r="T35" i="45" s="1"/>
  <c r="BP67" i="43"/>
  <c r="U35" i="45" s="1"/>
  <c r="BQ67" i="43"/>
  <c r="V35" i="45" s="1"/>
  <c r="BR67" i="43"/>
  <c r="W35" i="45" s="1"/>
  <c r="BS67" i="43"/>
  <c r="X35" i="45" s="1"/>
  <c r="BU67" i="43"/>
  <c r="Z35" i="45" s="1"/>
  <c r="BV67" i="43"/>
  <c r="AA35" i="45" s="1"/>
  <c r="BW67" i="43"/>
  <c r="AB35" i="45" s="1"/>
  <c r="CD67" i="43"/>
  <c r="AI35" i="45" s="1"/>
  <c r="CE67" i="43"/>
  <c r="AJ35" i="45" s="1"/>
  <c r="CL67" i="43"/>
  <c r="AQ35" i="45" s="1"/>
  <c r="BC68" i="43"/>
  <c r="H36" i="45" s="1"/>
  <c r="BD68" i="43"/>
  <c r="I36" i="45" s="1"/>
  <c r="BE68" i="43"/>
  <c r="J36" i="45" s="1"/>
  <c r="BG68" i="43"/>
  <c r="L36" i="45" s="1"/>
  <c r="BH68" i="43"/>
  <c r="M36" i="45" s="1"/>
  <c r="BI68" i="43"/>
  <c r="N36" i="45" s="1"/>
  <c r="BJ68" i="43"/>
  <c r="O36" i="45" s="1"/>
  <c r="BK68" i="43"/>
  <c r="P36" i="45" s="1"/>
  <c r="BN68" i="43"/>
  <c r="S36" i="45" s="1"/>
  <c r="BO68" i="43"/>
  <c r="T36" i="45" s="1"/>
  <c r="BP68" i="43"/>
  <c r="U36" i="45" s="1"/>
  <c r="BQ68" i="43"/>
  <c r="V36" i="45" s="1"/>
  <c r="BR68" i="43"/>
  <c r="W36" i="45" s="1"/>
  <c r="BS68" i="43"/>
  <c r="X36" i="45" s="1"/>
  <c r="BU68" i="43"/>
  <c r="Z36" i="45" s="1"/>
  <c r="BV68" i="43"/>
  <c r="AA36" i="45" s="1"/>
  <c r="BW68" i="43"/>
  <c r="AB36" i="45" s="1"/>
  <c r="CD68" i="43"/>
  <c r="AI36" i="45" s="1"/>
  <c r="CE68" i="43"/>
  <c r="AJ36" i="45" s="1"/>
  <c r="CL68" i="43"/>
  <c r="AQ36" i="45" s="1"/>
  <c r="BC69" i="43"/>
  <c r="H37" i="45" s="1"/>
  <c r="BD69" i="43"/>
  <c r="I37" i="45" s="1"/>
  <c r="BE69" i="43"/>
  <c r="J37" i="45" s="1"/>
  <c r="BG69" i="43"/>
  <c r="L37" i="45" s="1"/>
  <c r="BH69" i="43"/>
  <c r="M37" i="45" s="1"/>
  <c r="BI69" i="43"/>
  <c r="N37" i="45" s="1"/>
  <c r="BJ69" i="43"/>
  <c r="O37" i="45" s="1"/>
  <c r="BK69" i="43"/>
  <c r="P37" i="45" s="1"/>
  <c r="BN69" i="43"/>
  <c r="S37" i="45" s="1"/>
  <c r="BO69" i="43"/>
  <c r="T37" i="45" s="1"/>
  <c r="BP69" i="43"/>
  <c r="U37" i="45" s="1"/>
  <c r="BQ69" i="43"/>
  <c r="V37" i="45" s="1"/>
  <c r="BR69" i="43"/>
  <c r="W37" i="45" s="1"/>
  <c r="BS69" i="43"/>
  <c r="X37" i="45" s="1"/>
  <c r="BU69" i="43"/>
  <c r="Z37" i="45" s="1"/>
  <c r="BV69" i="43"/>
  <c r="AA37" i="45" s="1"/>
  <c r="BW69" i="43"/>
  <c r="AB37" i="45" s="1"/>
  <c r="CD69" i="43"/>
  <c r="AI37" i="45" s="1"/>
  <c r="CE69" i="43"/>
  <c r="AJ37" i="45" s="1"/>
  <c r="CL69" i="43"/>
  <c r="AQ37" i="45" s="1"/>
  <c r="BC70" i="43"/>
  <c r="H38" i="45" s="1"/>
  <c r="BD70" i="43"/>
  <c r="I38" i="45" s="1"/>
  <c r="BE70" i="43"/>
  <c r="J38" i="45" s="1"/>
  <c r="BG70" i="43"/>
  <c r="L38" i="45" s="1"/>
  <c r="BH70" i="43"/>
  <c r="M38" i="45" s="1"/>
  <c r="BI70" i="43"/>
  <c r="N38" i="45" s="1"/>
  <c r="BJ70" i="43"/>
  <c r="O38" i="45" s="1"/>
  <c r="BK70" i="43"/>
  <c r="P38" i="45" s="1"/>
  <c r="BN70" i="43"/>
  <c r="S38" i="45" s="1"/>
  <c r="BO70" i="43"/>
  <c r="T38" i="45" s="1"/>
  <c r="BP70" i="43"/>
  <c r="U38" i="45" s="1"/>
  <c r="BQ70" i="43"/>
  <c r="V38" i="45" s="1"/>
  <c r="BR70" i="43"/>
  <c r="W38" i="45" s="1"/>
  <c r="BS70" i="43"/>
  <c r="X38" i="45" s="1"/>
  <c r="BU70" i="43"/>
  <c r="Z38" i="45" s="1"/>
  <c r="BV70" i="43"/>
  <c r="AA38" i="45" s="1"/>
  <c r="BW70" i="43"/>
  <c r="AB38" i="45" s="1"/>
  <c r="CD70" i="43"/>
  <c r="AI38" i="45" s="1"/>
  <c r="CE70" i="43"/>
  <c r="AJ38" i="45" s="1"/>
  <c r="CL70" i="43"/>
  <c r="AQ38" i="45" s="1"/>
  <c r="BC71" i="43"/>
  <c r="H39" i="45" s="1"/>
  <c r="BD71" i="43"/>
  <c r="I39" i="45" s="1"/>
  <c r="BE71" i="43"/>
  <c r="J39" i="45" s="1"/>
  <c r="BG71" i="43"/>
  <c r="L39" i="45" s="1"/>
  <c r="BH71" i="43"/>
  <c r="M39" i="45" s="1"/>
  <c r="BI71" i="43"/>
  <c r="N39" i="45" s="1"/>
  <c r="BJ71" i="43"/>
  <c r="O39" i="45" s="1"/>
  <c r="BK71" i="43"/>
  <c r="P39" i="45" s="1"/>
  <c r="BN71" i="43"/>
  <c r="S39" i="45" s="1"/>
  <c r="BO71" i="43"/>
  <c r="T39" i="45" s="1"/>
  <c r="BP71" i="43"/>
  <c r="U39" i="45" s="1"/>
  <c r="BQ71" i="43"/>
  <c r="V39" i="45" s="1"/>
  <c r="BR71" i="43"/>
  <c r="W39" i="45" s="1"/>
  <c r="BS71" i="43"/>
  <c r="X39" i="45" s="1"/>
  <c r="BU71" i="43"/>
  <c r="Z39" i="45" s="1"/>
  <c r="BV71" i="43"/>
  <c r="AA39" i="45" s="1"/>
  <c r="BW71" i="43"/>
  <c r="AB39" i="45" s="1"/>
  <c r="CD71" i="43"/>
  <c r="AI39" i="45" s="1"/>
  <c r="CE71" i="43"/>
  <c r="AJ39" i="45" s="1"/>
  <c r="CL71" i="43"/>
  <c r="AQ39" i="45" s="1"/>
  <c r="CL50" i="43"/>
  <c r="AQ18" i="45" s="1"/>
  <c r="BN50" i="43"/>
  <c r="S18" i="45" s="1"/>
  <c r="BO50" i="43"/>
  <c r="T18" i="45" s="1"/>
  <c r="BP50" i="43"/>
  <c r="U18" i="45" s="1"/>
  <c r="BQ50" i="43"/>
  <c r="V18" i="45" s="1"/>
  <c r="BR50" i="43"/>
  <c r="W18" i="45" s="1"/>
  <c r="BS50" i="43"/>
  <c r="X18" i="45" s="1"/>
  <c r="BU50" i="43"/>
  <c r="Z18" i="45" s="1"/>
  <c r="BV50" i="43"/>
  <c r="AA18" i="45" s="1"/>
  <c r="BW50" i="43"/>
  <c r="AB18" i="45" s="1"/>
  <c r="BG50" i="43"/>
  <c r="L18" i="45" s="1"/>
  <c r="BH50" i="43"/>
  <c r="M18" i="45" s="1"/>
  <c r="BI50" i="43"/>
  <c r="N18" i="45" s="1"/>
  <c r="BJ50" i="43"/>
  <c r="O18" i="45" s="1"/>
  <c r="BK50" i="43"/>
  <c r="P18" i="45" s="1"/>
  <c r="BD50" i="43"/>
  <c r="I18" i="45" s="1"/>
  <c r="BE50" i="43"/>
  <c r="J18" i="45" s="1"/>
  <c r="BC50" i="43"/>
  <c r="H18" i="45" s="1"/>
  <c r="CE50" i="43"/>
  <c r="AJ18" i="45" s="1"/>
  <c r="CD50" i="43"/>
  <c r="AI18" i="45" s="1"/>
  <c r="J25" i="44"/>
  <c r="J26" i="44"/>
  <c r="J27" i="44"/>
  <c r="J28" i="44"/>
  <c r="J29" i="44"/>
  <c r="J30" i="44"/>
  <c r="J31" i="44"/>
  <c r="J32" i="44"/>
  <c r="J33" i="44"/>
  <c r="J34" i="44"/>
  <c r="J24" i="44"/>
  <c r="N25" i="44"/>
  <c r="N26" i="44"/>
  <c r="N27" i="44"/>
  <c r="N28" i="44"/>
  <c r="N29" i="44"/>
  <c r="N30" i="44"/>
  <c r="N31" i="44"/>
  <c r="N32" i="44"/>
  <c r="N33" i="44"/>
  <c r="N34" i="44"/>
  <c r="N24" i="44"/>
  <c r="M25" i="44"/>
  <c r="M26" i="44"/>
  <c r="M27" i="44"/>
  <c r="M28" i="44"/>
  <c r="M29" i="44"/>
  <c r="M30" i="44"/>
  <c r="M31" i="44"/>
  <c r="M32" i="44"/>
  <c r="M33" i="44"/>
  <c r="M34" i="44"/>
  <c r="M24" i="44"/>
  <c r="L26" i="44"/>
  <c r="K26" i="44"/>
  <c r="H33" i="44"/>
  <c r="H27" i="44"/>
  <c r="F18" i="43"/>
  <c r="F19" i="43" s="1"/>
  <c r="AS51" i="43"/>
  <c r="AS50" i="43"/>
  <c r="AN51" i="43"/>
  <c r="AN50" i="43"/>
  <c r="AI51" i="43"/>
  <c r="AI50" i="43"/>
  <c r="AD51" i="43"/>
  <c r="AD50" i="43"/>
  <c r="Y51" i="43"/>
  <c r="Y50" i="43"/>
  <c r="N56" i="43"/>
  <c r="N57" i="43" s="1"/>
  <c r="H25" i="44"/>
  <c r="H26" i="44"/>
  <c r="H28" i="44"/>
  <c r="H29" i="44"/>
  <c r="H30" i="44"/>
  <c r="H31" i="44"/>
  <c r="H32" i="44"/>
  <c r="H34" i="44"/>
  <c r="P24" i="44" l="1"/>
  <c r="P25" i="44"/>
  <c r="B30" i="44"/>
  <c r="B31" i="44"/>
  <c r="B28" i="44"/>
  <c r="B34" i="44"/>
  <c r="B29" i="44"/>
  <c r="B32" i="44"/>
  <c r="B25" i="44"/>
  <c r="B26" i="44"/>
  <c r="B33" i="44"/>
  <c r="AL51" i="43"/>
  <c r="AQ50" i="43"/>
  <c r="AQ51" i="43"/>
  <c r="AP51" i="43"/>
  <c r="AK51" i="43"/>
  <c r="AP50" i="43"/>
  <c r="AK50" i="43"/>
  <c r="K24" i="44"/>
  <c r="L24" i="44"/>
  <c r="L33" i="44"/>
  <c r="L31" i="44"/>
  <c r="L29" i="44"/>
  <c r="L27" i="44"/>
  <c r="L25" i="44"/>
  <c r="K33" i="44"/>
  <c r="K31" i="44"/>
  <c r="K29" i="44"/>
  <c r="K27" i="44"/>
  <c r="K25" i="44"/>
  <c r="L34" i="44"/>
  <c r="L32" i="44"/>
  <c r="L30" i="44"/>
  <c r="L28" i="44"/>
  <c r="K34" i="44"/>
  <c r="K32" i="44"/>
  <c r="K30" i="44"/>
  <c r="K28" i="44"/>
  <c r="N52" i="43"/>
  <c r="F20" i="43" l="1"/>
  <c r="B35" i="40"/>
  <c r="B34" i="40"/>
  <c r="B37" i="40"/>
  <c r="B36" i="40"/>
  <c r="F32" i="43"/>
  <c r="F31" i="43"/>
  <c r="N53" i="43" l="1"/>
  <c r="H79" i="43" l="1"/>
  <c r="J60" i="43" l="1"/>
  <c r="J53" i="43"/>
  <c r="J54" i="43"/>
  <c r="J55" i="43"/>
  <c r="J56" i="43"/>
  <c r="J58" i="43"/>
  <c r="J59" i="43"/>
  <c r="BD45" i="38"/>
  <c r="BD46" i="38"/>
  <c r="BD47" i="38"/>
  <c r="BD48" i="38"/>
  <c r="BD49" i="38"/>
  <c r="BD50" i="38"/>
  <c r="BD51" i="38"/>
  <c r="BD52" i="38"/>
  <c r="BD53" i="38"/>
  <c r="BD54" i="38"/>
  <c r="BD55" i="38"/>
  <c r="BD56" i="38"/>
  <c r="BD57" i="38"/>
  <c r="BD58" i="38"/>
  <c r="BD59" i="38"/>
  <c r="BD60" i="38"/>
  <c r="BD61" i="38"/>
  <c r="BD62" i="38"/>
  <c r="BD63" i="38"/>
  <c r="BD64" i="38"/>
  <c r="BD65" i="38"/>
  <c r="BD66" i="38"/>
  <c r="BD67" i="38"/>
  <c r="BD68" i="38"/>
  <c r="BD69" i="38"/>
  <c r="BD70" i="38"/>
  <c r="BD71" i="38"/>
  <c r="BD72" i="38"/>
  <c r="BD73" i="38"/>
  <c r="BD74" i="38"/>
  <c r="BD75" i="38"/>
  <c r="BD76" i="38"/>
  <c r="BD77" i="38"/>
  <c r="BD78" i="38"/>
  <c r="BD79" i="38"/>
  <c r="BD80" i="38"/>
  <c r="BD81" i="38"/>
  <c r="BD82" i="38"/>
  <c r="BD83" i="38"/>
  <c r="BD84" i="38"/>
  <c r="BD85" i="38"/>
  <c r="BD86" i="38"/>
  <c r="BD87" i="38"/>
  <c r="BD88" i="38"/>
  <c r="BD89" i="38"/>
  <c r="BD90" i="38"/>
  <c r="BD91" i="38"/>
  <c r="BD92" i="38"/>
  <c r="BD93" i="38"/>
  <c r="BD94" i="38"/>
  <c r="BD95" i="38"/>
  <c r="BD96" i="38"/>
  <c r="BD97" i="38"/>
  <c r="BD98" i="38"/>
  <c r="BD99" i="38"/>
  <c r="BD100" i="38"/>
  <c r="BD101" i="38"/>
  <c r="BD102" i="38"/>
  <c r="BD103" i="38"/>
  <c r="BD104" i="38"/>
  <c r="BD105" i="38"/>
  <c r="BD106" i="38"/>
  <c r="BD107" i="38"/>
  <c r="BD108" i="38"/>
  <c r="BD109" i="38"/>
  <c r="BD110" i="38"/>
  <c r="BD111" i="38"/>
  <c r="BD112" i="38"/>
  <c r="BD113" i="38"/>
  <c r="BD114" i="38"/>
  <c r="BD115" i="38"/>
  <c r="BD116" i="38"/>
  <c r="BD117" i="38"/>
  <c r="BD118" i="38"/>
  <c r="BD119" i="38"/>
  <c r="BD120" i="38"/>
  <c r="BD121" i="38"/>
  <c r="BD122" i="38"/>
  <c r="BD123" i="38"/>
  <c r="BD124" i="38"/>
  <c r="BD125" i="38"/>
  <c r="BD126" i="38"/>
  <c r="BD127" i="38"/>
  <c r="BD128" i="38"/>
  <c r="BD129" i="38"/>
  <c r="BD130" i="38"/>
  <c r="BD131" i="38"/>
  <c r="BD132" i="38"/>
  <c r="BD133" i="38"/>
  <c r="BD134" i="38"/>
  <c r="BD135" i="38"/>
  <c r="BD136" i="38"/>
  <c r="BD137" i="38"/>
  <c r="BD138" i="38"/>
  <c r="BD139" i="38"/>
  <c r="BD140" i="38"/>
  <c r="BD141" i="38"/>
  <c r="BD142" i="38"/>
  <c r="BD143" i="38"/>
  <c r="BD144" i="38"/>
  <c r="BD44" i="38"/>
  <c r="J63" i="43" l="1"/>
  <c r="J62" i="43"/>
  <c r="L57" i="43"/>
  <c r="J57" i="43"/>
  <c r="J61" i="43"/>
  <c r="AE56" i="40"/>
  <c r="AD45" i="40"/>
  <c r="AJ46" i="40"/>
  <c r="AK46" i="40"/>
  <c r="AJ47" i="40"/>
  <c r="AK47" i="40"/>
  <c r="AJ48" i="40"/>
  <c r="AK48" i="40"/>
  <c r="AJ49" i="40"/>
  <c r="AK49" i="40"/>
  <c r="AJ50" i="40"/>
  <c r="AK50" i="40"/>
  <c r="AJ51" i="40"/>
  <c r="AK51" i="40"/>
  <c r="AJ52" i="40"/>
  <c r="AK52" i="40"/>
  <c r="AJ53" i="40"/>
  <c r="AK53" i="40"/>
  <c r="AJ54" i="40"/>
  <c r="AK54" i="40"/>
  <c r="AJ55" i="40"/>
  <c r="AK55" i="40"/>
  <c r="AJ56" i="40"/>
  <c r="AK56" i="40"/>
  <c r="AJ57" i="40"/>
  <c r="AK57" i="40"/>
  <c r="AJ58" i="40"/>
  <c r="AK58" i="40"/>
  <c r="AJ59" i="40"/>
  <c r="AK59" i="40"/>
  <c r="AJ60" i="40"/>
  <c r="AK60" i="40"/>
  <c r="AJ61" i="40"/>
  <c r="AK61" i="40"/>
  <c r="AJ62" i="40"/>
  <c r="AK62" i="40"/>
  <c r="AJ63" i="40"/>
  <c r="AK63" i="40"/>
  <c r="AJ64" i="40"/>
  <c r="AK64" i="40"/>
  <c r="AJ65" i="40"/>
  <c r="AK65" i="40"/>
  <c r="AJ66" i="40"/>
  <c r="AK66" i="40"/>
  <c r="AJ67" i="40"/>
  <c r="AK67" i="40"/>
  <c r="AJ68" i="40"/>
  <c r="AK68" i="40"/>
  <c r="AJ69" i="40"/>
  <c r="AK69" i="40"/>
  <c r="AJ70" i="40"/>
  <c r="AK70" i="40"/>
  <c r="AJ71" i="40"/>
  <c r="AK71" i="40"/>
  <c r="AJ72" i="40"/>
  <c r="AK72" i="40"/>
  <c r="AJ73" i="40"/>
  <c r="AK73" i="40"/>
  <c r="AJ74" i="40"/>
  <c r="AK74" i="40"/>
  <c r="AJ75" i="40"/>
  <c r="AK75" i="40"/>
  <c r="AJ76" i="40"/>
  <c r="AK76" i="40"/>
  <c r="AJ77" i="40"/>
  <c r="AK77" i="40"/>
  <c r="AJ78" i="40"/>
  <c r="AK78" i="40"/>
  <c r="AJ79" i="40"/>
  <c r="AK79" i="40"/>
  <c r="AJ80" i="40"/>
  <c r="AK80" i="40"/>
  <c r="AJ81" i="40"/>
  <c r="AK81" i="40"/>
  <c r="AJ82" i="40"/>
  <c r="AK82" i="40"/>
  <c r="AJ83" i="40"/>
  <c r="AK83" i="40"/>
  <c r="AJ84" i="40"/>
  <c r="AK84" i="40"/>
  <c r="AJ85" i="40"/>
  <c r="AK85" i="40"/>
  <c r="AJ86" i="40"/>
  <c r="AK86" i="40"/>
  <c r="AJ87" i="40"/>
  <c r="AK87" i="40"/>
  <c r="AJ88" i="40"/>
  <c r="AK88" i="40"/>
  <c r="AJ89" i="40"/>
  <c r="AK89" i="40"/>
  <c r="AJ90" i="40"/>
  <c r="AK90" i="40"/>
  <c r="AJ91" i="40"/>
  <c r="AK91" i="40"/>
  <c r="AJ92" i="40"/>
  <c r="AK92" i="40"/>
  <c r="AJ93" i="40"/>
  <c r="AK93" i="40"/>
  <c r="AJ94" i="40"/>
  <c r="AK94" i="40"/>
  <c r="AJ95" i="40"/>
  <c r="AK95" i="40"/>
  <c r="AJ96" i="40"/>
  <c r="AK96" i="40"/>
  <c r="AJ97" i="40"/>
  <c r="AK97" i="40"/>
  <c r="AJ98" i="40"/>
  <c r="AK98" i="40"/>
  <c r="AJ99" i="40"/>
  <c r="AK99" i="40"/>
  <c r="AJ100" i="40"/>
  <c r="AK100" i="40"/>
  <c r="AJ101" i="40"/>
  <c r="AK101" i="40"/>
  <c r="AJ102" i="40"/>
  <c r="AK102" i="40"/>
  <c r="AJ103" i="40"/>
  <c r="AK103" i="40"/>
  <c r="AJ104" i="40"/>
  <c r="AK104" i="40"/>
  <c r="AJ105" i="40"/>
  <c r="AK105" i="40"/>
  <c r="AJ106" i="40"/>
  <c r="AK106" i="40"/>
  <c r="AJ107" i="40"/>
  <c r="AK107" i="40"/>
  <c r="AJ108" i="40"/>
  <c r="AK108" i="40"/>
  <c r="AJ109" i="40"/>
  <c r="AK109" i="40"/>
  <c r="AJ110" i="40"/>
  <c r="AK110" i="40"/>
  <c r="AJ111" i="40"/>
  <c r="AK111" i="40"/>
  <c r="AJ112" i="40"/>
  <c r="AK112" i="40"/>
  <c r="AJ113" i="40"/>
  <c r="AK113" i="40"/>
  <c r="AJ114" i="40"/>
  <c r="AK114" i="40"/>
  <c r="AJ115" i="40"/>
  <c r="AK115" i="40"/>
  <c r="AJ116" i="40"/>
  <c r="AK116" i="40"/>
  <c r="AJ117" i="40"/>
  <c r="AK117" i="40"/>
  <c r="AJ118" i="40"/>
  <c r="AK118" i="40"/>
  <c r="AJ119" i="40"/>
  <c r="AK119" i="40"/>
  <c r="AJ120" i="40"/>
  <c r="AK120" i="40"/>
  <c r="AJ121" i="40"/>
  <c r="AK121" i="40"/>
  <c r="AJ122" i="40"/>
  <c r="AK122" i="40"/>
  <c r="AJ123" i="40"/>
  <c r="AK123" i="40"/>
  <c r="AJ124" i="40"/>
  <c r="AK124" i="40"/>
  <c r="AJ125" i="40"/>
  <c r="AK125" i="40"/>
  <c r="AJ126" i="40"/>
  <c r="AK126" i="40"/>
  <c r="AJ127" i="40"/>
  <c r="AK127" i="40"/>
  <c r="AJ128" i="40"/>
  <c r="AK128" i="40"/>
  <c r="AJ129" i="40"/>
  <c r="AK129" i="40"/>
  <c r="AJ130" i="40"/>
  <c r="AK130" i="40"/>
  <c r="AJ131" i="40"/>
  <c r="AK131" i="40"/>
  <c r="AJ132" i="40"/>
  <c r="AK132" i="40"/>
  <c r="AJ133" i="40"/>
  <c r="AK133" i="40"/>
  <c r="AJ134" i="40"/>
  <c r="AK134" i="40"/>
  <c r="AJ135" i="40"/>
  <c r="AK135" i="40"/>
  <c r="AJ136" i="40"/>
  <c r="AK136" i="40"/>
  <c r="AJ137" i="40"/>
  <c r="AK137" i="40"/>
  <c r="AJ138" i="40"/>
  <c r="AK138" i="40"/>
  <c r="AJ139" i="40"/>
  <c r="AK139" i="40"/>
  <c r="AJ140" i="40"/>
  <c r="AK140" i="40"/>
  <c r="AJ141" i="40"/>
  <c r="AK141" i="40"/>
  <c r="AJ142" i="40"/>
  <c r="AK142" i="40"/>
  <c r="AJ143" i="40"/>
  <c r="AK143" i="40"/>
  <c r="AJ144" i="40"/>
  <c r="AK144" i="40"/>
  <c r="AJ145" i="40"/>
  <c r="AK145" i="40"/>
  <c r="AK45" i="40"/>
  <c r="AJ45" i="40"/>
  <c r="AE73" i="40"/>
  <c r="AE75" i="40"/>
  <c r="AE115" i="40"/>
  <c r="AE117" i="40"/>
  <c r="AD138" i="40"/>
  <c r="AE45" i="40"/>
  <c r="T45" i="15"/>
  <c r="B13" i="40"/>
  <c r="B12" i="40"/>
  <c r="CJ53" i="43"/>
  <c r="AO21" i="45" s="1"/>
  <c r="CJ58" i="43"/>
  <c r="AO26" i="45" s="1"/>
  <c r="CJ71" i="43"/>
  <c r="AO39" i="45" s="1"/>
  <c r="CK51" i="43"/>
  <c r="AP19" i="45" s="1"/>
  <c r="AI46" i="40"/>
  <c r="AI47" i="40"/>
  <c r="AI48" i="40"/>
  <c r="AI49" i="40"/>
  <c r="CC51" i="43" s="1"/>
  <c r="AH19" i="45" s="1"/>
  <c r="AI50" i="40"/>
  <c r="AI51" i="40"/>
  <c r="AI52" i="40"/>
  <c r="AI53" i="40"/>
  <c r="AI54" i="40"/>
  <c r="CC52" i="43" s="1"/>
  <c r="AH20" i="45" s="1"/>
  <c r="AI55" i="40"/>
  <c r="AI56" i="40"/>
  <c r="AI57" i="40"/>
  <c r="AI58" i="40"/>
  <c r="AI59" i="40"/>
  <c r="CC53" i="43" s="1"/>
  <c r="AH21" i="45" s="1"/>
  <c r="AI60" i="40"/>
  <c r="AI61" i="40"/>
  <c r="AI62" i="40"/>
  <c r="AI63" i="40"/>
  <c r="AI64" i="40"/>
  <c r="CC54" i="43" s="1"/>
  <c r="AH22" i="45" s="1"/>
  <c r="AI65" i="40"/>
  <c r="AI66" i="40"/>
  <c r="AI67" i="40"/>
  <c r="AI68" i="40"/>
  <c r="CC55" i="43" s="1"/>
  <c r="AH23" i="45" s="1"/>
  <c r="AI69" i="40"/>
  <c r="AI70" i="40"/>
  <c r="AI71" i="40"/>
  <c r="AI72" i="40"/>
  <c r="AI73" i="40"/>
  <c r="CC56" i="43" s="1"/>
  <c r="AH24" i="45" s="1"/>
  <c r="AI74" i="40"/>
  <c r="AI75" i="40"/>
  <c r="AI76" i="40"/>
  <c r="AI77" i="40"/>
  <c r="AI78" i="40"/>
  <c r="CC57" i="43" s="1"/>
  <c r="AH25" i="45" s="1"/>
  <c r="AI79" i="40"/>
  <c r="AI80" i="40"/>
  <c r="AI81" i="40"/>
  <c r="AI82" i="40"/>
  <c r="AI83" i="40"/>
  <c r="CC58" i="43" s="1"/>
  <c r="AH26" i="45" s="1"/>
  <c r="AI84" i="40"/>
  <c r="AI85" i="40"/>
  <c r="AI86" i="40"/>
  <c r="AI87" i="40"/>
  <c r="CC59" i="43" s="1"/>
  <c r="AH27" i="45" s="1"/>
  <c r="AI88" i="40"/>
  <c r="AI89" i="40"/>
  <c r="AI90" i="40"/>
  <c r="AI91" i="40"/>
  <c r="AI92" i="40"/>
  <c r="CC60" i="43" s="1"/>
  <c r="AH28" i="45" s="1"/>
  <c r="AI93" i="40"/>
  <c r="AI94" i="40"/>
  <c r="AI95" i="40"/>
  <c r="AI96" i="40"/>
  <c r="AI97" i="40"/>
  <c r="CC61" i="43" s="1"/>
  <c r="AH29" i="45" s="1"/>
  <c r="AI98" i="40"/>
  <c r="AI99" i="40"/>
  <c r="AI100" i="40"/>
  <c r="AI101" i="40"/>
  <c r="AI102" i="40"/>
  <c r="CC62" i="43" s="1"/>
  <c r="AH30" i="45" s="1"/>
  <c r="AI103" i="40"/>
  <c r="AI104" i="40"/>
  <c r="AI105" i="40"/>
  <c r="AI106" i="40"/>
  <c r="CC63" i="43" s="1"/>
  <c r="AH31" i="45" s="1"/>
  <c r="AI107" i="40"/>
  <c r="AI108" i="40"/>
  <c r="AI109" i="40"/>
  <c r="AI110" i="40"/>
  <c r="AI111" i="40"/>
  <c r="CC64" i="43" s="1"/>
  <c r="AH32" i="45" s="1"/>
  <c r="AI112" i="40"/>
  <c r="AI113" i="40"/>
  <c r="AI114" i="40"/>
  <c r="AI115" i="40"/>
  <c r="AI116" i="40"/>
  <c r="CC65" i="43" s="1"/>
  <c r="AH33" i="45" s="1"/>
  <c r="AI117" i="40"/>
  <c r="AI118" i="40"/>
  <c r="AI119" i="40"/>
  <c r="AI120" i="40"/>
  <c r="AI121" i="40"/>
  <c r="CC66" i="43" s="1"/>
  <c r="AH34" i="45" s="1"/>
  <c r="AI122" i="40"/>
  <c r="AI123" i="40"/>
  <c r="AI124" i="40"/>
  <c r="AI125" i="40"/>
  <c r="CC67" i="43" s="1"/>
  <c r="AH35" i="45" s="1"/>
  <c r="AI126" i="40"/>
  <c r="AI127" i="40"/>
  <c r="AI128" i="40"/>
  <c r="AI129" i="40"/>
  <c r="AI130" i="40"/>
  <c r="CC68" i="43" s="1"/>
  <c r="AH36" i="45" s="1"/>
  <c r="AI131" i="40"/>
  <c r="AI132" i="40"/>
  <c r="AI133" i="40"/>
  <c r="AI134" i="40"/>
  <c r="AI135" i="40"/>
  <c r="CC69" i="43" s="1"/>
  <c r="AH37" i="45" s="1"/>
  <c r="AI136" i="40"/>
  <c r="AI137" i="40"/>
  <c r="AI138" i="40"/>
  <c r="AI139" i="40"/>
  <c r="AI140" i="40"/>
  <c r="CC70" i="43" s="1"/>
  <c r="AH38" i="45" s="1"/>
  <c r="AI141" i="40"/>
  <c r="AI142" i="40"/>
  <c r="AI143" i="40"/>
  <c r="AI144" i="40"/>
  <c r="AI145" i="40"/>
  <c r="CC71" i="43" s="1"/>
  <c r="AH39" i="45" s="1"/>
  <c r="AI45" i="40"/>
  <c r="CC50" i="43" s="1"/>
  <c r="AH18" i="45" s="1"/>
  <c r="Z43" i="38"/>
  <c r="C9" i="40"/>
  <c r="A46" i="40"/>
  <c r="A47" i="40"/>
  <c r="A48" i="40"/>
  <c r="A49" i="40"/>
  <c r="A50" i="40"/>
  <c r="A51" i="40"/>
  <c r="A52" i="40"/>
  <c r="F52" i="40" s="1"/>
  <c r="A53" i="40"/>
  <c r="F53" i="40" s="1"/>
  <c r="A54" i="40"/>
  <c r="A55" i="40"/>
  <c r="A56" i="40"/>
  <c r="A57" i="40"/>
  <c r="A58" i="40"/>
  <c r="A59" i="40"/>
  <c r="A60" i="40"/>
  <c r="A61" i="40"/>
  <c r="F61" i="40" s="1"/>
  <c r="A62" i="40"/>
  <c r="A63" i="40"/>
  <c r="A64" i="40"/>
  <c r="A65" i="40"/>
  <c r="A66" i="40"/>
  <c r="A67" i="40"/>
  <c r="A68" i="40"/>
  <c r="F68" i="40" s="1"/>
  <c r="AZ55" i="43" s="1"/>
  <c r="E23" i="45" s="1"/>
  <c r="A69" i="40"/>
  <c r="F69" i="40" s="1"/>
  <c r="A70" i="40"/>
  <c r="A71" i="40"/>
  <c r="A72" i="40"/>
  <c r="A73" i="40"/>
  <c r="A74" i="40"/>
  <c r="A75" i="40"/>
  <c r="A76" i="40"/>
  <c r="A77" i="40"/>
  <c r="F77" i="40" s="1"/>
  <c r="A78" i="40"/>
  <c r="A79" i="40"/>
  <c r="A80" i="40"/>
  <c r="A81" i="40"/>
  <c r="A82" i="40"/>
  <c r="A83" i="40"/>
  <c r="A84" i="40"/>
  <c r="F84" i="40" s="1"/>
  <c r="A85" i="40"/>
  <c r="A86" i="40"/>
  <c r="A87" i="40"/>
  <c r="A88" i="40"/>
  <c r="A89" i="40"/>
  <c r="A90" i="40"/>
  <c r="A91" i="40"/>
  <c r="A92" i="40"/>
  <c r="A93" i="40"/>
  <c r="F93" i="40" s="1"/>
  <c r="A94" i="40"/>
  <c r="A95" i="40"/>
  <c r="A96" i="40"/>
  <c r="A97" i="40"/>
  <c r="A98" i="40"/>
  <c r="A99" i="40"/>
  <c r="A100" i="40"/>
  <c r="A101" i="40"/>
  <c r="F101" i="40" s="1"/>
  <c r="A102" i="40"/>
  <c r="A103" i="40"/>
  <c r="A104" i="40"/>
  <c r="A105" i="40"/>
  <c r="A106" i="40"/>
  <c r="A107" i="40"/>
  <c r="A108" i="40"/>
  <c r="A109" i="40"/>
  <c r="F109" i="40" s="1"/>
  <c r="A110" i="40"/>
  <c r="A111" i="40"/>
  <c r="A112" i="40"/>
  <c r="A113" i="40"/>
  <c r="A114" i="40"/>
  <c r="A115" i="40"/>
  <c r="A116" i="40"/>
  <c r="F116" i="40" s="1"/>
  <c r="AZ65" i="43" s="1"/>
  <c r="E33" i="45" s="1"/>
  <c r="A117" i="40"/>
  <c r="A118" i="40"/>
  <c r="A119" i="40"/>
  <c r="A120" i="40"/>
  <c r="A121" i="40"/>
  <c r="A122" i="40"/>
  <c r="A123" i="40"/>
  <c r="A124" i="40"/>
  <c r="A125" i="40"/>
  <c r="A126" i="40"/>
  <c r="A127" i="40"/>
  <c r="A128" i="40"/>
  <c r="A129" i="40"/>
  <c r="A130" i="40"/>
  <c r="A131" i="40"/>
  <c r="A132" i="40"/>
  <c r="F132" i="40" s="1"/>
  <c r="A133" i="40"/>
  <c r="A134" i="40"/>
  <c r="A135" i="40"/>
  <c r="A136" i="40"/>
  <c r="A137" i="40"/>
  <c r="A138" i="40"/>
  <c r="A139" i="40"/>
  <c r="A140" i="40"/>
  <c r="A141" i="40"/>
  <c r="A142" i="40"/>
  <c r="A143" i="40"/>
  <c r="A144" i="40"/>
  <c r="A145" i="40"/>
  <c r="A45" i="40"/>
  <c r="F45" i="40" s="1"/>
  <c r="AZ50" i="43" s="1"/>
  <c r="E18" i="45" s="1"/>
  <c r="S43" i="38"/>
  <c r="T43" i="38"/>
  <c r="R43" i="38"/>
  <c r="AB43" i="38"/>
  <c r="A21" i="38"/>
  <c r="A21" i="14"/>
  <c r="B144" i="38"/>
  <c r="L144" i="38" s="1"/>
  <c r="B143" i="38"/>
  <c r="L143" i="38" s="1"/>
  <c r="B142" i="38"/>
  <c r="L142" i="38" s="1"/>
  <c r="B141" i="38"/>
  <c r="B140" i="38"/>
  <c r="L140" i="38" s="1"/>
  <c r="B139" i="38"/>
  <c r="B138" i="38"/>
  <c r="B137" i="38"/>
  <c r="L137" i="38" s="1"/>
  <c r="B136" i="38"/>
  <c r="L136" i="38" s="1"/>
  <c r="B135" i="38"/>
  <c r="L135" i="38" s="1"/>
  <c r="B134" i="38"/>
  <c r="L134" i="38" s="1"/>
  <c r="B133" i="38"/>
  <c r="L133" i="38" s="1"/>
  <c r="B132" i="38"/>
  <c r="L132" i="38" s="1"/>
  <c r="B131" i="38"/>
  <c r="L131" i="38" s="1"/>
  <c r="B130" i="38"/>
  <c r="B129" i="38"/>
  <c r="L129" i="38" s="1"/>
  <c r="B128" i="38"/>
  <c r="B127" i="38"/>
  <c r="B126" i="38"/>
  <c r="L126" i="38" s="1"/>
  <c r="B125" i="38"/>
  <c r="L125" i="38" s="1"/>
  <c r="B124" i="38"/>
  <c r="L124" i="38" s="1"/>
  <c r="B123" i="38"/>
  <c r="B122" i="38"/>
  <c r="B121" i="38"/>
  <c r="L121" i="38" s="1"/>
  <c r="B120" i="38"/>
  <c r="B119" i="38"/>
  <c r="B118" i="38"/>
  <c r="L118" i="38" s="1"/>
  <c r="B117" i="38"/>
  <c r="B116" i="38"/>
  <c r="B115" i="38"/>
  <c r="L115" i="38" s="1"/>
  <c r="B114" i="38"/>
  <c r="B113" i="38"/>
  <c r="L113" i="38" s="1"/>
  <c r="B112" i="38"/>
  <c r="L112" i="38" s="1"/>
  <c r="B111" i="38"/>
  <c r="B110" i="38"/>
  <c r="L110" i="38" s="1"/>
  <c r="B109" i="38"/>
  <c r="B108" i="38"/>
  <c r="L108" i="38" s="1"/>
  <c r="B107" i="38"/>
  <c r="B106" i="38"/>
  <c r="B105" i="38"/>
  <c r="L105" i="38" s="1"/>
  <c r="B104" i="38"/>
  <c r="L104" i="38" s="1"/>
  <c r="B103" i="38"/>
  <c r="B102" i="38"/>
  <c r="B101" i="38"/>
  <c r="L101" i="38" s="1"/>
  <c r="B100" i="38"/>
  <c r="B99" i="38"/>
  <c r="B98" i="38"/>
  <c r="L98" i="38" s="1"/>
  <c r="B97" i="38"/>
  <c r="B96" i="38"/>
  <c r="B95" i="38"/>
  <c r="B94" i="38"/>
  <c r="B93" i="38"/>
  <c r="B92" i="38"/>
  <c r="B91" i="38"/>
  <c r="L91" i="38" s="1"/>
  <c r="B90" i="38"/>
  <c r="B89" i="38"/>
  <c r="L89" i="38" s="1"/>
  <c r="B88" i="38"/>
  <c r="L88" i="38" s="1"/>
  <c r="B87" i="38"/>
  <c r="L87" i="38" s="1"/>
  <c r="B86" i="38"/>
  <c r="L86" i="38" s="1"/>
  <c r="B85" i="38"/>
  <c r="L85" i="38" s="1"/>
  <c r="B84" i="38"/>
  <c r="L84" i="38" s="1"/>
  <c r="B83" i="38"/>
  <c r="B82" i="38"/>
  <c r="B81" i="38"/>
  <c r="B80" i="38"/>
  <c r="L80" i="38" s="1"/>
  <c r="B79" i="38"/>
  <c r="L79" i="38" s="1"/>
  <c r="B78" i="38"/>
  <c r="L78" i="38" s="1"/>
  <c r="B77" i="38"/>
  <c r="L77" i="38" s="1"/>
  <c r="B76" i="38"/>
  <c r="L76" i="38" s="1"/>
  <c r="B75" i="38"/>
  <c r="L75" i="38" s="1"/>
  <c r="B74" i="38"/>
  <c r="L74" i="38" s="1"/>
  <c r="B73" i="38"/>
  <c r="L73" i="38" s="1"/>
  <c r="B72" i="38"/>
  <c r="B71" i="38"/>
  <c r="L71" i="38" s="1"/>
  <c r="B70" i="38"/>
  <c r="L70" i="38" s="1"/>
  <c r="B69" i="38"/>
  <c r="B68" i="38"/>
  <c r="B67" i="38"/>
  <c r="L67" i="38" s="1"/>
  <c r="B66" i="38"/>
  <c r="L66" i="38" s="1"/>
  <c r="B65" i="38"/>
  <c r="L65" i="38" s="1"/>
  <c r="B64" i="38"/>
  <c r="B63" i="38"/>
  <c r="L63" i="38" s="1"/>
  <c r="B62" i="38"/>
  <c r="L62" i="38" s="1"/>
  <c r="B61" i="38"/>
  <c r="L61" i="38" s="1"/>
  <c r="B60" i="38"/>
  <c r="B59" i="38"/>
  <c r="L59" i="38" s="1"/>
  <c r="B58" i="38"/>
  <c r="L58" i="38" s="1"/>
  <c r="B57" i="38"/>
  <c r="L57" i="38" s="1"/>
  <c r="B56" i="38"/>
  <c r="B55" i="38"/>
  <c r="B54" i="38"/>
  <c r="L54" i="38" s="1"/>
  <c r="B53" i="38"/>
  <c r="L53" i="38" s="1"/>
  <c r="B52" i="38"/>
  <c r="B51" i="38"/>
  <c r="L51" i="38" s="1"/>
  <c r="B50" i="38"/>
  <c r="L50" i="38" s="1"/>
  <c r="B49" i="38"/>
  <c r="B48" i="38"/>
  <c r="L48" i="38" s="1"/>
  <c r="B47" i="38"/>
  <c r="L47" i="38" s="1"/>
  <c r="B46" i="38"/>
  <c r="L46" i="38" s="1"/>
  <c r="B45" i="38"/>
  <c r="O44" i="38"/>
  <c r="N44" i="38"/>
  <c r="B44" i="38"/>
  <c r="L44" i="38" s="1"/>
  <c r="AL43" i="38"/>
  <c r="AK43" i="38"/>
  <c r="AJ43" i="38"/>
  <c r="AI43" i="38"/>
  <c r="AH43" i="38"/>
  <c r="AG43" i="38"/>
  <c r="AF43" i="38"/>
  <c r="AE43" i="38"/>
  <c r="AD43" i="38"/>
  <c r="AC43" i="38"/>
  <c r="AA43" i="38"/>
  <c r="Y43" i="38"/>
  <c r="X43" i="38"/>
  <c r="W43" i="38"/>
  <c r="V43" i="38"/>
  <c r="U43" i="38"/>
  <c r="E38" i="38"/>
  <c r="E37" i="38"/>
  <c r="E34" i="38"/>
  <c r="D34" i="38"/>
  <c r="C34" i="38"/>
  <c r="B34" i="38"/>
  <c r="E33" i="38"/>
  <c r="D33" i="38"/>
  <c r="C33" i="38"/>
  <c r="B33" i="38"/>
  <c r="A33" i="38"/>
  <c r="E32" i="38"/>
  <c r="D32" i="38"/>
  <c r="C32" i="38"/>
  <c r="B32" i="38"/>
  <c r="E31" i="38"/>
  <c r="D31" i="38"/>
  <c r="C31" i="38"/>
  <c r="B31" i="38"/>
  <c r="E30" i="38"/>
  <c r="D30" i="38"/>
  <c r="C30" i="38"/>
  <c r="B30" i="38"/>
  <c r="A30" i="38"/>
  <c r="E29" i="38"/>
  <c r="D29" i="38"/>
  <c r="C29" i="38"/>
  <c r="B29" i="38"/>
  <c r="E28" i="38"/>
  <c r="D28" i="38"/>
  <c r="C28" i="38"/>
  <c r="B28" i="38"/>
  <c r="E27" i="38"/>
  <c r="D27" i="38"/>
  <c r="C27" i="38"/>
  <c r="B27" i="38"/>
  <c r="E26" i="38"/>
  <c r="D26" i="38"/>
  <c r="C26" i="38"/>
  <c r="B26" i="38"/>
  <c r="E25" i="38"/>
  <c r="D25" i="38"/>
  <c r="C25" i="38"/>
  <c r="B25" i="38"/>
  <c r="A25" i="38"/>
  <c r="E24" i="38"/>
  <c r="D24" i="38"/>
  <c r="C24" i="38"/>
  <c r="B24" i="38"/>
  <c r="E23" i="38"/>
  <c r="D23" i="38"/>
  <c r="C23" i="38"/>
  <c r="B23" i="38"/>
  <c r="A23" i="38"/>
  <c r="E22" i="38"/>
  <c r="D22" i="38"/>
  <c r="C22" i="38"/>
  <c r="B22" i="38"/>
  <c r="E21" i="38"/>
  <c r="D21" i="38"/>
  <c r="C21" i="38"/>
  <c r="B21" i="38"/>
  <c r="E20" i="38"/>
  <c r="D20" i="38"/>
  <c r="C20" i="38"/>
  <c r="B20" i="38"/>
  <c r="E19" i="38"/>
  <c r="D19" i="38"/>
  <c r="C19" i="38"/>
  <c r="B19" i="38"/>
  <c r="A19" i="38"/>
  <c r="E18" i="38"/>
  <c r="D18" i="38"/>
  <c r="C18" i="38"/>
  <c r="B18" i="38"/>
  <c r="E17" i="38"/>
  <c r="D17" i="38"/>
  <c r="C17" i="38"/>
  <c r="B17" i="38"/>
  <c r="A17" i="38"/>
  <c r="E16" i="38"/>
  <c r="D16" i="38"/>
  <c r="C16" i="38"/>
  <c r="B16" i="38"/>
  <c r="E15" i="38"/>
  <c r="D15" i="38"/>
  <c r="C15" i="38"/>
  <c r="B15" i="38"/>
  <c r="E14" i="38"/>
  <c r="D14" i="38"/>
  <c r="C14" i="38"/>
  <c r="B14" i="38"/>
  <c r="E13" i="38"/>
  <c r="D13" i="38"/>
  <c r="C13" i="38"/>
  <c r="B13" i="38"/>
  <c r="A12" i="38"/>
  <c r="D11" i="38"/>
  <c r="C11" i="38"/>
  <c r="B11" i="38"/>
  <c r="E42" i="14"/>
  <c r="P40" i="1"/>
  <c r="J66" i="1"/>
  <c r="J69" i="1"/>
  <c r="J70" i="1"/>
  <c r="J72" i="1"/>
  <c r="Q20" i="1"/>
  <c r="Q19" i="1"/>
  <c r="Q18" i="1"/>
  <c r="B15" i="15"/>
  <c r="C15" i="15"/>
  <c r="D15" i="15"/>
  <c r="E15" i="15"/>
  <c r="B16" i="15"/>
  <c r="C16" i="15"/>
  <c r="D16" i="15"/>
  <c r="E16" i="15"/>
  <c r="C14" i="15"/>
  <c r="D14" i="15"/>
  <c r="E14" i="15"/>
  <c r="B14" i="15"/>
  <c r="A12" i="15"/>
  <c r="B15" i="14"/>
  <c r="B16" i="14"/>
  <c r="B14" i="14"/>
  <c r="E14" i="14"/>
  <c r="E15" i="14"/>
  <c r="E16" i="14"/>
  <c r="A23" i="15"/>
  <c r="D17" i="15"/>
  <c r="E17" i="15"/>
  <c r="C17" i="15"/>
  <c r="F131" i="40" l="1"/>
  <c r="F99" i="40"/>
  <c r="F83" i="40"/>
  <c r="AZ58" i="43" s="1"/>
  <c r="E26" i="45" s="1"/>
  <c r="F67" i="40"/>
  <c r="F51" i="40"/>
  <c r="F138" i="40"/>
  <c r="F122" i="40"/>
  <c r="F114" i="40"/>
  <c r="F106" i="40"/>
  <c r="AZ63" i="43" s="1"/>
  <c r="E31" i="45" s="1"/>
  <c r="F98" i="40"/>
  <c r="F90" i="40"/>
  <c r="F82" i="40"/>
  <c r="F74" i="40"/>
  <c r="F66" i="40"/>
  <c r="F58" i="40"/>
  <c r="F137" i="40"/>
  <c r="F129" i="40"/>
  <c r="F121" i="40"/>
  <c r="AZ66" i="43" s="1"/>
  <c r="E34" i="45" s="1"/>
  <c r="F113" i="40"/>
  <c r="F97" i="40"/>
  <c r="AZ61" i="43" s="1"/>
  <c r="E29" i="45" s="1"/>
  <c r="F89" i="40"/>
  <c r="F81" i="40"/>
  <c r="F73" i="40"/>
  <c r="AZ56" i="43" s="1"/>
  <c r="E24" i="45" s="1"/>
  <c r="F65" i="40"/>
  <c r="F57" i="40"/>
  <c r="F49" i="40"/>
  <c r="AZ51" i="43" s="1"/>
  <c r="E19" i="45" s="1"/>
  <c r="F143" i="40"/>
  <c r="F127" i="40"/>
  <c r="F111" i="40"/>
  <c r="AZ64" i="43" s="1"/>
  <c r="E32" i="45" s="1"/>
  <c r="F79" i="40"/>
  <c r="F63" i="40"/>
  <c r="F47" i="40"/>
  <c r="F142" i="40"/>
  <c r="F126" i="40"/>
  <c r="F94" i="40"/>
  <c r="F78" i="40"/>
  <c r="AZ57" i="43" s="1"/>
  <c r="E25" i="45" s="1"/>
  <c r="F62" i="40"/>
  <c r="F46" i="40"/>
  <c r="CI58" i="43"/>
  <c r="AN26" i="45" s="1"/>
  <c r="CI50" i="43"/>
  <c r="AN18" i="45" s="1"/>
  <c r="CI54" i="43"/>
  <c r="AN22" i="45" s="1"/>
  <c r="CI69" i="43"/>
  <c r="AN37" i="45" s="1"/>
  <c r="CI64" i="43"/>
  <c r="AN32" i="45" s="1"/>
  <c r="CI59" i="43"/>
  <c r="AN27" i="45" s="1"/>
  <c r="CI62" i="43"/>
  <c r="AN30" i="45" s="1"/>
  <c r="CI57" i="43"/>
  <c r="AN25" i="45" s="1"/>
  <c r="CI52" i="43"/>
  <c r="AN20" i="45" s="1"/>
  <c r="CI67" i="43"/>
  <c r="AN35" i="45" s="1"/>
  <c r="CI70" i="43"/>
  <c r="AN38" i="45" s="1"/>
  <c r="CI65" i="43"/>
  <c r="AN33" i="45" s="1"/>
  <c r="CI68" i="43"/>
  <c r="AN36" i="45" s="1"/>
  <c r="CI63" i="43"/>
  <c r="AN31" i="45" s="1"/>
  <c r="CI60" i="43"/>
  <c r="AN28" i="45" s="1"/>
  <c r="CI55" i="43"/>
  <c r="AN23" i="45" s="1"/>
  <c r="CI53" i="43"/>
  <c r="AN21" i="45" s="1"/>
  <c r="CI71" i="43"/>
  <c r="AN39" i="45" s="1"/>
  <c r="CI66" i="43"/>
  <c r="AN34" i="45" s="1"/>
  <c r="CI61" i="43"/>
  <c r="AN29" i="45" s="1"/>
  <c r="CI56" i="43"/>
  <c r="AN24" i="45" s="1"/>
  <c r="CI51" i="43"/>
  <c r="AN19" i="45" s="1"/>
  <c r="BY56" i="43"/>
  <c r="AD24" i="45" s="1"/>
  <c r="BX50" i="43"/>
  <c r="AC18" i="45" s="1"/>
  <c r="BY50" i="43"/>
  <c r="AD18" i="45" s="1"/>
  <c r="L56" i="43"/>
  <c r="L58" i="43"/>
  <c r="L59" i="43"/>
  <c r="AE136" i="40"/>
  <c r="AE112" i="40"/>
  <c r="AE71" i="40"/>
  <c r="AE134" i="40"/>
  <c r="AD106" i="40"/>
  <c r="AD61" i="40"/>
  <c r="AE128" i="40"/>
  <c r="AE105" i="40"/>
  <c r="AD56" i="40"/>
  <c r="AE127" i="40"/>
  <c r="AE94" i="40"/>
  <c r="AE53" i="40"/>
  <c r="AE123" i="40"/>
  <c r="AE88" i="40"/>
  <c r="AE47" i="40"/>
  <c r="AE144" i="40"/>
  <c r="AE116" i="40"/>
  <c r="AE74" i="40"/>
  <c r="AE124" i="40"/>
  <c r="AE103" i="40"/>
  <c r="AE60" i="40"/>
  <c r="AD134" i="40"/>
  <c r="AD102" i="40"/>
  <c r="AD88" i="40"/>
  <c r="AE143" i="40"/>
  <c r="AE131" i="40"/>
  <c r="AE121" i="40"/>
  <c r="AE111" i="40"/>
  <c r="AE97" i="40"/>
  <c r="AD84" i="40"/>
  <c r="AD70" i="40"/>
  <c r="AD52" i="40"/>
  <c r="AE142" i="40"/>
  <c r="AE130" i="40"/>
  <c r="AE120" i="40"/>
  <c r="AE108" i="40"/>
  <c r="AD97" i="40"/>
  <c r="AE83" i="40"/>
  <c r="AE66" i="40"/>
  <c r="AE51" i="40"/>
  <c r="AE138" i="40"/>
  <c r="AD129" i="40"/>
  <c r="AD120" i="40"/>
  <c r="AE106" i="40"/>
  <c r="AE95" i="40"/>
  <c r="AE82" i="40"/>
  <c r="AD65" i="40"/>
  <c r="AE48" i="40"/>
  <c r="AD93" i="40"/>
  <c r="AE135" i="40"/>
  <c r="AD125" i="40"/>
  <c r="AD116" i="40"/>
  <c r="AE104" i="40"/>
  <c r="AE89" i="40"/>
  <c r="AD74" i="40"/>
  <c r="AE58" i="40"/>
  <c r="F141" i="40"/>
  <c r="F133" i="40"/>
  <c r="F125" i="40"/>
  <c r="AZ67" i="43" s="1"/>
  <c r="E35" i="45" s="1"/>
  <c r="F117" i="40"/>
  <c r="F85" i="40"/>
  <c r="F140" i="40"/>
  <c r="AZ70" i="43" s="1"/>
  <c r="E38" i="45" s="1"/>
  <c r="F124" i="40"/>
  <c r="F108" i="40"/>
  <c r="F100" i="40"/>
  <c r="F92" i="40"/>
  <c r="AZ60" i="43" s="1"/>
  <c r="E28" i="45" s="1"/>
  <c r="F76" i="40"/>
  <c r="F60" i="40"/>
  <c r="F139" i="40"/>
  <c r="F123" i="40"/>
  <c r="F115" i="40"/>
  <c r="F107" i="40"/>
  <c r="F91" i="40"/>
  <c r="F75" i="40"/>
  <c r="F59" i="40"/>
  <c r="AZ53" i="43" s="1"/>
  <c r="E21" i="45" s="1"/>
  <c r="CJ50" i="43"/>
  <c r="AO18" i="45" s="1"/>
  <c r="F130" i="40"/>
  <c r="AZ68" i="43" s="1"/>
  <c r="E36" i="45" s="1"/>
  <c r="F50" i="40"/>
  <c r="AE141" i="40"/>
  <c r="AE125" i="40"/>
  <c r="AE119" i="40"/>
  <c r="AE110" i="40"/>
  <c r="AE102" i="40"/>
  <c r="AE91" i="40"/>
  <c r="AE81" i="40"/>
  <c r="AE68" i="40"/>
  <c r="AE57" i="40"/>
  <c r="F145" i="40"/>
  <c r="AZ71" i="43" s="1"/>
  <c r="E39" i="45" s="1"/>
  <c r="F105" i="40"/>
  <c r="AE140" i="40"/>
  <c r="AE132" i="40"/>
  <c r="AE118" i="40"/>
  <c r="AE109" i="40"/>
  <c r="AE90" i="40"/>
  <c r="AE80" i="40"/>
  <c r="AE67" i="40"/>
  <c r="F144" i="40"/>
  <c r="F136" i="40"/>
  <c r="F128" i="40"/>
  <c r="F120" i="40"/>
  <c r="F112" i="40"/>
  <c r="F104" i="40"/>
  <c r="F96" i="40"/>
  <c r="F88" i="40"/>
  <c r="F80" i="40"/>
  <c r="F72" i="40"/>
  <c r="F64" i="40"/>
  <c r="AZ54" i="43" s="1"/>
  <c r="E22" i="45" s="1"/>
  <c r="F56" i="40"/>
  <c r="F48" i="40"/>
  <c r="AE49" i="40"/>
  <c r="AE54" i="40"/>
  <c r="AE61" i="40"/>
  <c r="AE69" i="40"/>
  <c r="AE76" i="40"/>
  <c r="AE84" i="40"/>
  <c r="AE92" i="40"/>
  <c r="AE98" i="40"/>
  <c r="AE114" i="40"/>
  <c r="AE55" i="40"/>
  <c r="AE62" i="40"/>
  <c r="AE77" i="40"/>
  <c r="AE85" i="40"/>
  <c r="AE100" i="40"/>
  <c r="AE46" i="40"/>
  <c r="AE63" i="40"/>
  <c r="AE70" i="40"/>
  <c r="AE78" i="40"/>
  <c r="AE87" i="40"/>
  <c r="AE93" i="40"/>
  <c r="AE101" i="40"/>
  <c r="AE107" i="40"/>
  <c r="F135" i="40"/>
  <c r="AZ69" i="43" s="1"/>
  <c r="E37" i="45" s="1"/>
  <c r="F119" i="40"/>
  <c r="F103" i="40"/>
  <c r="F95" i="40"/>
  <c r="F87" i="40"/>
  <c r="AZ59" i="43" s="1"/>
  <c r="E27" i="45" s="1"/>
  <c r="F71" i="40"/>
  <c r="F55" i="40"/>
  <c r="F134" i="40"/>
  <c r="F118" i="40"/>
  <c r="F110" i="40"/>
  <c r="F102" i="40"/>
  <c r="AZ62" i="43" s="1"/>
  <c r="E30" i="45" s="1"/>
  <c r="F86" i="40"/>
  <c r="F70" i="40"/>
  <c r="F54" i="40"/>
  <c r="AZ52" i="43" s="1"/>
  <c r="E20" i="45" s="1"/>
  <c r="AE145" i="40"/>
  <c r="AE137" i="40"/>
  <c r="AE129" i="40"/>
  <c r="AE122" i="40"/>
  <c r="AE96" i="40"/>
  <c r="AE64" i="40"/>
  <c r="AE139" i="40"/>
  <c r="AE133" i="40"/>
  <c r="AE126" i="40"/>
  <c r="AE113" i="40"/>
  <c r="AE99" i="40"/>
  <c r="AE86" i="40"/>
  <c r="AE79" i="40"/>
  <c r="AE72" i="40"/>
  <c r="AE65" i="40"/>
  <c r="AE59" i="40"/>
  <c r="AE52" i="40"/>
  <c r="AE50" i="40"/>
  <c r="AD142" i="40"/>
  <c r="AD133" i="40"/>
  <c r="AD124" i="40"/>
  <c r="AD110" i="40"/>
  <c r="AD101" i="40"/>
  <c r="AD92" i="40"/>
  <c r="AD78" i="40"/>
  <c r="AD69" i="40"/>
  <c r="AD60" i="40"/>
  <c r="AD46" i="40"/>
  <c r="AD137" i="40"/>
  <c r="AD128" i="40"/>
  <c r="AD114" i="40"/>
  <c r="AD105" i="40"/>
  <c r="AD96" i="40"/>
  <c r="AD82" i="40"/>
  <c r="AD73" i="40"/>
  <c r="AD64" i="40"/>
  <c r="AD50" i="40"/>
  <c r="AD141" i="40"/>
  <c r="AD132" i="40"/>
  <c r="AD118" i="40"/>
  <c r="AD109" i="40"/>
  <c r="AD100" i="40"/>
  <c r="AD86" i="40"/>
  <c r="AD77" i="40"/>
  <c r="AD68" i="40"/>
  <c r="AD54" i="40"/>
  <c r="AD145" i="40"/>
  <c r="AD136" i="40"/>
  <c r="AD122" i="40"/>
  <c r="AD113" i="40"/>
  <c r="AD104" i="40"/>
  <c r="AD90" i="40"/>
  <c r="AD81" i="40"/>
  <c r="AD72" i="40"/>
  <c r="AD58" i="40"/>
  <c r="AD49" i="40"/>
  <c r="AD140" i="40"/>
  <c r="AD126" i="40"/>
  <c r="AD117" i="40"/>
  <c r="AD108" i="40"/>
  <c r="AD94" i="40"/>
  <c r="AD85" i="40"/>
  <c r="AD76" i="40"/>
  <c r="AD62" i="40"/>
  <c r="AD53" i="40"/>
  <c r="AD144" i="40"/>
  <c r="AD130" i="40"/>
  <c r="AD121" i="40"/>
  <c r="AD112" i="40"/>
  <c r="AD98" i="40"/>
  <c r="AD89" i="40"/>
  <c r="AD80" i="40"/>
  <c r="AD66" i="40"/>
  <c r="AD57" i="40"/>
  <c r="AD48" i="40"/>
  <c r="AD143" i="40"/>
  <c r="AD139" i="40"/>
  <c r="AD135" i="40"/>
  <c r="AD131" i="40"/>
  <c r="AD127" i="40"/>
  <c r="AD123" i="40"/>
  <c r="AD119" i="40"/>
  <c r="AD115" i="40"/>
  <c r="AD111" i="40"/>
  <c r="AD107" i="40"/>
  <c r="AD103" i="40"/>
  <c r="AD99" i="40"/>
  <c r="AD95" i="40"/>
  <c r="AD91" i="40"/>
  <c r="AD87" i="40"/>
  <c r="AD83" i="40"/>
  <c r="AD79" i="40"/>
  <c r="AD75" i="40"/>
  <c r="AD71" i="40"/>
  <c r="AD67" i="40"/>
  <c r="AD63" i="40"/>
  <c r="AD59" i="40"/>
  <c r="AD55" i="40"/>
  <c r="AD51" i="40"/>
  <c r="AD47" i="40"/>
  <c r="CJ70" i="43"/>
  <c r="AO38" i="45" s="1"/>
  <c r="CJ66" i="43"/>
  <c r="AO34" i="45" s="1"/>
  <c r="CJ65" i="43"/>
  <c r="AO33" i="45" s="1"/>
  <c r="CJ61" i="43"/>
  <c r="AO29" i="45" s="1"/>
  <c r="CJ60" i="43"/>
  <c r="AO28" i="45" s="1"/>
  <c r="CJ56" i="43"/>
  <c r="AO24" i="45" s="1"/>
  <c r="CJ55" i="43"/>
  <c r="AO23" i="45" s="1"/>
  <c r="CJ51" i="43"/>
  <c r="AO19" i="45" s="1"/>
  <c r="CK54" i="43"/>
  <c r="AP22" i="45" s="1"/>
  <c r="CK69" i="43"/>
  <c r="AP37" i="45" s="1"/>
  <c r="CK64" i="43"/>
  <c r="AP32" i="45" s="1"/>
  <c r="CK59" i="43"/>
  <c r="AP27" i="45" s="1"/>
  <c r="CK50" i="43"/>
  <c r="AP18" i="45" s="1"/>
  <c r="CJ68" i="43"/>
  <c r="AO36" i="45" s="1"/>
  <c r="CJ63" i="43"/>
  <c r="AO31" i="45" s="1"/>
  <c r="CK62" i="43"/>
  <c r="AP30" i="45" s="1"/>
  <c r="CK57" i="43"/>
  <c r="AP25" i="45" s="1"/>
  <c r="CK52" i="43"/>
  <c r="AP20" i="45" s="1"/>
  <c r="CK67" i="43"/>
  <c r="AP35" i="45" s="1"/>
  <c r="CJ54" i="43"/>
  <c r="AO22" i="45" s="1"/>
  <c r="CK70" i="43"/>
  <c r="AP38" i="45" s="1"/>
  <c r="CK65" i="43"/>
  <c r="AP33" i="45" s="1"/>
  <c r="CK60" i="43"/>
  <c r="AP28" i="45" s="1"/>
  <c r="CK55" i="43"/>
  <c r="AP23" i="45" s="1"/>
  <c r="CJ69" i="43"/>
  <c r="AO37" i="45" s="1"/>
  <c r="CJ64" i="43"/>
  <c r="AO32" i="45" s="1"/>
  <c r="CJ59" i="43"/>
  <c r="AO27" i="45" s="1"/>
  <c r="CK58" i="43"/>
  <c r="AP26" i="45" s="1"/>
  <c r="CK53" i="43"/>
  <c r="AP21" i="45" s="1"/>
  <c r="CJ62" i="43"/>
  <c r="AO30" i="45" s="1"/>
  <c r="CJ57" i="43"/>
  <c r="AO25" i="45" s="1"/>
  <c r="CJ52" i="43"/>
  <c r="AO20" i="45" s="1"/>
  <c r="CK68" i="43"/>
  <c r="AP36" i="45" s="1"/>
  <c r="CK63" i="43"/>
  <c r="AP31" i="45" s="1"/>
  <c r="CJ67" i="43"/>
  <c r="AO35" i="45" s="1"/>
  <c r="CK71" i="43"/>
  <c r="AP39" i="45" s="1"/>
  <c r="CK66" i="43"/>
  <c r="AP34" i="45" s="1"/>
  <c r="CK61" i="43"/>
  <c r="AP29" i="45" s="1"/>
  <c r="CK56" i="43"/>
  <c r="AP24" i="45" s="1"/>
  <c r="D98" i="38"/>
  <c r="N98" i="38" s="1"/>
  <c r="D103" i="38"/>
  <c r="N103" i="38" s="1"/>
  <c r="D54" i="38"/>
  <c r="N54" i="38" s="1"/>
  <c r="D55" i="38"/>
  <c r="N55" i="38" s="1"/>
  <c r="D119" i="38"/>
  <c r="D127" i="38"/>
  <c r="D64" i="38"/>
  <c r="N64" i="38" s="1"/>
  <c r="D66" i="38"/>
  <c r="N66" i="38" s="1"/>
  <c r="D141" i="38"/>
  <c r="N141" i="38" s="1"/>
  <c r="D75" i="38"/>
  <c r="N75" i="38" s="1"/>
  <c r="D114" i="38"/>
  <c r="N114" i="38" s="1"/>
  <c r="D111" i="38"/>
  <c r="N111" i="38" s="1"/>
  <c r="L114" i="38"/>
  <c r="D121" i="38"/>
  <c r="D144" i="38"/>
  <c r="D67" i="38"/>
  <c r="D125" i="38"/>
  <c r="D134" i="38"/>
  <c r="N134" i="38" s="1"/>
  <c r="D74" i="38"/>
  <c r="D80" i="38"/>
  <c r="N80" i="38" s="1"/>
  <c r="D142" i="38"/>
  <c r="N142" i="38" s="1"/>
  <c r="D46" i="38"/>
  <c r="N46" i="38" s="1"/>
  <c r="D105" i="38"/>
  <c r="N105" i="38" s="1"/>
  <c r="D49" i="38"/>
  <c r="D57" i="38"/>
  <c r="N57" i="38" s="1"/>
  <c r="D56" i="38"/>
  <c r="N56" i="38" s="1"/>
  <c r="D71" i="38"/>
  <c r="N71" i="38" s="1"/>
  <c r="D79" i="38"/>
  <c r="D45" i="38"/>
  <c r="D72" i="38"/>
  <c r="D77" i="38"/>
  <c r="D97" i="38"/>
  <c r="N97" i="38" s="1"/>
  <c r="D104" i="38"/>
  <c r="N104" i="38" s="1"/>
  <c r="L103" i="38"/>
  <c r="D123" i="38"/>
  <c r="D133" i="38"/>
  <c r="N133" i="38" s="1"/>
  <c r="L141" i="38"/>
  <c r="L45" i="38"/>
  <c r="L97" i="38"/>
  <c r="D110" i="38"/>
  <c r="N110" i="38" s="1"/>
  <c r="L55" i="38"/>
  <c r="D78" i="38"/>
  <c r="N78" i="38" s="1"/>
  <c r="D120" i="38"/>
  <c r="N120" i="38" s="1"/>
  <c r="D63" i="38"/>
  <c r="N63" i="38" s="1"/>
  <c r="D89" i="38"/>
  <c r="N89" i="38" s="1"/>
  <c r="D96" i="38"/>
  <c r="D136" i="38"/>
  <c r="N136" i="38" s="1"/>
  <c r="D47" i="38"/>
  <c r="D50" i="38"/>
  <c r="D51" i="38"/>
  <c r="D48" i="38"/>
  <c r="L52" i="38"/>
  <c r="D53" i="38"/>
  <c r="D52" i="38"/>
  <c r="L49" i="38"/>
  <c r="D58" i="38"/>
  <c r="D59" i="38"/>
  <c r="D61" i="38"/>
  <c r="D76" i="38"/>
  <c r="D84" i="38"/>
  <c r="D83" i="38"/>
  <c r="L83" i="38"/>
  <c r="D62" i="38"/>
  <c r="L64" i="38"/>
  <c r="D68" i="38"/>
  <c r="L68" i="38"/>
  <c r="L72" i="38"/>
  <c r="D81" i="38"/>
  <c r="L81" i="38"/>
  <c r="L56" i="38"/>
  <c r="L92" i="38"/>
  <c r="D92" i="38"/>
  <c r="D87" i="38"/>
  <c r="D88" i="38"/>
  <c r="D86" i="38"/>
  <c r="D85" i="38"/>
  <c r="D90" i="38"/>
  <c r="L90" i="38"/>
  <c r="L69" i="38"/>
  <c r="D70" i="38"/>
  <c r="D69" i="38"/>
  <c r="D60" i="38"/>
  <c r="L60" i="38"/>
  <c r="D65" i="38"/>
  <c r="D73" i="38"/>
  <c r="D94" i="38"/>
  <c r="L94" i="38"/>
  <c r="D82" i="38"/>
  <c r="L82" i="38"/>
  <c r="D91" i="38"/>
  <c r="D93" i="38"/>
  <c r="L93" i="38"/>
  <c r="D106" i="38"/>
  <c r="L106" i="38"/>
  <c r="D102" i="38"/>
  <c r="L102" i="38"/>
  <c r="D95" i="38"/>
  <c r="L95" i="38"/>
  <c r="L96" i="38"/>
  <c r="D99" i="38"/>
  <c r="L99" i="38"/>
  <c r="D109" i="38"/>
  <c r="D101" i="38"/>
  <c r="L100" i="38"/>
  <c r="D108" i="38"/>
  <c r="D100" i="38"/>
  <c r="L107" i="38"/>
  <c r="D107" i="38"/>
  <c r="D112" i="38"/>
  <c r="L111" i="38"/>
  <c r="L109" i="38"/>
  <c r="D115" i="38"/>
  <c r="D113" i="38"/>
  <c r="D118" i="38"/>
  <c r="D117" i="38"/>
  <c r="L117" i="38"/>
  <c r="D130" i="38"/>
  <c r="L130" i="38"/>
  <c r="D116" i="38"/>
  <c r="L116" i="38"/>
  <c r="L119" i="38"/>
  <c r="D122" i="38"/>
  <c r="L122" i="38"/>
  <c r="D124" i="38"/>
  <c r="L120" i="38"/>
  <c r="D126" i="38"/>
  <c r="L123" i="38"/>
  <c r="D131" i="38"/>
  <c r="D139" i="38"/>
  <c r="L128" i="38"/>
  <c r="D129" i="38"/>
  <c r="D128" i="38"/>
  <c r="D138" i="38"/>
  <c r="L138" i="38"/>
  <c r="L127" i="38"/>
  <c r="D135" i="38"/>
  <c r="D143" i="38"/>
  <c r="D132" i="38"/>
  <c r="D140" i="38"/>
  <c r="D137" i="38"/>
  <c r="L139" i="38"/>
  <c r="J160" i="14"/>
  <c r="J59" i="14"/>
  <c r="I160" i="14"/>
  <c r="I59" i="14"/>
  <c r="H160" i="14"/>
  <c r="H59" i="14"/>
  <c r="G160" i="14"/>
  <c r="G59" i="14"/>
  <c r="F160" i="14"/>
  <c r="F59" i="14"/>
  <c r="A17" i="14"/>
  <c r="D11" i="6"/>
  <c r="D10" i="6"/>
  <c r="E71" i="34"/>
  <c r="E64" i="34"/>
  <c r="E39" i="34"/>
  <c r="E55" i="34" s="1"/>
  <c r="C69" i="34"/>
  <c r="E69" i="34" s="1"/>
  <c r="E68" i="34"/>
  <c r="E67" i="34"/>
  <c r="C63" i="34"/>
  <c r="E63" i="34" s="1"/>
  <c r="E62" i="34"/>
  <c r="E60" i="34"/>
  <c r="C52" i="34"/>
  <c r="E53" i="34"/>
  <c r="J67" i="1" s="1"/>
  <c r="C8" i="40" s="1"/>
  <c r="E51" i="34"/>
  <c r="R77" i="6" l="1"/>
  <c r="T77" i="6" s="1"/>
  <c r="R22" i="6"/>
  <c r="T22" i="6" s="1"/>
  <c r="R86" i="6"/>
  <c r="R31" i="6"/>
  <c r="T31" i="6" s="1"/>
  <c r="R95" i="6"/>
  <c r="T95" i="6" s="1"/>
  <c r="R41" i="6"/>
  <c r="T41" i="6" s="1"/>
  <c r="R105" i="6"/>
  <c r="T105" i="6" s="1"/>
  <c r="R58" i="6"/>
  <c r="T58" i="6" s="1"/>
  <c r="R27" i="6"/>
  <c r="T27" i="6" s="1"/>
  <c r="R91" i="6"/>
  <c r="T91" i="6" s="1"/>
  <c r="R60" i="6"/>
  <c r="T60" i="6" s="1"/>
  <c r="R24" i="6"/>
  <c r="T24" i="6" s="1"/>
  <c r="R29" i="6"/>
  <c r="R38" i="6"/>
  <c r="T38" i="6" s="1"/>
  <c r="R102" i="6"/>
  <c r="T102" i="6" s="1"/>
  <c r="R111" i="6"/>
  <c r="T111" i="6" s="1"/>
  <c r="R20" i="6"/>
  <c r="T20" i="6" s="1"/>
  <c r="R43" i="6"/>
  <c r="T43" i="6" s="1"/>
  <c r="R76" i="6"/>
  <c r="T76" i="6" s="1"/>
  <c r="R104" i="6"/>
  <c r="T104" i="6" s="1"/>
  <c r="R89" i="6"/>
  <c r="R75" i="6"/>
  <c r="T75" i="6" s="1"/>
  <c r="R33" i="6"/>
  <c r="T33" i="6" s="1"/>
  <c r="R116" i="6"/>
  <c r="T116" i="6" s="1"/>
  <c r="R21" i="6"/>
  <c r="T21" i="6" s="1"/>
  <c r="R85" i="6"/>
  <c r="T85" i="6" s="1"/>
  <c r="R30" i="6"/>
  <c r="T30" i="6" s="1"/>
  <c r="R94" i="6"/>
  <c r="T94" i="6" s="1"/>
  <c r="R39" i="6"/>
  <c r="T39" i="6" s="1"/>
  <c r="R103" i="6"/>
  <c r="T103" i="6" s="1"/>
  <c r="R49" i="6"/>
  <c r="T49" i="6" s="1"/>
  <c r="R113" i="6"/>
  <c r="T113" i="6" s="1"/>
  <c r="R66" i="6"/>
  <c r="T66" i="6" s="1"/>
  <c r="R35" i="6"/>
  <c r="T35" i="6" s="1"/>
  <c r="R99" i="6"/>
  <c r="T99" i="6" s="1"/>
  <c r="R68" i="6"/>
  <c r="T68" i="6" s="1"/>
  <c r="R64" i="6"/>
  <c r="T64" i="6" s="1"/>
  <c r="R93" i="6"/>
  <c r="T93" i="6" s="1"/>
  <c r="R47" i="6"/>
  <c r="T47" i="6" s="1"/>
  <c r="R57" i="6"/>
  <c r="T57" i="6" s="1"/>
  <c r="R74" i="6"/>
  <c r="T74" i="6" s="1"/>
  <c r="R107" i="6"/>
  <c r="T107" i="6" s="1"/>
  <c r="R72" i="6"/>
  <c r="T72" i="6" s="1"/>
  <c r="R61" i="6"/>
  <c r="T61" i="6" s="1"/>
  <c r="R42" i="6"/>
  <c r="T42" i="6" s="1"/>
  <c r="R78" i="6"/>
  <c r="T78" i="6" s="1"/>
  <c r="R114" i="6"/>
  <c r="T114" i="6" s="1"/>
  <c r="R37" i="6"/>
  <c r="T37" i="6" s="1"/>
  <c r="R101" i="6"/>
  <c r="T101" i="6" s="1"/>
  <c r="R46" i="6"/>
  <c r="T46" i="6" s="1"/>
  <c r="R110" i="6"/>
  <c r="T110" i="6" s="1"/>
  <c r="R55" i="6"/>
  <c r="T55" i="6" s="1"/>
  <c r="R119" i="6"/>
  <c r="T119" i="6" s="1"/>
  <c r="R65" i="6"/>
  <c r="T65" i="6" s="1"/>
  <c r="R56" i="6"/>
  <c r="T56" i="6" s="1"/>
  <c r="R82" i="6"/>
  <c r="T82" i="6" s="1"/>
  <c r="R51" i="6"/>
  <c r="T51" i="6" s="1"/>
  <c r="R115" i="6"/>
  <c r="T115" i="6" s="1"/>
  <c r="R84" i="6"/>
  <c r="T84" i="6" s="1"/>
  <c r="R80" i="6"/>
  <c r="T80" i="6" s="1"/>
  <c r="R117" i="6"/>
  <c r="T117" i="6" s="1"/>
  <c r="R71" i="6"/>
  <c r="T71" i="6" s="1"/>
  <c r="R34" i="6"/>
  <c r="T34" i="6" s="1"/>
  <c r="R67" i="6"/>
  <c r="T67" i="6" s="1"/>
  <c r="R100" i="6"/>
  <c r="T100" i="6" s="1"/>
  <c r="R48" i="6"/>
  <c r="T48" i="6" s="1"/>
  <c r="R79" i="6"/>
  <c r="T79" i="6" s="1"/>
  <c r="R106" i="6"/>
  <c r="T106" i="6" s="1"/>
  <c r="R108" i="6"/>
  <c r="T108" i="6" s="1"/>
  <c r="R120" i="6"/>
  <c r="T120" i="6" s="1"/>
  <c r="R87" i="6"/>
  <c r="T87" i="6" s="1"/>
  <c r="R83" i="6"/>
  <c r="T83" i="6" s="1"/>
  <c r="R45" i="6"/>
  <c r="T45" i="6" s="1"/>
  <c r="R109" i="6"/>
  <c r="T109" i="6" s="1"/>
  <c r="R54" i="6"/>
  <c r="T54" i="6" s="1"/>
  <c r="R118" i="6"/>
  <c r="T118" i="6" s="1"/>
  <c r="R63" i="6"/>
  <c r="R32" i="6"/>
  <c r="T32" i="6" s="1"/>
  <c r="R73" i="6"/>
  <c r="T73" i="6" s="1"/>
  <c r="R26" i="6"/>
  <c r="T26" i="6" s="1"/>
  <c r="R90" i="6"/>
  <c r="T90" i="6" s="1"/>
  <c r="R59" i="6"/>
  <c r="T59" i="6" s="1"/>
  <c r="R28" i="6"/>
  <c r="T28" i="6" s="1"/>
  <c r="R92" i="6"/>
  <c r="T92" i="6" s="1"/>
  <c r="R88" i="6"/>
  <c r="R53" i="6"/>
  <c r="T53" i="6" s="1"/>
  <c r="R62" i="6"/>
  <c r="T62" i="6" s="1"/>
  <c r="R40" i="6"/>
  <c r="T40" i="6" s="1"/>
  <c r="R96" i="6"/>
  <c r="T96" i="6" s="1"/>
  <c r="R81" i="6"/>
  <c r="T81" i="6" s="1"/>
  <c r="R98" i="6"/>
  <c r="T98" i="6" s="1"/>
  <c r="R36" i="6"/>
  <c r="R112" i="6"/>
  <c r="T112" i="6" s="1"/>
  <c r="R70" i="6"/>
  <c r="T70" i="6" s="1"/>
  <c r="R25" i="6"/>
  <c r="T25" i="6" s="1"/>
  <c r="R44" i="6"/>
  <c r="T44" i="6" s="1"/>
  <c r="R69" i="6"/>
  <c r="T69" i="6" s="1"/>
  <c r="R23" i="6"/>
  <c r="T23" i="6" s="1"/>
  <c r="R97" i="6"/>
  <c r="T97" i="6" s="1"/>
  <c r="R52" i="6"/>
  <c r="T52" i="6" s="1"/>
  <c r="R50" i="6"/>
  <c r="T50" i="6" s="1"/>
  <c r="C54" i="34"/>
  <c r="BY65" i="43"/>
  <c r="AD33" i="45" s="1"/>
  <c r="BY53" i="43"/>
  <c r="AD21" i="45" s="1"/>
  <c r="BX71" i="43"/>
  <c r="AC39" i="45" s="1"/>
  <c r="BY60" i="43"/>
  <c r="AD28" i="45" s="1"/>
  <c r="BX69" i="43"/>
  <c r="AC37" i="45" s="1"/>
  <c r="BX52" i="43"/>
  <c r="AC20" i="45" s="1"/>
  <c r="BY54" i="43"/>
  <c r="AD22" i="45" s="1"/>
  <c r="BY69" i="43"/>
  <c r="AD37" i="45" s="1"/>
  <c r="BX64" i="43"/>
  <c r="AC32" i="45" s="1"/>
  <c r="BX66" i="43"/>
  <c r="AC34" i="45" s="1"/>
  <c r="BX54" i="43"/>
  <c r="AC22" i="45" s="1"/>
  <c r="BY62" i="43"/>
  <c r="AD30" i="45" s="1"/>
  <c r="BX60" i="43"/>
  <c r="AC28" i="45" s="1"/>
  <c r="BY55" i="43"/>
  <c r="AD23" i="45" s="1"/>
  <c r="BX67" i="43"/>
  <c r="AC35" i="45" s="1"/>
  <c r="BY66" i="43"/>
  <c r="AD34" i="45" s="1"/>
  <c r="BY68" i="43"/>
  <c r="AD36" i="45" s="1"/>
  <c r="BX55" i="43"/>
  <c r="AC23" i="45" s="1"/>
  <c r="BX58" i="43"/>
  <c r="AC26" i="45" s="1"/>
  <c r="BX68" i="43"/>
  <c r="AC36" i="45" s="1"/>
  <c r="BX56" i="43"/>
  <c r="AC24" i="45" s="1"/>
  <c r="BY59" i="43"/>
  <c r="AD27" i="45" s="1"/>
  <c r="BY70" i="43"/>
  <c r="AD38" i="45" s="1"/>
  <c r="BX62" i="43"/>
  <c r="AC30" i="45" s="1"/>
  <c r="BX59" i="43"/>
  <c r="AC27" i="45" s="1"/>
  <c r="BY57" i="43"/>
  <c r="AD25" i="45" s="1"/>
  <c r="BY52" i="43"/>
  <c r="AD20" i="45" s="1"/>
  <c r="BY58" i="43"/>
  <c r="AD26" i="45" s="1"/>
  <c r="BX53" i="43"/>
  <c r="AC21" i="45" s="1"/>
  <c r="BX70" i="43"/>
  <c r="AC38" i="45" s="1"/>
  <c r="BX57" i="43"/>
  <c r="AC25" i="45" s="1"/>
  <c r="BY71" i="43"/>
  <c r="AD39" i="45" s="1"/>
  <c r="BY51" i="43"/>
  <c r="AD19" i="45" s="1"/>
  <c r="BY67" i="43"/>
  <c r="AD35" i="45" s="1"/>
  <c r="BX61" i="43"/>
  <c r="AC29" i="45" s="1"/>
  <c r="BY61" i="43"/>
  <c r="AD29" i="45" s="1"/>
  <c r="BX63" i="43"/>
  <c r="AC31" i="45" s="1"/>
  <c r="BX51" i="43"/>
  <c r="AC19" i="45" s="1"/>
  <c r="BX65" i="43"/>
  <c r="AC33" i="45" s="1"/>
  <c r="BY63" i="43"/>
  <c r="AD31" i="45" s="1"/>
  <c r="BY64" i="43"/>
  <c r="AD32" i="45" s="1"/>
  <c r="T63" i="6"/>
  <c r="T36" i="6"/>
  <c r="T89" i="6"/>
  <c r="T29" i="6"/>
  <c r="T86" i="6"/>
  <c r="T88" i="6"/>
  <c r="N127" i="38"/>
  <c r="N119" i="38"/>
  <c r="N144" i="38"/>
  <c r="N96" i="38"/>
  <c r="N121" i="38"/>
  <c r="N67" i="38"/>
  <c r="N125" i="38"/>
  <c r="N49" i="38"/>
  <c r="N45" i="38"/>
  <c r="N123" i="38"/>
  <c r="N79" i="38"/>
  <c r="N74" i="38"/>
  <c r="J146" i="15"/>
  <c r="J144" i="38"/>
  <c r="G45" i="15"/>
  <c r="G43" i="38"/>
  <c r="G146" i="15"/>
  <c r="G144" i="38"/>
  <c r="I45" i="15"/>
  <c r="I43" i="38"/>
  <c r="F146" i="15"/>
  <c r="F144" i="38"/>
  <c r="H45" i="15"/>
  <c r="H43" i="38"/>
  <c r="F45" i="15"/>
  <c r="F43" i="38"/>
  <c r="H146" i="15"/>
  <c r="H144" i="38"/>
  <c r="I146" i="15"/>
  <c r="I144" i="38"/>
  <c r="J45" i="15"/>
  <c r="J43" i="38"/>
  <c r="N77" i="38"/>
  <c r="N72" i="38"/>
  <c r="N138" i="38"/>
  <c r="N139" i="38"/>
  <c r="N131" i="38"/>
  <c r="N95" i="38"/>
  <c r="N135" i="38"/>
  <c r="N112" i="38"/>
  <c r="N94" i="38"/>
  <c r="N69" i="38"/>
  <c r="N86" i="38"/>
  <c r="N88" i="38"/>
  <c r="N52" i="38"/>
  <c r="N50" i="38"/>
  <c r="N143" i="38"/>
  <c r="N126" i="38"/>
  <c r="N101" i="38"/>
  <c r="N93" i="38"/>
  <c r="N70" i="38"/>
  <c r="N87" i="38"/>
  <c r="N62" i="38"/>
  <c r="N53" i="38"/>
  <c r="N132" i="38"/>
  <c r="N137" i="38"/>
  <c r="N122" i="38"/>
  <c r="N115" i="38"/>
  <c r="N109" i="38"/>
  <c r="N73" i="38"/>
  <c r="N76" i="38"/>
  <c r="N113" i="38"/>
  <c r="N140" i="38"/>
  <c r="N116" i="38"/>
  <c r="N107" i="38"/>
  <c r="N100" i="38"/>
  <c r="N91" i="38"/>
  <c r="N92" i="38"/>
  <c r="N61" i="38"/>
  <c r="N99" i="38"/>
  <c r="N129" i="38"/>
  <c r="N124" i="38"/>
  <c r="N117" i="38"/>
  <c r="N108" i="38"/>
  <c r="N102" i="38"/>
  <c r="N82" i="38"/>
  <c r="N60" i="38"/>
  <c r="N83" i="38"/>
  <c r="N59" i="38"/>
  <c r="N48" i="38"/>
  <c r="N130" i="38"/>
  <c r="N118" i="38"/>
  <c r="N90" i="38"/>
  <c r="N68" i="38"/>
  <c r="N84" i="38"/>
  <c r="N58" i="38"/>
  <c r="N51" i="38"/>
  <c r="N128" i="38"/>
  <c r="N106" i="38"/>
  <c r="N65" i="38"/>
  <c r="N85" i="38"/>
  <c r="N81" i="38"/>
  <c r="N47" i="38"/>
  <c r="I70" i="1"/>
  <c r="I66" i="1"/>
  <c r="B9" i="40" s="1"/>
  <c r="I72" i="1"/>
  <c r="I69" i="1"/>
  <c r="J68" i="1"/>
  <c r="C10" i="40" s="1"/>
  <c r="J73" i="1"/>
  <c r="J71" i="1"/>
  <c r="P35" i="1"/>
  <c r="P43" i="1" s="1"/>
  <c r="P34" i="1"/>
  <c r="P42" i="1" s="1"/>
  <c r="P33" i="1"/>
  <c r="P41" i="1" s="1"/>
  <c r="D21" i="16"/>
  <c r="D57" i="16"/>
  <c r="D56" i="16"/>
  <c r="D54" i="16"/>
  <c r="D24" i="16"/>
  <c r="D23" i="16"/>
  <c r="D22" i="16"/>
  <c r="D9" i="16"/>
  <c r="D8" i="16"/>
  <c r="D7" i="16"/>
  <c r="D55" i="16"/>
  <c r="E13" i="14"/>
  <c r="D8" i="6"/>
  <c r="C70" i="34"/>
  <c r="E70" i="34" s="1"/>
  <c r="E61" i="34"/>
  <c r="E52" i="34"/>
  <c r="E10" i="1" l="1"/>
  <c r="I67" i="1" s="1"/>
  <c r="I67" i="46"/>
  <c r="E54" i="34"/>
  <c r="E57" i="34" s="1"/>
  <c r="C57" i="34"/>
  <c r="P36" i="1"/>
  <c r="B8" i="40" l="1"/>
  <c r="I71" i="1"/>
  <c r="I73" i="1"/>
  <c r="I68" i="1"/>
  <c r="B10" i="40" s="1"/>
  <c r="C65" i="34"/>
  <c r="C72" i="34"/>
  <c r="E58" i="34"/>
  <c r="C58" i="34" s="1"/>
  <c r="E65" i="34"/>
  <c r="I73" i="46"/>
  <c r="I68" i="46"/>
  <c r="I71" i="46"/>
  <c r="C142" i="38"/>
  <c r="C138" i="38"/>
  <c r="C134" i="38"/>
  <c r="C130" i="38"/>
  <c r="C126" i="38"/>
  <c r="C122" i="38"/>
  <c r="C118" i="38"/>
  <c r="C114" i="38"/>
  <c r="C110" i="38"/>
  <c r="C106" i="38"/>
  <c r="C102" i="38"/>
  <c r="C98" i="38"/>
  <c r="C94" i="38"/>
  <c r="C90" i="38"/>
  <c r="C86" i="38"/>
  <c r="C82" i="38"/>
  <c r="C78" i="38"/>
  <c r="C74" i="38"/>
  <c r="C70" i="38"/>
  <c r="C66" i="38"/>
  <c r="C62" i="38"/>
  <c r="C58" i="38"/>
  <c r="C54" i="38"/>
  <c r="C50" i="38"/>
  <c r="C46" i="38"/>
  <c r="C141" i="38"/>
  <c r="C137" i="38"/>
  <c r="C133" i="38"/>
  <c r="C129" i="38"/>
  <c r="C125" i="38"/>
  <c r="C121" i="38"/>
  <c r="C117" i="38"/>
  <c r="C113" i="38"/>
  <c r="C109" i="38"/>
  <c r="C105" i="38"/>
  <c r="C101" i="38"/>
  <c r="C97" i="38"/>
  <c r="C93" i="38"/>
  <c r="C89" i="38"/>
  <c r="C85" i="38"/>
  <c r="C81" i="38"/>
  <c r="C77" i="38"/>
  <c r="C73" i="38"/>
  <c r="C69" i="38"/>
  <c r="C65" i="38"/>
  <c r="C61" i="38"/>
  <c r="C57" i="38"/>
  <c r="C53" i="38"/>
  <c r="C49" i="38"/>
  <c r="C45" i="38"/>
  <c r="C144" i="38"/>
  <c r="C140" i="38"/>
  <c r="C136" i="38"/>
  <c r="C132" i="38"/>
  <c r="C128" i="38"/>
  <c r="C124" i="38"/>
  <c r="C120" i="38"/>
  <c r="C116" i="38"/>
  <c r="C112" i="38"/>
  <c r="C108" i="38"/>
  <c r="C104" i="38"/>
  <c r="C100" i="38"/>
  <c r="C96" i="38"/>
  <c r="C92" i="38"/>
  <c r="C88" i="38"/>
  <c r="C84" i="38"/>
  <c r="C80" i="38"/>
  <c r="C76" i="38"/>
  <c r="C72" i="38"/>
  <c r="C68" i="38"/>
  <c r="C64" i="38"/>
  <c r="C60" i="38"/>
  <c r="C56" i="38"/>
  <c r="C52" i="38"/>
  <c r="C48" i="38"/>
  <c r="C143" i="38"/>
  <c r="C139" i="38"/>
  <c r="C135" i="38"/>
  <c r="C131" i="38"/>
  <c r="C127" i="38"/>
  <c r="C123" i="38"/>
  <c r="C119" i="38"/>
  <c r="C115" i="38"/>
  <c r="C111" i="38"/>
  <c r="C107" i="38"/>
  <c r="C103" i="38"/>
  <c r="C99" i="38"/>
  <c r="C95" i="38"/>
  <c r="C91" i="38"/>
  <c r="C87" i="38"/>
  <c r="C83" i="38"/>
  <c r="C79" i="38"/>
  <c r="C75" i="38"/>
  <c r="C71" i="38"/>
  <c r="C67" i="38"/>
  <c r="C63" i="38"/>
  <c r="C59" i="38"/>
  <c r="C55" i="38"/>
  <c r="C51" i="38"/>
  <c r="C47" i="38"/>
  <c r="C44" i="38"/>
  <c r="C20" i="6"/>
  <c r="AL45" i="40" s="1"/>
  <c r="E72" i="34"/>
  <c r="P3" i="1"/>
  <c r="Q3" i="1"/>
  <c r="R3" i="1"/>
  <c r="S3" i="1"/>
  <c r="T3" i="1"/>
  <c r="U3" i="1"/>
  <c r="V3" i="1"/>
  <c r="W3" i="1"/>
  <c r="X3" i="1"/>
  <c r="P4" i="1"/>
  <c r="Q4" i="1"/>
  <c r="R4" i="1"/>
  <c r="S4" i="1"/>
  <c r="T4" i="1"/>
  <c r="U4" i="1"/>
  <c r="Q5" i="1"/>
  <c r="R6" i="1"/>
  <c r="R7" i="1"/>
  <c r="Q8" i="1"/>
  <c r="R9" i="1"/>
  <c r="R10" i="1"/>
  <c r="P11" i="1"/>
  <c r="Q11" i="1"/>
  <c r="R11" i="1"/>
  <c r="S11" i="1"/>
  <c r="T11" i="1"/>
  <c r="U11" i="1"/>
  <c r="Q12" i="1"/>
  <c r="Q13" i="1"/>
  <c r="Q14" i="1"/>
  <c r="R15" i="1"/>
  <c r="R16" i="1"/>
  <c r="P17" i="1"/>
  <c r="Q17" i="1"/>
  <c r="R17" i="1"/>
  <c r="S17" i="1"/>
  <c r="T17" i="1"/>
  <c r="U17" i="1"/>
  <c r="Q21" i="1"/>
  <c r="P22" i="1"/>
  <c r="P23" i="1"/>
  <c r="Q23" i="1"/>
  <c r="R23" i="1"/>
  <c r="S23" i="1"/>
  <c r="T23" i="1"/>
  <c r="U23" i="1"/>
  <c r="W23" i="1"/>
  <c r="C46" i="40" l="1"/>
  <c r="C68" i="40"/>
  <c r="AW55" i="43" s="1"/>
  <c r="B23" i="45" s="1"/>
  <c r="C119" i="40"/>
  <c r="C69" i="40"/>
  <c r="C120" i="40"/>
  <c r="C61" i="40"/>
  <c r="C48" i="40"/>
  <c r="C105" i="40"/>
  <c r="C80" i="40"/>
  <c r="C135" i="40"/>
  <c r="AW69" i="43" s="1"/>
  <c r="B37" i="45" s="1"/>
  <c r="C96" i="40"/>
  <c r="C143" i="40"/>
  <c r="C125" i="40"/>
  <c r="AW67" i="43" s="1"/>
  <c r="B35" i="45" s="1"/>
  <c r="C131" i="40"/>
  <c r="C79" i="40"/>
  <c r="C85" i="40"/>
  <c r="C93" i="40"/>
  <c r="C51" i="40"/>
  <c r="C58" i="40"/>
  <c r="C107" i="40"/>
  <c r="C136" i="40"/>
  <c r="C54" i="40"/>
  <c r="AW52" i="43" s="1"/>
  <c r="B20" i="45" s="1"/>
  <c r="C76" i="40"/>
  <c r="C109" i="40"/>
  <c r="C77" i="40"/>
  <c r="C141" i="40"/>
  <c r="C90" i="40"/>
  <c r="C89" i="40"/>
  <c r="C117" i="40"/>
  <c r="C97" i="40"/>
  <c r="AW61" i="43" s="1"/>
  <c r="B29" i="45" s="1"/>
  <c r="C123" i="40"/>
  <c r="C59" i="40"/>
  <c r="AW53" i="43" s="1"/>
  <c r="B21" i="45" s="1"/>
  <c r="C55" i="40"/>
  <c r="C86" i="40"/>
  <c r="C56" i="40"/>
  <c r="C116" i="40"/>
  <c r="AW65" i="43" s="1"/>
  <c r="B33" i="45" s="1"/>
  <c r="C103" i="40"/>
  <c r="C104" i="40"/>
  <c r="C91" i="40"/>
  <c r="C140" i="40"/>
  <c r="AW70" i="43" s="1"/>
  <c r="B38" i="45" s="1"/>
  <c r="C87" i="40"/>
  <c r="AW59" i="43" s="1"/>
  <c r="B27" i="45" s="1"/>
  <c r="C134" i="40"/>
  <c r="C74" i="40"/>
  <c r="C45" i="40"/>
  <c r="AW50" i="43" s="1"/>
  <c r="B18" i="45" s="1"/>
  <c r="C122" i="40"/>
  <c r="C73" i="40"/>
  <c r="AW56" i="43" s="1"/>
  <c r="B24" i="45" s="1"/>
  <c r="C71" i="40"/>
  <c r="C129" i="40"/>
  <c r="C137" i="40"/>
  <c r="C110" i="40"/>
  <c r="C92" i="40"/>
  <c r="AW60" i="43" s="1"/>
  <c r="B28" i="45" s="1"/>
  <c r="C53" i="40"/>
  <c r="C62" i="40"/>
  <c r="C130" i="40"/>
  <c r="AW68" i="43" s="1"/>
  <c r="B36" i="45" s="1"/>
  <c r="C108" i="40"/>
  <c r="C100" i="40"/>
  <c r="C99" i="40"/>
  <c r="C128" i="40"/>
  <c r="C66" i="40"/>
  <c r="C114" i="40"/>
  <c r="C106" i="40"/>
  <c r="AW63" i="43" s="1"/>
  <c r="B31" i="45" s="1"/>
  <c r="C118" i="40"/>
  <c r="C139" i="40"/>
  <c r="C112" i="40"/>
  <c r="C145" i="40"/>
  <c r="AW71" i="43" s="1"/>
  <c r="B39" i="45" s="1"/>
  <c r="C88" i="40"/>
  <c r="C47" i="40"/>
  <c r="C142" i="40"/>
  <c r="C138" i="40"/>
  <c r="C57" i="40"/>
  <c r="C124" i="40"/>
  <c r="C111" i="40"/>
  <c r="AW64" i="43" s="1"/>
  <c r="B32" i="45" s="1"/>
  <c r="C52" i="40"/>
  <c r="C78" i="40"/>
  <c r="AW57" i="43" s="1"/>
  <c r="B25" i="45" s="1"/>
  <c r="C95" i="40"/>
  <c r="C67" i="40"/>
  <c r="C63" i="40"/>
  <c r="C133" i="40"/>
  <c r="C84" i="40"/>
  <c r="C101" i="40"/>
  <c r="C60" i="40"/>
  <c r="C94" i="40"/>
  <c r="C70" i="40"/>
  <c r="C102" i="40"/>
  <c r="AW62" i="43" s="1"/>
  <c r="B30" i="45" s="1"/>
  <c r="C127" i="40"/>
  <c r="C126" i="40"/>
  <c r="C72" i="40"/>
  <c r="C115" i="40"/>
  <c r="C65" i="40"/>
  <c r="C83" i="40"/>
  <c r="AW58" i="43" s="1"/>
  <c r="B26" i="45" s="1"/>
  <c r="C113" i="40"/>
  <c r="C75" i="40"/>
  <c r="C98" i="40"/>
  <c r="C49" i="40"/>
  <c r="AW51" i="43" s="1"/>
  <c r="B19" i="45" s="1"/>
  <c r="C81" i="40"/>
  <c r="C82" i="40"/>
  <c r="C132" i="40"/>
  <c r="C64" i="40"/>
  <c r="AW54" i="43" s="1"/>
  <c r="B22" i="45" s="1"/>
  <c r="C121" i="40"/>
  <c r="AW66" i="43" s="1"/>
  <c r="B34" i="45" s="1"/>
  <c r="C50" i="40"/>
  <c r="C144" i="40"/>
  <c r="M59" i="38"/>
  <c r="BE59" i="38"/>
  <c r="E60" i="38"/>
  <c r="O60" i="38" s="1"/>
  <c r="M91" i="38"/>
  <c r="BE91" i="38"/>
  <c r="E92" i="38"/>
  <c r="O92" i="38" s="1"/>
  <c r="M123" i="38"/>
  <c r="BE123" i="38"/>
  <c r="E124" i="38"/>
  <c r="O124" i="38" s="1"/>
  <c r="M56" i="38"/>
  <c r="BE56" i="38"/>
  <c r="E57" i="38"/>
  <c r="O57" i="38" s="1"/>
  <c r="M88" i="38"/>
  <c r="BE88" i="38"/>
  <c r="E89" i="38"/>
  <c r="O89" i="38" s="1"/>
  <c r="M120" i="38"/>
  <c r="BE120" i="38"/>
  <c r="E121" i="38"/>
  <c r="O121" i="38" s="1"/>
  <c r="M49" i="38"/>
  <c r="BE49" i="38"/>
  <c r="E50" i="38"/>
  <c r="O50" i="38" s="1"/>
  <c r="M81" i="38"/>
  <c r="BE81" i="38"/>
  <c r="E82" i="38"/>
  <c r="O82" i="38" s="1"/>
  <c r="M113" i="38"/>
  <c r="BE113" i="38"/>
  <c r="E114" i="38"/>
  <c r="O114" i="38" s="1"/>
  <c r="M46" i="38"/>
  <c r="BE46" i="38"/>
  <c r="E47" i="38"/>
  <c r="O47" i="38" s="1"/>
  <c r="M78" i="38"/>
  <c r="BE78" i="38"/>
  <c r="E79" i="38"/>
  <c r="O79" i="38" s="1"/>
  <c r="M110" i="38"/>
  <c r="BE110" i="38"/>
  <c r="E111" i="38"/>
  <c r="O111" i="38" s="1"/>
  <c r="M142" i="38"/>
  <c r="BE142" i="38"/>
  <c r="E143" i="38"/>
  <c r="O143" i="38" s="1"/>
  <c r="M63" i="38"/>
  <c r="BE63" i="38"/>
  <c r="E64" i="38"/>
  <c r="O64" i="38" s="1"/>
  <c r="M95" i="38"/>
  <c r="BE95" i="38"/>
  <c r="E96" i="38"/>
  <c r="O96" i="38" s="1"/>
  <c r="M127" i="38"/>
  <c r="BE127" i="38"/>
  <c r="E128" i="38"/>
  <c r="O128" i="38" s="1"/>
  <c r="M60" i="38"/>
  <c r="BE60" i="38"/>
  <c r="E61" i="38"/>
  <c r="O61" i="38" s="1"/>
  <c r="M92" i="38"/>
  <c r="BE92" i="38"/>
  <c r="E93" i="38"/>
  <c r="O93" i="38" s="1"/>
  <c r="M124" i="38"/>
  <c r="BE124" i="38"/>
  <c r="E125" i="38"/>
  <c r="O125" i="38" s="1"/>
  <c r="M53" i="38"/>
  <c r="BE53" i="38"/>
  <c r="E54" i="38"/>
  <c r="O54" i="38" s="1"/>
  <c r="M85" i="38"/>
  <c r="BE85" i="38"/>
  <c r="E86" i="38"/>
  <c r="O86" i="38" s="1"/>
  <c r="M117" i="38"/>
  <c r="BE117" i="38"/>
  <c r="E118" i="38"/>
  <c r="O118" i="38" s="1"/>
  <c r="M50" i="38"/>
  <c r="BE50" i="38"/>
  <c r="E51" i="38"/>
  <c r="O51" i="38" s="1"/>
  <c r="M82" i="38"/>
  <c r="BE82" i="38"/>
  <c r="E83" i="38"/>
  <c r="O83" i="38" s="1"/>
  <c r="M114" i="38"/>
  <c r="BE114" i="38"/>
  <c r="E115" i="38"/>
  <c r="O115" i="38" s="1"/>
  <c r="M67" i="38"/>
  <c r="BE67" i="38"/>
  <c r="E68" i="38"/>
  <c r="O68" i="38" s="1"/>
  <c r="M99" i="38"/>
  <c r="BE99" i="38"/>
  <c r="E100" i="38"/>
  <c r="O100" i="38" s="1"/>
  <c r="M131" i="38"/>
  <c r="BE131" i="38"/>
  <c r="E132" i="38"/>
  <c r="O132" i="38" s="1"/>
  <c r="M64" i="38"/>
  <c r="BE64" i="38"/>
  <c r="E65" i="38"/>
  <c r="O65" i="38" s="1"/>
  <c r="M96" i="38"/>
  <c r="BE96" i="38"/>
  <c r="E97" i="38"/>
  <c r="O97" i="38" s="1"/>
  <c r="M128" i="38"/>
  <c r="BE128" i="38"/>
  <c r="E129" i="38"/>
  <c r="O129" i="38" s="1"/>
  <c r="M57" i="38"/>
  <c r="BE57" i="38"/>
  <c r="E58" i="38"/>
  <c r="O58" i="38" s="1"/>
  <c r="M89" i="38"/>
  <c r="BE89" i="38"/>
  <c r="E90" i="38"/>
  <c r="O90" i="38" s="1"/>
  <c r="M121" i="38"/>
  <c r="BE121" i="38"/>
  <c r="E122" i="38"/>
  <c r="O122" i="38" s="1"/>
  <c r="M54" i="38"/>
  <c r="BE54" i="38"/>
  <c r="E55" i="38"/>
  <c r="O55" i="38" s="1"/>
  <c r="M86" i="38"/>
  <c r="BE86" i="38"/>
  <c r="E87" i="38"/>
  <c r="O87" i="38" s="1"/>
  <c r="M118" i="38"/>
  <c r="BE118" i="38"/>
  <c r="E119" i="38"/>
  <c r="O119" i="38" s="1"/>
  <c r="AF45" i="40"/>
  <c r="BZ50" i="43" s="1"/>
  <c r="AE18" i="45" s="1"/>
  <c r="CF50" i="43"/>
  <c r="AK18" i="45" s="1"/>
  <c r="AG45" i="40"/>
  <c r="CA50" i="43" s="1"/>
  <c r="AF18" i="45" s="1"/>
  <c r="M71" i="38"/>
  <c r="BE71" i="38"/>
  <c r="E72" i="38"/>
  <c r="O72" i="38" s="1"/>
  <c r="M103" i="38"/>
  <c r="BE103" i="38"/>
  <c r="E104" i="38"/>
  <c r="O104" i="38" s="1"/>
  <c r="M135" i="38"/>
  <c r="BE135" i="38"/>
  <c r="E136" i="38"/>
  <c r="O136" i="38" s="1"/>
  <c r="M68" i="38"/>
  <c r="BE68" i="38"/>
  <c r="E69" i="38"/>
  <c r="O69" i="38" s="1"/>
  <c r="M100" i="38"/>
  <c r="BE100" i="38"/>
  <c r="E101" i="38"/>
  <c r="O101" i="38" s="1"/>
  <c r="M132" i="38"/>
  <c r="BE132" i="38"/>
  <c r="E133" i="38"/>
  <c r="O133" i="38" s="1"/>
  <c r="M61" i="38"/>
  <c r="BE61" i="38"/>
  <c r="E62" i="38"/>
  <c r="O62" i="38" s="1"/>
  <c r="M93" i="38"/>
  <c r="BE93" i="38"/>
  <c r="E94" i="38"/>
  <c r="O94" i="38" s="1"/>
  <c r="M125" i="38"/>
  <c r="BE125" i="38"/>
  <c r="E126" i="38"/>
  <c r="O126" i="38" s="1"/>
  <c r="M58" i="38"/>
  <c r="BE58" i="38"/>
  <c r="E59" i="38"/>
  <c r="O59" i="38" s="1"/>
  <c r="M90" i="38"/>
  <c r="BE90" i="38"/>
  <c r="E91" i="38"/>
  <c r="O91" i="38" s="1"/>
  <c r="M122" i="38"/>
  <c r="BE122" i="38"/>
  <c r="E123" i="38"/>
  <c r="O123" i="38" s="1"/>
  <c r="M44" i="38"/>
  <c r="BE44" i="38"/>
  <c r="E45" i="38"/>
  <c r="O45" i="38" s="1"/>
  <c r="M75" i="38"/>
  <c r="BE75" i="38"/>
  <c r="E76" i="38"/>
  <c r="O76" i="38" s="1"/>
  <c r="M107" i="38"/>
  <c r="BE107" i="38"/>
  <c r="E108" i="38"/>
  <c r="O108" i="38" s="1"/>
  <c r="M139" i="38"/>
  <c r="BE139" i="38"/>
  <c r="E140" i="38"/>
  <c r="O140" i="38" s="1"/>
  <c r="M72" i="38"/>
  <c r="BE72" i="38"/>
  <c r="E73" i="38"/>
  <c r="O73" i="38" s="1"/>
  <c r="M104" i="38"/>
  <c r="BE104" i="38"/>
  <c r="E105" i="38"/>
  <c r="O105" i="38" s="1"/>
  <c r="M136" i="38"/>
  <c r="BE136" i="38"/>
  <c r="E137" i="38"/>
  <c r="O137" i="38" s="1"/>
  <c r="M65" i="38"/>
  <c r="BE65" i="38"/>
  <c r="E66" i="38"/>
  <c r="O66" i="38" s="1"/>
  <c r="M97" i="38"/>
  <c r="BE97" i="38"/>
  <c r="E98" i="38"/>
  <c r="O98" i="38" s="1"/>
  <c r="M129" i="38"/>
  <c r="BE129" i="38"/>
  <c r="E130" i="38"/>
  <c r="O130" i="38" s="1"/>
  <c r="M62" i="38"/>
  <c r="BE62" i="38"/>
  <c r="E63" i="38"/>
  <c r="O63" i="38" s="1"/>
  <c r="M94" i="38"/>
  <c r="BE94" i="38"/>
  <c r="E95" i="38"/>
  <c r="O95" i="38" s="1"/>
  <c r="M126" i="38"/>
  <c r="BE126" i="38"/>
  <c r="E127" i="38"/>
  <c r="O127" i="38" s="1"/>
  <c r="M47" i="38"/>
  <c r="BE47" i="38"/>
  <c r="E48" i="38"/>
  <c r="O48" i="38" s="1"/>
  <c r="M79" i="38"/>
  <c r="BE79" i="38"/>
  <c r="E80" i="38"/>
  <c r="O80" i="38" s="1"/>
  <c r="M111" i="38"/>
  <c r="BE111" i="38"/>
  <c r="E112" i="38"/>
  <c r="O112" i="38" s="1"/>
  <c r="M143" i="38"/>
  <c r="BE143" i="38"/>
  <c r="E144" i="38"/>
  <c r="O144" i="38" s="1"/>
  <c r="M76" i="38"/>
  <c r="BE76" i="38"/>
  <c r="E77" i="38"/>
  <c r="O77" i="38" s="1"/>
  <c r="M108" i="38"/>
  <c r="BE108" i="38"/>
  <c r="E109" i="38"/>
  <c r="O109" i="38" s="1"/>
  <c r="M140" i="38"/>
  <c r="BE140" i="38"/>
  <c r="E141" i="38"/>
  <c r="O141" i="38" s="1"/>
  <c r="M69" i="38"/>
  <c r="BE69" i="38"/>
  <c r="E70" i="38"/>
  <c r="O70" i="38" s="1"/>
  <c r="M101" i="38"/>
  <c r="BE101" i="38"/>
  <c r="E102" i="38"/>
  <c r="O102" i="38" s="1"/>
  <c r="M133" i="38"/>
  <c r="BE133" i="38"/>
  <c r="E134" i="38"/>
  <c r="O134" i="38" s="1"/>
  <c r="M66" i="38"/>
  <c r="BE66" i="38"/>
  <c r="E67" i="38"/>
  <c r="O67" i="38" s="1"/>
  <c r="M98" i="38"/>
  <c r="BE98" i="38"/>
  <c r="E99" i="38"/>
  <c r="O99" i="38" s="1"/>
  <c r="M130" i="38"/>
  <c r="BE130" i="38"/>
  <c r="E131" i="38"/>
  <c r="O131" i="38" s="1"/>
  <c r="M51" i="38"/>
  <c r="BE51" i="38"/>
  <c r="E52" i="38"/>
  <c r="O52" i="38" s="1"/>
  <c r="M83" i="38"/>
  <c r="BE83" i="38"/>
  <c r="E84" i="38"/>
  <c r="O84" i="38" s="1"/>
  <c r="M115" i="38"/>
  <c r="BE115" i="38"/>
  <c r="E116" i="38"/>
  <c r="O116" i="38" s="1"/>
  <c r="M48" i="38"/>
  <c r="BE48" i="38"/>
  <c r="E49" i="38"/>
  <c r="O49" i="38" s="1"/>
  <c r="M80" i="38"/>
  <c r="BE80" i="38"/>
  <c r="E81" i="38"/>
  <c r="O81" i="38" s="1"/>
  <c r="M112" i="38"/>
  <c r="BE112" i="38"/>
  <c r="E113" i="38"/>
  <c r="O113" i="38" s="1"/>
  <c r="M144" i="38"/>
  <c r="BE144" i="38"/>
  <c r="M73" i="38"/>
  <c r="BE73" i="38"/>
  <c r="E74" i="38"/>
  <c r="O74" i="38" s="1"/>
  <c r="M105" i="38"/>
  <c r="BE105" i="38"/>
  <c r="E106" i="38"/>
  <c r="O106" i="38" s="1"/>
  <c r="M137" i="38"/>
  <c r="BE137" i="38"/>
  <c r="E138" i="38"/>
  <c r="O138" i="38" s="1"/>
  <c r="M70" i="38"/>
  <c r="BE70" i="38"/>
  <c r="E71" i="38"/>
  <c r="O71" i="38" s="1"/>
  <c r="M102" i="38"/>
  <c r="BE102" i="38"/>
  <c r="E103" i="38"/>
  <c r="O103" i="38" s="1"/>
  <c r="M134" i="38"/>
  <c r="BE134" i="38"/>
  <c r="E135" i="38"/>
  <c r="O135" i="38" s="1"/>
  <c r="M55" i="38"/>
  <c r="BE55" i="38"/>
  <c r="E56" i="38"/>
  <c r="O56" i="38" s="1"/>
  <c r="M87" i="38"/>
  <c r="BE87" i="38"/>
  <c r="E88" i="38"/>
  <c r="O88" i="38" s="1"/>
  <c r="M119" i="38"/>
  <c r="BE119" i="38"/>
  <c r="E120" i="38"/>
  <c r="O120" i="38" s="1"/>
  <c r="M52" i="38"/>
  <c r="BE52" i="38"/>
  <c r="E53" i="38"/>
  <c r="O53" i="38" s="1"/>
  <c r="M84" i="38"/>
  <c r="BE84" i="38"/>
  <c r="E85" i="38"/>
  <c r="O85" i="38" s="1"/>
  <c r="M116" i="38"/>
  <c r="BE116" i="38"/>
  <c r="E117" i="38"/>
  <c r="O117" i="38" s="1"/>
  <c r="M45" i="38"/>
  <c r="BE45" i="38"/>
  <c r="E46" i="38"/>
  <c r="O46" i="38" s="1"/>
  <c r="M77" i="38"/>
  <c r="BE77" i="38"/>
  <c r="E78" i="38"/>
  <c r="O78" i="38" s="1"/>
  <c r="M109" i="38"/>
  <c r="BE109" i="38"/>
  <c r="E110" i="38"/>
  <c r="O110" i="38" s="1"/>
  <c r="M141" i="38"/>
  <c r="BE141" i="38"/>
  <c r="E142" i="38"/>
  <c r="O142" i="38" s="1"/>
  <c r="M74" i="38"/>
  <c r="BE74" i="38"/>
  <c r="E75" i="38"/>
  <c r="O75" i="38" s="1"/>
  <c r="M106" i="38"/>
  <c r="BE106" i="38"/>
  <c r="E107" i="38"/>
  <c r="O107" i="38" s="1"/>
  <c r="M138" i="38"/>
  <c r="BE138" i="38"/>
  <c r="E139" i="38"/>
  <c r="O139" i="38" s="1"/>
  <c r="B13" i="16"/>
  <c r="C13" i="16"/>
  <c r="D13" i="16"/>
  <c r="E13" i="16"/>
  <c r="F13" i="16"/>
  <c r="G13" i="16"/>
  <c r="H13" i="16"/>
  <c r="B14" i="16"/>
  <c r="C14" i="16"/>
  <c r="B15" i="16"/>
  <c r="B16" i="16"/>
  <c r="B17" i="16"/>
  <c r="B40" i="16"/>
  <c r="C40" i="16"/>
  <c r="D40" i="16"/>
  <c r="E40" i="16"/>
  <c r="B41" i="16"/>
  <c r="C41" i="16"/>
  <c r="B42" i="16"/>
  <c r="B43" i="16"/>
  <c r="B44" i="16"/>
  <c r="B45" i="16"/>
  <c r="B46" i="16"/>
  <c r="B47" i="16"/>
  <c r="B48" i="16"/>
  <c r="B49" i="16"/>
  <c r="B50" i="16"/>
  <c r="Q77" i="38" l="1"/>
  <c r="P77" i="38"/>
  <c r="Q134" i="38"/>
  <c r="P134" i="38"/>
  <c r="BH137" i="38"/>
  <c r="BG137" i="38"/>
  <c r="BF137" i="38"/>
  <c r="BF144" i="38"/>
  <c r="BH144" i="38"/>
  <c r="BG144" i="38"/>
  <c r="Q83" i="38"/>
  <c r="P83" i="38"/>
  <c r="BF98" i="38"/>
  <c r="BG98" i="38"/>
  <c r="BH98" i="38"/>
  <c r="Q140" i="38"/>
  <c r="P140" i="38"/>
  <c r="BH143" i="38"/>
  <c r="BG143" i="38"/>
  <c r="BF143" i="38"/>
  <c r="Q94" i="38"/>
  <c r="P94" i="38"/>
  <c r="BH97" i="38"/>
  <c r="BG97" i="38"/>
  <c r="BF97" i="38"/>
  <c r="P139" i="38"/>
  <c r="Q139" i="38"/>
  <c r="BH44" i="38"/>
  <c r="BG44" i="38"/>
  <c r="BS44" i="38" s="1"/>
  <c r="BF44" i="38"/>
  <c r="P93" i="38"/>
  <c r="Q93" i="38"/>
  <c r="BG100" i="38"/>
  <c r="BH100" i="38"/>
  <c r="BF100" i="38"/>
  <c r="BH54" i="38"/>
  <c r="BG54" i="38"/>
  <c r="BF54" i="38"/>
  <c r="Q96" i="38"/>
  <c r="P96" i="38"/>
  <c r="BG99" i="38"/>
  <c r="BH99" i="38"/>
  <c r="BF99" i="38"/>
  <c r="Q117" i="38"/>
  <c r="P117" i="38"/>
  <c r="BF124" i="38"/>
  <c r="BG124" i="38"/>
  <c r="BH124" i="38"/>
  <c r="Q63" i="38"/>
  <c r="P63" i="38"/>
  <c r="BH78" i="38"/>
  <c r="BG78" i="38"/>
  <c r="BF78" i="38"/>
  <c r="P120" i="38"/>
  <c r="Q120" i="38"/>
  <c r="BF123" i="38"/>
  <c r="BH123" i="38"/>
  <c r="BG123" i="38"/>
  <c r="P137" i="38"/>
  <c r="Q137" i="38"/>
  <c r="P144" i="38"/>
  <c r="Q144" i="38"/>
  <c r="BH48" i="38"/>
  <c r="BF48" i="38"/>
  <c r="BG48" i="38"/>
  <c r="P98" i="38"/>
  <c r="Q98" i="38"/>
  <c r="BF101" i="38"/>
  <c r="BH101" i="38"/>
  <c r="BG101" i="38"/>
  <c r="Q143" i="38"/>
  <c r="P143" i="38"/>
  <c r="BH47" i="38"/>
  <c r="BF47" i="38"/>
  <c r="BG47" i="38"/>
  <c r="P97" i="38"/>
  <c r="Q97" i="38"/>
  <c r="BH104" i="38"/>
  <c r="BG104" i="38"/>
  <c r="BF104" i="38"/>
  <c r="P44" i="38"/>
  <c r="Q44" i="38"/>
  <c r="BG58" i="38"/>
  <c r="BH58" i="38"/>
  <c r="BF58" i="38"/>
  <c r="Q100" i="38"/>
  <c r="P100" i="38"/>
  <c r="BH103" i="38"/>
  <c r="BF103" i="38"/>
  <c r="BG103" i="38"/>
  <c r="Q54" i="38"/>
  <c r="P54" i="38"/>
  <c r="BH57" i="38"/>
  <c r="BG57" i="38"/>
  <c r="BF57" i="38"/>
  <c r="P99" i="38"/>
  <c r="Q99" i="38"/>
  <c r="BH82" i="38"/>
  <c r="BG82" i="38"/>
  <c r="BF82" i="38"/>
  <c r="Q124" i="38"/>
  <c r="P124" i="38"/>
  <c r="BF127" i="38"/>
  <c r="BH127" i="38"/>
  <c r="BG127" i="38"/>
  <c r="P78" i="38"/>
  <c r="Q78" i="38"/>
  <c r="BF81" i="38"/>
  <c r="BH81" i="38"/>
  <c r="BG81" i="38"/>
  <c r="Q123" i="38"/>
  <c r="P123" i="38"/>
  <c r="BF138" i="38"/>
  <c r="BH138" i="38"/>
  <c r="BG138" i="38"/>
  <c r="P141" i="38"/>
  <c r="Q141" i="38"/>
  <c r="BH45" i="38"/>
  <c r="BG45" i="38"/>
  <c r="BF45" i="38"/>
  <c r="P87" i="38"/>
  <c r="Q87" i="38"/>
  <c r="BH102" i="38"/>
  <c r="BG102" i="38"/>
  <c r="BF102" i="38"/>
  <c r="Q48" i="38"/>
  <c r="P48" i="38"/>
  <c r="BG51" i="38"/>
  <c r="BH51" i="38"/>
  <c r="BF51" i="38"/>
  <c r="Q101" i="38"/>
  <c r="P101" i="38"/>
  <c r="BF108" i="38"/>
  <c r="BG108" i="38"/>
  <c r="BH108" i="38"/>
  <c r="Q47" i="38"/>
  <c r="P47" i="38"/>
  <c r="BH62" i="38"/>
  <c r="BG62" i="38"/>
  <c r="BF62" i="38"/>
  <c r="Q104" i="38"/>
  <c r="P104" i="38"/>
  <c r="BG107" i="38"/>
  <c r="BH107" i="38"/>
  <c r="BF107" i="38"/>
  <c r="Q58" i="38"/>
  <c r="P58" i="38"/>
  <c r="BG61" i="38"/>
  <c r="BH61" i="38"/>
  <c r="BF61" i="38"/>
  <c r="P103" i="38"/>
  <c r="Q103" i="38"/>
  <c r="BH118" i="38"/>
  <c r="BF118" i="38"/>
  <c r="BG118" i="38"/>
  <c r="Q57" i="38"/>
  <c r="P57" i="38"/>
  <c r="BH64" i="38"/>
  <c r="BF64" i="38"/>
  <c r="BG64" i="38"/>
  <c r="P82" i="38"/>
  <c r="Q82" i="38"/>
  <c r="BH85" i="38"/>
  <c r="BF85" i="38"/>
  <c r="BG85" i="38"/>
  <c r="Q127" i="38"/>
  <c r="P127" i="38"/>
  <c r="BG142" i="38"/>
  <c r="BH142" i="38"/>
  <c r="BF142" i="38"/>
  <c r="P81" i="38"/>
  <c r="Q81" i="38"/>
  <c r="BF88" i="38"/>
  <c r="BG88" i="38"/>
  <c r="BH88" i="38"/>
  <c r="BH87" i="38"/>
  <c r="BF87" i="38"/>
  <c r="BG87" i="38"/>
  <c r="BG106" i="38"/>
  <c r="BH106" i="38"/>
  <c r="BF106" i="38"/>
  <c r="P45" i="38"/>
  <c r="Q45" i="38"/>
  <c r="BH52" i="38"/>
  <c r="BF52" i="38"/>
  <c r="BG52" i="38"/>
  <c r="Q102" i="38"/>
  <c r="P102" i="38"/>
  <c r="BH105" i="38"/>
  <c r="BG105" i="38"/>
  <c r="BF105" i="38"/>
  <c r="BH112" i="38"/>
  <c r="BG112" i="38"/>
  <c r="BF112" i="38"/>
  <c r="P51" i="38"/>
  <c r="Q51" i="38"/>
  <c r="BH66" i="38"/>
  <c r="BG66" i="38"/>
  <c r="BF66" i="38"/>
  <c r="Q108" i="38"/>
  <c r="P108" i="38"/>
  <c r="BH111" i="38"/>
  <c r="BF111" i="38"/>
  <c r="BG111" i="38"/>
  <c r="Q62" i="38"/>
  <c r="P62" i="38"/>
  <c r="BF65" i="38"/>
  <c r="BH65" i="38"/>
  <c r="BG65" i="38"/>
  <c r="P107" i="38"/>
  <c r="Q107" i="38"/>
  <c r="BH122" i="38"/>
  <c r="BG122" i="38"/>
  <c r="BF122" i="38"/>
  <c r="P61" i="38"/>
  <c r="Q61" i="38"/>
  <c r="BH68" i="38"/>
  <c r="BF68" i="38"/>
  <c r="BG68" i="38"/>
  <c r="P118" i="38"/>
  <c r="Q118" i="38"/>
  <c r="BH121" i="38"/>
  <c r="BG121" i="38"/>
  <c r="BF121" i="38"/>
  <c r="P64" i="38"/>
  <c r="Q64" i="38"/>
  <c r="BH67" i="38"/>
  <c r="BG67" i="38"/>
  <c r="BF67" i="38"/>
  <c r="P85" i="38"/>
  <c r="Q85" i="38"/>
  <c r="BH92" i="38"/>
  <c r="BG92" i="38"/>
  <c r="BF92" i="38"/>
  <c r="P142" i="38"/>
  <c r="Q142" i="38"/>
  <c r="BH46" i="38"/>
  <c r="BG46" i="38"/>
  <c r="BF46" i="38"/>
  <c r="P88" i="38"/>
  <c r="Q88" i="38"/>
  <c r="BF91" i="38"/>
  <c r="BH91" i="38"/>
  <c r="BG91" i="38"/>
  <c r="Q138" i="38"/>
  <c r="P138" i="38"/>
  <c r="P106" i="38"/>
  <c r="Q106" i="38"/>
  <c r="BH109" i="38"/>
  <c r="BG109" i="38"/>
  <c r="BF109" i="38"/>
  <c r="P52" i="38"/>
  <c r="Q52" i="38"/>
  <c r="BH55" i="38"/>
  <c r="BG55" i="38"/>
  <c r="BF55" i="38"/>
  <c r="Q105" i="38"/>
  <c r="P105" i="38"/>
  <c r="P112" i="38"/>
  <c r="Q112" i="38"/>
  <c r="BG115" i="38"/>
  <c r="BH115" i="38"/>
  <c r="BF115" i="38"/>
  <c r="P66" i="38"/>
  <c r="Q66" i="38"/>
  <c r="BF69" i="38"/>
  <c r="BH69" i="38"/>
  <c r="BG69" i="38"/>
  <c r="Q111" i="38"/>
  <c r="P111" i="38"/>
  <c r="BH126" i="38"/>
  <c r="BF126" i="38"/>
  <c r="BG126" i="38"/>
  <c r="P65" i="38"/>
  <c r="Q65" i="38"/>
  <c r="BH72" i="38"/>
  <c r="BG72" i="38"/>
  <c r="BF72" i="38"/>
  <c r="Q122" i="38"/>
  <c r="P122" i="38"/>
  <c r="BH125" i="38"/>
  <c r="BG125" i="38"/>
  <c r="BF125" i="38"/>
  <c r="P68" i="38"/>
  <c r="Q68" i="38"/>
  <c r="BG71" i="38"/>
  <c r="BH71" i="38"/>
  <c r="BF71" i="38"/>
  <c r="P121" i="38"/>
  <c r="Q121" i="38"/>
  <c r="BF128" i="38"/>
  <c r="BH128" i="38"/>
  <c r="BG128" i="38"/>
  <c r="Q67" i="38"/>
  <c r="P67" i="38"/>
  <c r="BG50" i="38"/>
  <c r="BH50" i="38"/>
  <c r="BF50" i="38"/>
  <c r="P92" i="38"/>
  <c r="Q92" i="38"/>
  <c r="BH95" i="38"/>
  <c r="BF95" i="38"/>
  <c r="BG95" i="38"/>
  <c r="Q46" i="38"/>
  <c r="P46" i="38"/>
  <c r="BH49" i="38"/>
  <c r="BG49" i="38"/>
  <c r="BF49" i="38"/>
  <c r="P91" i="38"/>
  <c r="Q91" i="38"/>
  <c r="Q109" i="38"/>
  <c r="P109" i="38"/>
  <c r="BG116" i="38"/>
  <c r="BH116" i="38"/>
  <c r="BF116" i="38"/>
  <c r="Q55" i="38"/>
  <c r="P55" i="38"/>
  <c r="BH70" i="38"/>
  <c r="BG70" i="38"/>
  <c r="BF70" i="38"/>
  <c r="Q115" i="38"/>
  <c r="P115" i="38"/>
  <c r="BF130" i="38"/>
  <c r="BH130" i="38"/>
  <c r="BG130" i="38"/>
  <c r="P69" i="38"/>
  <c r="Q69" i="38"/>
  <c r="BF76" i="38"/>
  <c r="BH76" i="38"/>
  <c r="BG76" i="38"/>
  <c r="P126" i="38"/>
  <c r="Q126" i="38"/>
  <c r="BH129" i="38"/>
  <c r="BG129" i="38"/>
  <c r="BF129" i="38"/>
  <c r="P72" i="38"/>
  <c r="Q72" i="38"/>
  <c r="BH75" i="38"/>
  <c r="BF75" i="38"/>
  <c r="BG75" i="38"/>
  <c r="Q125" i="38"/>
  <c r="P125" i="38"/>
  <c r="BH132" i="38"/>
  <c r="BG132" i="38"/>
  <c r="BF132" i="38"/>
  <c r="P71" i="38"/>
  <c r="Q71" i="38"/>
  <c r="BH86" i="38"/>
  <c r="BF86" i="38"/>
  <c r="BG86" i="38"/>
  <c r="Q128" i="38"/>
  <c r="P128" i="38"/>
  <c r="BH131" i="38"/>
  <c r="BF131" i="38"/>
  <c r="BG131" i="38"/>
  <c r="Q50" i="38"/>
  <c r="P50" i="38"/>
  <c r="BH53" i="38"/>
  <c r="BF53" i="38"/>
  <c r="BG53" i="38"/>
  <c r="Q95" i="38"/>
  <c r="P95" i="38"/>
  <c r="BH110" i="38"/>
  <c r="BG110" i="38"/>
  <c r="BF110" i="38"/>
  <c r="P49" i="38"/>
  <c r="Q49" i="38"/>
  <c r="BF56" i="38"/>
  <c r="BG56" i="38"/>
  <c r="BH56" i="38"/>
  <c r="Q84" i="38"/>
  <c r="P84" i="38"/>
  <c r="BH74" i="38"/>
  <c r="BF74" i="38"/>
  <c r="BG74" i="38"/>
  <c r="Q116" i="38"/>
  <c r="P116" i="38"/>
  <c r="BG119" i="38"/>
  <c r="BF119" i="38"/>
  <c r="BH119" i="38"/>
  <c r="P70" i="38"/>
  <c r="Q70" i="38"/>
  <c r="BG73" i="38"/>
  <c r="BF73" i="38"/>
  <c r="BH73" i="38"/>
  <c r="BH80" i="38"/>
  <c r="BG80" i="38"/>
  <c r="BF80" i="38"/>
  <c r="Q130" i="38"/>
  <c r="P130" i="38"/>
  <c r="BG133" i="38"/>
  <c r="BH133" i="38"/>
  <c r="BF133" i="38"/>
  <c r="Q76" i="38"/>
  <c r="P76" i="38"/>
  <c r="BH79" i="38"/>
  <c r="BG79" i="38"/>
  <c r="BF79" i="38"/>
  <c r="P129" i="38"/>
  <c r="Q129" i="38"/>
  <c r="BF136" i="38"/>
  <c r="BH136" i="38"/>
  <c r="BG136" i="38"/>
  <c r="P75" i="38"/>
  <c r="Q75" i="38"/>
  <c r="BG90" i="38"/>
  <c r="BH90" i="38"/>
  <c r="BF90" i="38"/>
  <c r="P132" i="38"/>
  <c r="Q132" i="38"/>
  <c r="BH135" i="38"/>
  <c r="BF135" i="38"/>
  <c r="BG135" i="38"/>
  <c r="P86" i="38"/>
  <c r="Q86" i="38"/>
  <c r="BG89" i="38"/>
  <c r="BH89" i="38"/>
  <c r="BF89" i="38"/>
  <c r="Q131" i="38"/>
  <c r="P131" i="38"/>
  <c r="BF114" i="38"/>
  <c r="BH114" i="38"/>
  <c r="BG114" i="38"/>
  <c r="P53" i="38"/>
  <c r="Q53" i="38"/>
  <c r="BH60" i="38"/>
  <c r="BF60" i="38"/>
  <c r="BG60" i="38"/>
  <c r="Q110" i="38"/>
  <c r="P110" i="38"/>
  <c r="BH113" i="38"/>
  <c r="BG113" i="38"/>
  <c r="BF113" i="38"/>
  <c r="P56" i="38"/>
  <c r="Q56" i="38"/>
  <c r="BG59" i="38"/>
  <c r="BH59" i="38"/>
  <c r="BF59" i="38"/>
  <c r="BH84" i="38"/>
  <c r="BG84" i="38"/>
  <c r="BF84" i="38"/>
  <c r="BG141" i="38"/>
  <c r="BH141" i="38"/>
  <c r="BF141" i="38"/>
  <c r="P74" i="38"/>
  <c r="Q74" i="38"/>
  <c r="BH77" i="38"/>
  <c r="BG77" i="38"/>
  <c r="BF77" i="38"/>
  <c r="P119" i="38"/>
  <c r="Q119" i="38"/>
  <c r="BH134" i="38"/>
  <c r="BG134" i="38"/>
  <c r="BF134" i="38"/>
  <c r="Q73" i="38"/>
  <c r="P73" i="38"/>
  <c r="P80" i="38"/>
  <c r="Q80" i="38"/>
  <c r="BG83" i="38"/>
  <c r="BH83" i="38"/>
  <c r="BF83" i="38"/>
  <c r="Q133" i="38"/>
  <c r="P133" i="38"/>
  <c r="BG140" i="38"/>
  <c r="BH140" i="38"/>
  <c r="BF140" i="38"/>
  <c r="Q79" i="38"/>
  <c r="P79" i="38"/>
  <c r="BH94" i="38"/>
  <c r="BF94" i="38"/>
  <c r="BG94" i="38"/>
  <c r="P136" i="38"/>
  <c r="Q136" i="38"/>
  <c r="BG139" i="38"/>
  <c r="BH139" i="38"/>
  <c r="BF139" i="38"/>
  <c r="Q90" i="38"/>
  <c r="P90" i="38"/>
  <c r="BG93" i="38"/>
  <c r="BH93" i="38"/>
  <c r="BF93" i="38"/>
  <c r="P135" i="38"/>
  <c r="Q135" i="38"/>
  <c r="Q89" i="38"/>
  <c r="P89" i="38"/>
  <c r="BH96" i="38"/>
  <c r="BF96" i="38"/>
  <c r="BG96" i="38"/>
  <c r="Q114" i="38"/>
  <c r="P114" i="38"/>
  <c r="BG117" i="38"/>
  <c r="BF117" i="38"/>
  <c r="BH117" i="38"/>
  <c r="Q60" i="38"/>
  <c r="P60" i="38"/>
  <c r="BH63" i="38"/>
  <c r="BG63" i="38"/>
  <c r="BF63" i="38"/>
  <c r="Q113" i="38"/>
  <c r="P113" i="38"/>
  <c r="BG120" i="38"/>
  <c r="BH120" i="38"/>
  <c r="BF120" i="38"/>
  <c r="Q59" i="38"/>
  <c r="P59" i="38"/>
  <c r="AY45" i="15"/>
  <c r="AZ45" i="15"/>
  <c r="BA45" i="15"/>
  <c r="AW45" i="15"/>
  <c r="AX45" i="15"/>
  <c r="AU45" i="15"/>
  <c r="AV45" i="15"/>
  <c r="AJ45" i="15"/>
  <c r="AK45" i="15"/>
  <c r="AL45" i="15"/>
  <c r="AF45" i="15"/>
  <c r="AG45" i="15"/>
  <c r="AH45" i="15"/>
  <c r="AI45" i="15"/>
  <c r="E40" i="15"/>
  <c r="E39" i="15"/>
  <c r="U45" i="15"/>
  <c r="V45" i="15"/>
  <c r="O46" i="15"/>
  <c r="N46" i="15"/>
  <c r="E36" i="15"/>
  <c r="D36" i="15"/>
  <c r="C36" i="15"/>
  <c r="B36" i="15"/>
  <c r="E35" i="15"/>
  <c r="D35" i="15"/>
  <c r="C35" i="15"/>
  <c r="B35" i="15"/>
  <c r="A35" i="15"/>
  <c r="E34" i="15"/>
  <c r="D34" i="15"/>
  <c r="C34" i="15"/>
  <c r="B34" i="15"/>
  <c r="E33" i="15"/>
  <c r="D33" i="15"/>
  <c r="C33" i="15"/>
  <c r="B33" i="15"/>
  <c r="E32" i="15"/>
  <c r="D32" i="15"/>
  <c r="C32" i="15"/>
  <c r="B32" i="15"/>
  <c r="A32" i="15"/>
  <c r="E31" i="15"/>
  <c r="D31" i="15"/>
  <c r="C31" i="15"/>
  <c r="B31" i="15"/>
  <c r="E30" i="15"/>
  <c r="D30" i="15"/>
  <c r="C30" i="15"/>
  <c r="B30" i="15"/>
  <c r="E29" i="15"/>
  <c r="D29" i="15"/>
  <c r="C29" i="15"/>
  <c r="B29" i="15"/>
  <c r="E28" i="15"/>
  <c r="D28" i="15"/>
  <c r="C28" i="15"/>
  <c r="B28" i="15"/>
  <c r="E27" i="15"/>
  <c r="D27" i="15"/>
  <c r="C27" i="15"/>
  <c r="B27" i="15"/>
  <c r="A27" i="15"/>
  <c r="E26" i="15"/>
  <c r="D26" i="15"/>
  <c r="C26" i="15"/>
  <c r="B26" i="15"/>
  <c r="E25" i="15"/>
  <c r="D25" i="15"/>
  <c r="C25" i="15"/>
  <c r="B25" i="15"/>
  <c r="A25" i="15"/>
  <c r="E24" i="15"/>
  <c r="D24" i="15"/>
  <c r="C24" i="15"/>
  <c r="B24" i="15"/>
  <c r="E23" i="15"/>
  <c r="D23" i="15"/>
  <c r="C23" i="15"/>
  <c r="B23" i="15"/>
  <c r="D22" i="15"/>
  <c r="C22" i="15"/>
  <c r="B22" i="15"/>
  <c r="D21" i="15"/>
  <c r="C21" i="15"/>
  <c r="B21" i="15"/>
  <c r="A21" i="15"/>
  <c r="E18" i="15"/>
  <c r="D18" i="15"/>
  <c r="C18" i="15"/>
  <c r="B18" i="15"/>
  <c r="B17" i="15"/>
  <c r="A17" i="15"/>
  <c r="D13" i="15"/>
  <c r="C13" i="15"/>
  <c r="B13" i="15"/>
  <c r="D11" i="15"/>
  <c r="C11" i="15"/>
  <c r="B11" i="15"/>
  <c r="BI63" i="38" l="1"/>
  <c r="BN63" i="38" s="1"/>
  <c r="BS63" i="38"/>
  <c r="BI93" i="38"/>
  <c r="BN93" i="38" s="1"/>
  <c r="BS93" i="38"/>
  <c r="BI133" i="38"/>
  <c r="BU133" i="38" s="1"/>
  <c r="BS133" i="38"/>
  <c r="BI92" i="38"/>
  <c r="BN92" i="38" s="1"/>
  <c r="BO92" i="38" s="1"/>
  <c r="BS92" i="38"/>
  <c r="BI65" i="38"/>
  <c r="BN65" i="38" s="1"/>
  <c r="BO65" i="38" s="1"/>
  <c r="BS65" i="38"/>
  <c r="BI112" i="38"/>
  <c r="BU112" i="38" s="1"/>
  <c r="BS112" i="38"/>
  <c r="BS52" i="38"/>
  <c r="BI52" i="38"/>
  <c r="BN52" i="38" s="1"/>
  <c r="BO52" i="38" s="1"/>
  <c r="BI87" i="38"/>
  <c r="BU87" i="38" s="1"/>
  <c r="BS87" i="38"/>
  <c r="BI107" i="38"/>
  <c r="BU107" i="38" s="1"/>
  <c r="BS107" i="38"/>
  <c r="BS127" i="38"/>
  <c r="BI127" i="38"/>
  <c r="BN127" i="38" s="1"/>
  <c r="BI103" i="38"/>
  <c r="BU103" i="38" s="1"/>
  <c r="BS103" i="38"/>
  <c r="BS124" i="38"/>
  <c r="BI124" i="38"/>
  <c r="BN124" i="38" s="1"/>
  <c r="BO124" i="38" s="1"/>
  <c r="BS77" i="38"/>
  <c r="BI77" i="38"/>
  <c r="BU77" i="38" s="1"/>
  <c r="BS84" i="38"/>
  <c r="BI84" i="38"/>
  <c r="BN84" i="38" s="1"/>
  <c r="BO84" i="38" s="1"/>
  <c r="BI113" i="38"/>
  <c r="BN113" i="38" s="1"/>
  <c r="BS113" i="38"/>
  <c r="BT113" i="38" s="1"/>
  <c r="BI90" i="38"/>
  <c r="BU90" i="38" s="1"/>
  <c r="BS90" i="38"/>
  <c r="BI132" i="38"/>
  <c r="BN132" i="38" s="1"/>
  <c r="BO132" i="38" s="1"/>
  <c r="BS132" i="38"/>
  <c r="BI71" i="38"/>
  <c r="BU71" i="38" s="1"/>
  <c r="BS71" i="38"/>
  <c r="BN71" i="38"/>
  <c r="BO71" i="38" s="1"/>
  <c r="BS126" i="38"/>
  <c r="BI126" i="38"/>
  <c r="BU126" i="38" s="1"/>
  <c r="BI88" i="38"/>
  <c r="BN88" i="38" s="1"/>
  <c r="BS88" i="38"/>
  <c r="BI108" i="38"/>
  <c r="BU108" i="38" s="1"/>
  <c r="BS108" i="38"/>
  <c r="BU127" i="38"/>
  <c r="BS48" i="38"/>
  <c r="BI48" i="38"/>
  <c r="BN48" i="38" s="1"/>
  <c r="BI97" i="38"/>
  <c r="BN97" i="38" s="1"/>
  <c r="BS97" i="38"/>
  <c r="BI98" i="38"/>
  <c r="BU98" i="38" s="1"/>
  <c r="BS98" i="38"/>
  <c r="BI120" i="38"/>
  <c r="BU120" i="38" s="1"/>
  <c r="BS120" i="38"/>
  <c r="BI96" i="38"/>
  <c r="BU96" i="38" s="1"/>
  <c r="BS96" i="38"/>
  <c r="BI114" i="38"/>
  <c r="BU114" i="38" s="1"/>
  <c r="BS114" i="38"/>
  <c r="BI53" i="38"/>
  <c r="BU53" i="38" s="1"/>
  <c r="BS53" i="38"/>
  <c r="BS70" i="38"/>
  <c r="BI70" i="38"/>
  <c r="BS115" i="38"/>
  <c r="BI115" i="38"/>
  <c r="BU115" i="38" s="1"/>
  <c r="BI55" i="38"/>
  <c r="BN55" i="38" s="1"/>
  <c r="BO55" i="38" s="1"/>
  <c r="BS55" i="38"/>
  <c r="BI121" i="38"/>
  <c r="BU121" i="38" s="1"/>
  <c r="BS121" i="38"/>
  <c r="BI64" i="38"/>
  <c r="BU64" i="38" s="1"/>
  <c r="BS64" i="38"/>
  <c r="BI45" i="38"/>
  <c r="BN45" i="38" s="1"/>
  <c r="BS45" i="38"/>
  <c r="BI104" i="38"/>
  <c r="BS104" i="38"/>
  <c r="BI117" i="38"/>
  <c r="BN117" i="38" s="1"/>
  <c r="BS117" i="38"/>
  <c r="BI94" i="38"/>
  <c r="BU94" i="38" s="1"/>
  <c r="BS94" i="38"/>
  <c r="BS59" i="38"/>
  <c r="BI59" i="38"/>
  <c r="BU59" i="38" s="1"/>
  <c r="BS74" i="38"/>
  <c r="BI74" i="38"/>
  <c r="BN74" i="38" s="1"/>
  <c r="BS129" i="38"/>
  <c r="BI129" i="38"/>
  <c r="BU129" i="38" s="1"/>
  <c r="BS95" i="38"/>
  <c r="BI95" i="38"/>
  <c r="BN95" i="38" s="1"/>
  <c r="BI46" i="38"/>
  <c r="BN46" i="38" s="1"/>
  <c r="BS46" i="38"/>
  <c r="BI66" i="38"/>
  <c r="BS66" i="38"/>
  <c r="BI105" i="38"/>
  <c r="BS105" i="38"/>
  <c r="BS61" i="38"/>
  <c r="BI61" i="38"/>
  <c r="BN61" i="38" s="1"/>
  <c r="BI81" i="38"/>
  <c r="BU81" i="38" s="1"/>
  <c r="BS81" i="38"/>
  <c r="BI57" i="38"/>
  <c r="BU57" i="38" s="1"/>
  <c r="BS57" i="38"/>
  <c r="BI101" i="38"/>
  <c r="BU101" i="38" s="1"/>
  <c r="BS101" i="38"/>
  <c r="BI137" i="38"/>
  <c r="BN137" i="38" s="1"/>
  <c r="BS137" i="38"/>
  <c r="BI119" i="38"/>
  <c r="BN119" i="38" s="1"/>
  <c r="BS119" i="38"/>
  <c r="BI130" i="38"/>
  <c r="BN130" i="38" s="1"/>
  <c r="BO130" i="38" s="1"/>
  <c r="BS130" i="38"/>
  <c r="BI128" i="38"/>
  <c r="BN128" i="38" s="1"/>
  <c r="BS128" i="38"/>
  <c r="BI72" i="38"/>
  <c r="BN72" i="38" s="1"/>
  <c r="BS72" i="38"/>
  <c r="BS122" i="38"/>
  <c r="BI122" i="38"/>
  <c r="BN122" i="38" s="1"/>
  <c r="BI106" i="38"/>
  <c r="BN106" i="38" s="1"/>
  <c r="BO106" i="38" s="1"/>
  <c r="BS106" i="38"/>
  <c r="BS58" i="38"/>
  <c r="BI58" i="38"/>
  <c r="BN58" i="38" s="1"/>
  <c r="BS54" i="38"/>
  <c r="BI54" i="38"/>
  <c r="BU54" i="38" s="1"/>
  <c r="BI44" i="38"/>
  <c r="BT44" i="38" s="1"/>
  <c r="BI83" i="38"/>
  <c r="BU83" i="38" s="1"/>
  <c r="BS83" i="38"/>
  <c r="BS79" i="38"/>
  <c r="BI79" i="38"/>
  <c r="BU79" i="38" s="1"/>
  <c r="BS139" i="38"/>
  <c r="BI139" i="38"/>
  <c r="BU139" i="38" s="1"/>
  <c r="BS141" i="38"/>
  <c r="BI141" i="38"/>
  <c r="BN141" i="38" s="1"/>
  <c r="BO141" i="38" s="1"/>
  <c r="BS135" i="38"/>
  <c r="BI135" i="38"/>
  <c r="BN135" i="38" s="1"/>
  <c r="BO135" i="38" s="1"/>
  <c r="BS110" i="38"/>
  <c r="BI110" i="38"/>
  <c r="BU110" i="38" s="1"/>
  <c r="BI69" i="38"/>
  <c r="BU69" i="38" s="1"/>
  <c r="BS69" i="38"/>
  <c r="BI91" i="38"/>
  <c r="BU91" i="38" s="1"/>
  <c r="BS91" i="38"/>
  <c r="BI67" i="38"/>
  <c r="BU67" i="38" s="1"/>
  <c r="BS67" i="38"/>
  <c r="BI85" i="38"/>
  <c r="BN85" i="38" s="1"/>
  <c r="BS85" i="38"/>
  <c r="BI102" i="38"/>
  <c r="BN102" i="38" s="1"/>
  <c r="BS102" i="38"/>
  <c r="BI78" i="38"/>
  <c r="BN78" i="38" s="1"/>
  <c r="BS78" i="38"/>
  <c r="BI134" i="38"/>
  <c r="BN134" i="38" s="1"/>
  <c r="BS134" i="38"/>
  <c r="BI86" i="38"/>
  <c r="BN86" i="38" s="1"/>
  <c r="BS86" i="38"/>
  <c r="BS60" i="38"/>
  <c r="BI60" i="38"/>
  <c r="BU60" i="38" s="1"/>
  <c r="BI136" i="38"/>
  <c r="BN136" i="38" s="1"/>
  <c r="BO136" i="38" s="1"/>
  <c r="BS136" i="38"/>
  <c r="BI80" i="38"/>
  <c r="BN80" i="38" s="1"/>
  <c r="BO80" i="38" s="1"/>
  <c r="BS80" i="38"/>
  <c r="BI56" i="38"/>
  <c r="BN56" i="38" s="1"/>
  <c r="BO56" i="38" s="1"/>
  <c r="BS56" i="38"/>
  <c r="BS75" i="38"/>
  <c r="BI75" i="38"/>
  <c r="BS116" i="38"/>
  <c r="BI116" i="38"/>
  <c r="BI49" i="38"/>
  <c r="BN49" i="38" s="1"/>
  <c r="BS49" i="38"/>
  <c r="BS111" i="38"/>
  <c r="BI111" i="38"/>
  <c r="BU111" i="38" s="1"/>
  <c r="BI62" i="38"/>
  <c r="BN62" i="38" s="1"/>
  <c r="BS62" i="38"/>
  <c r="BI138" i="38"/>
  <c r="BN138" i="38" s="1"/>
  <c r="BO138" i="38" s="1"/>
  <c r="BS138" i="38"/>
  <c r="BI82" i="38"/>
  <c r="BS82" i="38"/>
  <c r="BS99" i="38"/>
  <c r="BI99" i="38"/>
  <c r="BI100" i="38"/>
  <c r="BN100" i="38" s="1"/>
  <c r="BS100" i="38"/>
  <c r="BI143" i="38"/>
  <c r="BN143" i="38" s="1"/>
  <c r="BS143" i="38"/>
  <c r="BI140" i="38"/>
  <c r="BN140" i="38" s="1"/>
  <c r="BS140" i="38"/>
  <c r="BU113" i="38"/>
  <c r="BO113" i="38"/>
  <c r="BI89" i="38"/>
  <c r="BU89" i="38" s="1"/>
  <c r="BS89" i="38"/>
  <c r="BI73" i="38"/>
  <c r="BN73" i="38" s="1"/>
  <c r="BO73" i="38" s="1"/>
  <c r="BS73" i="38"/>
  <c r="BS131" i="38"/>
  <c r="BI131" i="38"/>
  <c r="BN131" i="38" s="1"/>
  <c r="BS76" i="38"/>
  <c r="BI76" i="38"/>
  <c r="BU76" i="38" s="1"/>
  <c r="BI50" i="38"/>
  <c r="BN50" i="38" s="1"/>
  <c r="BO50" i="38" s="1"/>
  <c r="BS50" i="38"/>
  <c r="BI125" i="38"/>
  <c r="BU125" i="38" s="1"/>
  <c r="BS125" i="38"/>
  <c r="BI109" i="38"/>
  <c r="BU109" i="38" s="1"/>
  <c r="BS109" i="38"/>
  <c r="BS68" i="38"/>
  <c r="BI68" i="38"/>
  <c r="BN68" i="38" s="1"/>
  <c r="BO68" i="38" s="1"/>
  <c r="BI142" i="38"/>
  <c r="BU142" i="38" s="1"/>
  <c r="BS142" i="38"/>
  <c r="BI118" i="38"/>
  <c r="BU118" i="38" s="1"/>
  <c r="BS118" i="38"/>
  <c r="BS51" i="38"/>
  <c r="BI51" i="38"/>
  <c r="BN51" i="38" s="1"/>
  <c r="BI47" i="38"/>
  <c r="BN47" i="38" s="1"/>
  <c r="BS47" i="38"/>
  <c r="BI123" i="38"/>
  <c r="BU123" i="38" s="1"/>
  <c r="BS123" i="38"/>
  <c r="BI144" i="38"/>
  <c r="BS144" i="38"/>
  <c r="B13" i="14"/>
  <c r="C13" i="14"/>
  <c r="D13" i="14"/>
  <c r="BU52" i="38" l="1"/>
  <c r="BT132" i="38"/>
  <c r="BN77" i="38"/>
  <c r="BO77" i="38" s="1"/>
  <c r="BT65" i="38"/>
  <c r="BU93" i="38"/>
  <c r="BO88" i="38"/>
  <c r="BU88" i="38"/>
  <c r="BT77" i="38"/>
  <c r="BT88" i="38"/>
  <c r="BT52" i="38"/>
  <c r="BU136" i="38"/>
  <c r="BO63" i="38"/>
  <c r="BU97" i="38"/>
  <c r="BU63" i="38"/>
  <c r="BO97" i="38"/>
  <c r="BT133" i="38"/>
  <c r="BT101" i="38"/>
  <c r="BU84" i="38"/>
  <c r="BU92" i="38"/>
  <c r="BU119" i="38"/>
  <c r="BO119" i="38"/>
  <c r="BT57" i="38"/>
  <c r="BU124" i="38"/>
  <c r="BT69" i="38"/>
  <c r="BN123" i="38"/>
  <c r="BO123" i="38" s="1"/>
  <c r="BN121" i="38"/>
  <c r="BO121" i="38" s="1"/>
  <c r="BO140" i="38"/>
  <c r="BU117" i="38"/>
  <c r="BT92" i="38"/>
  <c r="BT105" i="38"/>
  <c r="BT70" i="38"/>
  <c r="BT98" i="38"/>
  <c r="BT66" i="38"/>
  <c r="BN53" i="38"/>
  <c r="BO53" i="38" s="1"/>
  <c r="BO93" i="38"/>
  <c r="BN83" i="38"/>
  <c r="BO83" i="38" s="1"/>
  <c r="BT106" i="38"/>
  <c r="BN101" i="38"/>
  <c r="BO101" i="38" s="1"/>
  <c r="BT114" i="38"/>
  <c r="BT93" i="38"/>
  <c r="BT82" i="38"/>
  <c r="BT97" i="38"/>
  <c r="BT63" i="38"/>
  <c r="BT124" i="38"/>
  <c r="BT99" i="38"/>
  <c r="BT75" i="38"/>
  <c r="BT136" i="38"/>
  <c r="BN110" i="38"/>
  <c r="BO110" i="38" s="1"/>
  <c r="BN94" i="38"/>
  <c r="BO94" i="38" s="1"/>
  <c r="BN125" i="38"/>
  <c r="BO125" i="38" s="1"/>
  <c r="BT125" i="38"/>
  <c r="BU131" i="38"/>
  <c r="BN60" i="38"/>
  <c r="BO60" i="38" s="1"/>
  <c r="BU61" i="38"/>
  <c r="BN90" i="38"/>
  <c r="BO90" i="38" s="1"/>
  <c r="BT107" i="38"/>
  <c r="BT135" i="38"/>
  <c r="BT144" i="38"/>
  <c r="BT138" i="38"/>
  <c r="BO95" i="38"/>
  <c r="BU132" i="38"/>
  <c r="BO117" i="38"/>
  <c r="BN59" i="38"/>
  <c r="BO59" i="38" s="1"/>
  <c r="BT54" i="38"/>
  <c r="BO61" i="38"/>
  <c r="BN126" i="38"/>
  <c r="BO126" i="38" s="1"/>
  <c r="BT87" i="38"/>
  <c r="BT112" i="38"/>
  <c r="BN144" i="38"/>
  <c r="BO144" i="38" s="1"/>
  <c r="BT96" i="38"/>
  <c r="BO47" i="38"/>
  <c r="BT60" i="38"/>
  <c r="BO85" i="38"/>
  <c r="BN81" i="38"/>
  <c r="BO81" i="38" s="1"/>
  <c r="BT47" i="38"/>
  <c r="BT116" i="38"/>
  <c r="BT80" i="38"/>
  <c r="BU140" i="38"/>
  <c r="BN67" i="38"/>
  <c r="BO67" i="38" s="1"/>
  <c r="BT130" i="38"/>
  <c r="BT85" i="38"/>
  <c r="BT59" i="38"/>
  <c r="BU72" i="38"/>
  <c r="BN114" i="38"/>
  <c r="BO114" i="38" s="1"/>
  <c r="BU137" i="38"/>
  <c r="BN107" i="38"/>
  <c r="BO107" i="38" s="1"/>
  <c r="BU68" i="38"/>
  <c r="BT103" i="38"/>
  <c r="BT68" i="38"/>
  <c r="BN75" i="38"/>
  <c r="BO75" i="38" s="1"/>
  <c r="BT78" i="38"/>
  <c r="BN54" i="38"/>
  <c r="BO54" i="38" s="1"/>
  <c r="BT108" i="38"/>
  <c r="BN70" i="38"/>
  <c r="BO70" i="38" s="1"/>
  <c r="BO48" i="38"/>
  <c r="BN142" i="38"/>
  <c r="BO142" i="38" s="1"/>
  <c r="BU99" i="38"/>
  <c r="BN109" i="38"/>
  <c r="BO109" i="38" s="1"/>
  <c r="BN91" i="38"/>
  <c r="BO91" i="38" s="1"/>
  <c r="BN96" i="38"/>
  <c r="BO96" i="38" s="1"/>
  <c r="BN103" i="38"/>
  <c r="BO103" i="38" s="1"/>
  <c r="BN87" i="38"/>
  <c r="BO87" i="38" s="1"/>
  <c r="BU138" i="38"/>
  <c r="BT84" i="38"/>
  <c r="BU135" i="38"/>
  <c r="BN99" i="38"/>
  <c r="BO99" i="38" s="1"/>
  <c r="BT91" i="38"/>
  <c r="BT117" i="38"/>
  <c r="BU65" i="38"/>
  <c r="BN82" i="38"/>
  <c r="BO82" i="38" s="1"/>
  <c r="BT50" i="38"/>
  <c r="BT140" i="38"/>
  <c r="BU130" i="38"/>
  <c r="BT119" i="38"/>
  <c r="BU141" i="38"/>
  <c r="BN44" i="38"/>
  <c r="BO44" i="38" s="1"/>
  <c r="BU85" i="38"/>
  <c r="BN66" i="38"/>
  <c r="BO66" i="38" s="1"/>
  <c r="BN129" i="38"/>
  <c r="BO129" i="38" s="1"/>
  <c r="BT61" i="38"/>
  <c r="BU122" i="38"/>
  <c r="BT79" i="38"/>
  <c r="BT134" i="38"/>
  <c r="BT137" i="38"/>
  <c r="BU66" i="38"/>
  <c r="BT53" i="38"/>
  <c r="BT104" i="38"/>
  <c r="BU45" i="38"/>
  <c r="BT71" i="38"/>
  <c r="BN133" i="38"/>
  <c r="BO133" i="38" s="1"/>
  <c r="BU50" i="38"/>
  <c r="BN139" i="38"/>
  <c r="BO139" i="38" s="1"/>
  <c r="BO58" i="38"/>
  <c r="BT72" i="38"/>
  <c r="BT94" i="38"/>
  <c r="BO137" i="38"/>
  <c r="BT64" i="38"/>
  <c r="BU104" i="38"/>
  <c r="BO45" i="38"/>
  <c r="BT121" i="38"/>
  <c r="BU70" i="38"/>
  <c r="BT118" i="38"/>
  <c r="BU100" i="38"/>
  <c r="BU82" i="38"/>
  <c r="BU58" i="38"/>
  <c r="BO102" i="38"/>
  <c r="BN118" i="38"/>
  <c r="BO118" i="38" s="1"/>
  <c r="BN89" i="38"/>
  <c r="BO89" i="38" s="1"/>
  <c r="BO131" i="38"/>
  <c r="BT100" i="38"/>
  <c r="BT128" i="38"/>
  <c r="BU75" i="38"/>
  <c r="BU49" i="38"/>
  <c r="BU80" i="38"/>
  <c r="BO78" i="38"/>
  <c r="BT58" i="38"/>
  <c r="BT102" i="38"/>
  <c r="BT67" i="38"/>
  <c r="BO86" i="38"/>
  <c r="BN104" i="38"/>
  <c r="BO104" i="38" s="1"/>
  <c r="BN64" i="38"/>
  <c r="BO64" i="38" s="1"/>
  <c r="BO72" i="38"/>
  <c r="BN98" i="38"/>
  <c r="BO98" i="38" s="1"/>
  <c r="BO127" i="38"/>
  <c r="BT46" i="38"/>
  <c r="BT123" i="38"/>
  <c r="BN112" i="38"/>
  <c r="BO112" i="38" s="1"/>
  <c r="BT76" i="38"/>
  <c r="BT90" i="38"/>
  <c r="BT142" i="38"/>
  <c r="BN116" i="38"/>
  <c r="BO116" i="38" s="1"/>
  <c r="BT131" i="38"/>
  <c r="BT89" i="38"/>
  <c r="BO100" i="38"/>
  <c r="BT109" i="38"/>
  <c r="BU128" i="38"/>
  <c r="BN79" i="38"/>
  <c r="BO79" i="38" s="1"/>
  <c r="BT139" i="38"/>
  <c r="BT81" i="38"/>
  <c r="BT49" i="38"/>
  <c r="BU78" i="38"/>
  <c r="BN57" i="38"/>
  <c r="BO57" i="38" s="1"/>
  <c r="BU102" i="38"/>
  <c r="BU106" i="38"/>
  <c r="BU86" i="38"/>
  <c r="BU44" i="38"/>
  <c r="BT95" i="38"/>
  <c r="BT127" i="38"/>
  <c r="BU105" i="38"/>
  <c r="BU46" i="38"/>
  <c r="BT48" i="38"/>
  <c r="BU56" i="38"/>
  <c r="BT51" i="38"/>
  <c r="BT111" i="38"/>
  <c r="BN69" i="38"/>
  <c r="BO69" i="38" s="1"/>
  <c r="BO128" i="38"/>
  <c r="BT143" i="38"/>
  <c r="BU62" i="38"/>
  <c r="BO49" i="38"/>
  <c r="BN105" i="38"/>
  <c r="BO105" i="38" s="1"/>
  <c r="BT86" i="38"/>
  <c r="BM40" i="38"/>
  <c r="BU74" i="38"/>
  <c r="BN120" i="38"/>
  <c r="BO120" i="38" s="1"/>
  <c r="BO46" i="38"/>
  <c r="BT129" i="38"/>
  <c r="BT120" i="38"/>
  <c r="BT55" i="38"/>
  <c r="BT56" i="38"/>
  <c r="BN76" i="38"/>
  <c r="BO76" i="38" s="1"/>
  <c r="BU47" i="38"/>
  <c r="BO51" i="38"/>
  <c r="BN111" i="38"/>
  <c r="BO111" i="38" s="1"/>
  <c r="BU116" i="38"/>
  <c r="BO143" i="38"/>
  <c r="BT62" i="38"/>
  <c r="BT110" i="38"/>
  <c r="BT83" i="38"/>
  <c r="BO122" i="38"/>
  <c r="BN115" i="38"/>
  <c r="BO115" i="38" s="1"/>
  <c r="BU95" i="38"/>
  <c r="BT74" i="38"/>
  <c r="BU134" i="38"/>
  <c r="BN108" i="38"/>
  <c r="BO108" i="38" s="1"/>
  <c r="BT115" i="38"/>
  <c r="BU144" i="38"/>
  <c r="BU48" i="38"/>
  <c r="BU55" i="38"/>
  <c r="BU73" i="38"/>
  <c r="BU51" i="38"/>
  <c r="BT141" i="38"/>
  <c r="BU143" i="38"/>
  <c r="BO62" i="38"/>
  <c r="BT122" i="38"/>
  <c r="BO74" i="38"/>
  <c r="BO134" i="38"/>
  <c r="BT45" i="38"/>
  <c r="BT126" i="38"/>
  <c r="BT73" i="38"/>
  <c r="E21" i="14"/>
  <c r="E22" i="15"/>
  <c r="E21" i="15"/>
  <c r="Q11" i="20" l="1"/>
  <c r="Q12" i="20"/>
  <c r="Q13" i="20"/>
  <c r="Q14" i="20"/>
  <c r="Q10" i="20"/>
  <c r="F98" i="20"/>
  <c r="H98" i="20" s="1"/>
  <c r="I98" i="20" s="1"/>
  <c r="F97" i="20"/>
  <c r="H97" i="20" s="1"/>
  <c r="I97" i="20" s="1"/>
  <c r="F96" i="20"/>
  <c r="H96" i="20" s="1"/>
  <c r="I96" i="20" s="1"/>
  <c r="F95" i="20"/>
  <c r="H95" i="20" s="1"/>
  <c r="I95" i="20" s="1"/>
  <c r="F94" i="20"/>
  <c r="H94" i="20" s="1"/>
  <c r="I94" i="20" s="1"/>
  <c r="F93" i="20"/>
  <c r="H93" i="20" s="1"/>
  <c r="I93" i="20" s="1"/>
  <c r="F92" i="20"/>
  <c r="H92" i="20" s="1"/>
  <c r="I92" i="20" s="1"/>
  <c r="F91" i="20"/>
  <c r="H91" i="20" s="1"/>
  <c r="I91" i="20" s="1"/>
  <c r="F90" i="20"/>
  <c r="H90" i="20" s="1"/>
  <c r="I90" i="20" s="1"/>
  <c r="F89" i="20"/>
  <c r="H89" i="20" s="1"/>
  <c r="I89" i="20" s="1"/>
  <c r="F88" i="20"/>
  <c r="H88" i="20" s="1"/>
  <c r="I88" i="20" s="1"/>
  <c r="F87" i="20"/>
  <c r="H87" i="20" s="1"/>
  <c r="I87" i="20" s="1"/>
  <c r="F86" i="20"/>
  <c r="H86" i="20" s="1"/>
  <c r="I86" i="20" s="1"/>
  <c r="F85" i="20"/>
  <c r="H85" i="20" s="1"/>
  <c r="I85" i="20" s="1"/>
  <c r="F84" i="20"/>
  <c r="H84" i="20" s="1"/>
  <c r="I84" i="20" s="1"/>
  <c r="F83" i="20"/>
  <c r="H83" i="20" s="1"/>
  <c r="I83" i="20" s="1"/>
  <c r="F79" i="20"/>
  <c r="H79" i="20" s="1"/>
  <c r="I79" i="20" s="1"/>
  <c r="F78" i="20"/>
  <c r="H78" i="20" s="1"/>
  <c r="I78" i="20" s="1"/>
  <c r="F77" i="20"/>
  <c r="H77" i="20" s="1"/>
  <c r="I77" i="20" s="1"/>
  <c r="F76" i="20"/>
  <c r="H76" i="20" s="1"/>
  <c r="I76" i="20" s="1"/>
  <c r="F75" i="20"/>
  <c r="H75" i="20" s="1"/>
  <c r="I75" i="20" s="1"/>
  <c r="F74" i="20"/>
  <c r="H74" i="20" s="1"/>
  <c r="I74" i="20" s="1"/>
  <c r="F73" i="20"/>
  <c r="H73" i="20" s="1"/>
  <c r="I73" i="20" s="1"/>
  <c r="F72" i="20"/>
  <c r="H72" i="20" s="1"/>
  <c r="I72" i="20" s="1"/>
  <c r="F71" i="20"/>
  <c r="H71" i="20" s="1"/>
  <c r="I71" i="20" s="1"/>
  <c r="F70" i="20"/>
  <c r="H70" i="20" s="1"/>
  <c r="I70" i="20" s="1"/>
  <c r="F69" i="20"/>
  <c r="H69" i="20" s="1"/>
  <c r="I69" i="20" s="1"/>
  <c r="F68" i="20"/>
  <c r="H68" i="20" s="1"/>
  <c r="I68" i="20" s="1"/>
  <c r="F67" i="20"/>
  <c r="H67" i="20" s="1"/>
  <c r="I67" i="20" s="1"/>
  <c r="F66" i="20"/>
  <c r="H66" i="20" s="1"/>
  <c r="I66" i="20" s="1"/>
  <c r="F65" i="20"/>
  <c r="H65" i="20" s="1"/>
  <c r="I65" i="20" s="1"/>
  <c r="F64" i="20"/>
  <c r="H64" i="20" s="1"/>
  <c r="I64" i="20" s="1"/>
  <c r="F59" i="20"/>
  <c r="H59" i="20" s="1"/>
  <c r="F60" i="20"/>
  <c r="H60" i="20" s="1"/>
  <c r="F53" i="20"/>
  <c r="H53" i="20" s="1"/>
  <c r="F54" i="20"/>
  <c r="H54" i="20" s="1"/>
  <c r="F55" i="20"/>
  <c r="H55" i="20" s="1"/>
  <c r="I55" i="20" s="1"/>
  <c r="F56" i="20"/>
  <c r="H56" i="20" s="1"/>
  <c r="F57" i="20"/>
  <c r="H57" i="20" s="1"/>
  <c r="F58" i="20"/>
  <c r="H58" i="20" s="1"/>
  <c r="F46" i="20"/>
  <c r="H46" i="20" s="1"/>
  <c r="F47" i="20"/>
  <c r="H47" i="20" s="1"/>
  <c r="F48" i="20"/>
  <c r="F49" i="20"/>
  <c r="H49" i="20" s="1"/>
  <c r="I49" i="20" s="1"/>
  <c r="F50" i="20"/>
  <c r="F51" i="20"/>
  <c r="F52" i="20"/>
  <c r="H52" i="20" s="1"/>
  <c r="F45" i="20"/>
  <c r="H45" i="20" s="1"/>
  <c r="K73" i="20" l="1"/>
  <c r="L73" i="20" s="1"/>
  <c r="K71" i="20"/>
  <c r="L71" i="20" s="1"/>
  <c r="K92" i="20"/>
  <c r="L92" i="20" s="1"/>
  <c r="K74" i="20"/>
  <c r="L74" i="20" s="1"/>
  <c r="I56" i="20"/>
  <c r="K70" i="20"/>
  <c r="L70" i="20" s="1"/>
  <c r="K91" i="20"/>
  <c r="L91" i="20" s="1"/>
  <c r="K93" i="20"/>
  <c r="L93" i="20" s="1"/>
  <c r="K69" i="20"/>
  <c r="L69" i="20" s="1"/>
  <c r="K90" i="20"/>
  <c r="L90" i="20" s="1"/>
  <c r="K72" i="20"/>
  <c r="L72" i="20" s="1"/>
  <c r="I54" i="20"/>
  <c r="K64" i="20"/>
  <c r="L64" i="20" s="1"/>
  <c r="K68" i="20"/>
  <c r="L68" i="20" s="1"/>
  <c r="K89" i="20"/>
  <c r="L89" i="20" s="1"/>
  <c r="K79" i="20"/>
  <c r="L79" i="20" s="1"/>
  <c r="K67" i="20"/>
  <c r="L67" i="20" s="1"/>
  <c r="K83" i="20"/>
  <c r="L83" i="20" s="1"/>
  <c r="K88" i="20"/>
  <c r="L88" i="20" s="1"/>
  <c r="K95" i="20"/>
  <c r="L95" i="20" s="1"/>
  <c r="H51" i="20"/>
  <c r="I51" i="20" s="1"/>
  <c r="K78" i="20"/>
  <c r="L78" i="20" s="1"/>
  <c r="K66" i="20"/>
  <c r="L66" i="20" s="1"/>
  <c r="K87" i="20"/>
  <c r="L87" i="20" s="1"/>
  <c r="I47" i="20"/>
  <c r="H50" i="20"/>
  <c r="I50" i="20" s="1"/>
  <c r="K77" i="20"/>
  <c r="L77" i="20" s="1"/>
  <c r="K65" i="20"/>
  <c r="L65" i="20" s="1"/>
  <c r="K98" i="20"/>
  <c r="L98" i="20" s="1"/>
  <c r="K86" i="20"/>
  <c r="L86" i="20" s="1"/>
  <c r="I46" i="20"/>
  <c r="K76" i="20"/>
  <c r="L76" i="20" s="1"/>
  <c r="K97" i="20"/>
  <c r="L97" i="20" s="1"/>
  <c r="K85" i="20"/>
  <c r="L85" i="20" s="1"/>
  <c r="I57" i="20"/>
  <c r="K94" i="20"/>
  <c r="L94" i="20" s="1"/>
  <c r="H48" i="20"/>
  <c r="K52" i="20" s="1"/>
  <c r="L52" i="20" s="1"/>
  <c r="K75" i="20"/>
  <c r="L75" i="20" s="1"/>
  <c r="K96" i="20"/>
  <c r="L96" i="20" s="1"/>
  <c r="K84" i="20"/>
  <c r="L84" i="20" s="1"/>
  <c r="I53" i="20"/>
  <c r="I60" i="20"/>
  <c r="I52" i="20"/>
  <c r="I58" i="20"/>
  <c r="I59" i="20"/>
  <c r="I45" i="20"/>
  <c r="B30" i="14"/>
  <c r="C30" i="14"/>
  <c r="D30" i="14"/>
  <c r="E30" i="14"/>
  <c r="K59" i="20" l="1"/>
  <c r="L59" i="20" s="1"/>
  <c r="K47" i="20"/>
  <c r="L47" i="20" s="1"/>
  <c r="K50" i="20"/>
  <c r="L50" i="20" s="1"/>
  <c r="K58" i="20"/>
  <c r="L58" i="20" s="1"/>
  <c r="K46" i="20"/>
  <c r="L46" i="20" s="1"/>
  <c r="K57" i="20"/>
  <c r="L57" i="20" s="1"/>
  <c r="K56" i="20"/>
  <c r="L56" i="20" s="1"/>
  <c r="K55" i="20"/>
  <c r="L55" i="20" s="1"/>
  <c r="K45" i="20"/>
  <c r="L45" i="20" s="1"/>
  <c r="K51" i="20"/>
  <c r="L51" i="20" s="1"/>
  <c r="I48" i="20"/>
  <c r="K60" i="20"/>
  <c r="L60" i="20" s="1"/>
  <c r="K54" i="20"/>
  <c r="L54" i="20" s="1"/>
  <c r="K48" i="20"/>
  <c r="L48" i="20" s="1"/>
  <c r="K53" i="20"/>
  <c r="L53" i="20" s="1"/>
  <c r="K49" i="20"/>
  <c r="L49" i="20" s="1"/>
  <c r="B34" i="14"/>
  <c r="C34" i="14"/>
  <c r="D34" i="14"/>
  <c r="E34" i="14"/>
  <c r="B40" i="14"/>
  <c r="C40" i="14"/>
  <c r="D40" i="14"/>
  <c r="E40" i="14"/>
  <c r="B41" i="14"/>
  <c r="C41" i="14"/>
  <c r="D41" i="14"/>
  <c r="E41" i="14"/>
  <c r="B42" i="14"/>
  <c r="C42" i="14"/>
  <c r="D42" i="14"/>
  <c r="O60" i="14"/>
  <c r="N60" i="14"/>
  <c r="A38" i="14"/>
  <c r="B11" i="14"/>
  <c r="C11" i="14"/>
  <c r="D11" i="14"/>
  <c r="B17" i="14"/>
  <c r="C17" i="14"/>
  <c r="D17" i="14"/>
  <c r="E17" i="14"/>
  <c r="B18" i="14"/>
  <c r="C18" i="14"/>
  <c r="D18" i="14"/>
  <c r="E18" i="14"/>
  <c r="A19" i="14"/>
  <c r="B19" i="14"/>
  <c r="C19" i="14"/>
  <c r="D19" i="14"/>
  <c r="E19" i="14"/>
  <c r="B20" i="14"/>
  <c r="C20" i="14"/>
  <c r="D20" i="14"/>
  <c r="E20" i="14"/>
  <c r="B21" i="14"/>
  <c r="C21" i="14"/>
  <c r="D21" i="14"/>
  <c r="B22" i="14"/>
  <c r="C22" i="14"/>
  <c r="D22" i="14"/>
  <c r="E22" i="14"/>
  <c r="A23" i="14"/>
  <c r="B23" i="14"/>
  <c r="C23" i="14"/>
  <c r="D23" i="14"/>
  <c r="E23" i="14"/>
  <c r="B24" i="14"/>
  <c r="C24" i="14"/>
  <c r="D24" i="14"/>
  <c r="E24" i="14"/>
  <c r="B25" i="14"/>
  <c r="C25" i="14"/>
  <c r="D25" i="14"/>
  <c r="E25" i="14"/>
  <c r="B26" i="14"/>
  <c r="C26" i="14"/>
  <c r="D26" i="14"/>
  <c r="E26" i="14"/>
  <c r="A27" i="14"/>
  <c r="B27" i="14"/>
  <c r="C27" i="14"/>
  <c r="D27" i="14"/>
  <c r="E27" i="14"/>
  <c r="B28" i="14"/>
  <c r="C28" i="14"/>
  <c r="D28" i="14"/>
  <c r="E28" i="14"/>
  <c r="B29" i="14"/>
  <c r="C29" i="14"/>
  <c r="D29" i="14"/>
  <c r="E29" i="14"/>
  <c r="B31" i="14"/>
  <c r="C31" i="14"/>
  <c r="D31" i="14"/>
  <c r="E31" i="14"/>
  <c r="B32" i="14"/>
  <c r="C32" i="14"/>
  <c r="D32" i="14"/>
  <c r="E32" i="14"/>
  <c r="A33" i="14"/>
  <c r="B33" i="14"/>
  <c r="C33" i="14"/>
  <c r="D33" i="14"/>
  <c r="E33" i="14"/>
  <c r="B35" i="14"/>
  <c r="C35" i="14"/>
  <c r="D35" i="14"/>
  <c r="E35" i="14"/>
  <c r="B36" i="14"/>
  <c r="C36" i="14"/>
  <c r="D36" i="14"/>
  <c r="E36" i="14"/>
  <c r="B37" i="14"/>
  <c r="C37" i="14"/>
  <c r="D37" i="14"/>
  <c r="E37" i="14"/>
  <c r="B38" i="14"/>
  <c r="C38" i="14"/>
  <c r="D38" i="14"/>
  <c r="E38" i="14"/>
  <c r="B39" i="14"/>
  <c r="C39" i="14"/>
  <c r="D39" i="14"/>
  <c r="E39" i="14"/>
  <c r="D6" i="6"/>
  <c r="N16" i="6" s="1"/>
  <c r="B97" i="6"/>
  <c r="D122" i="40" s="1"/>
  <c r="B81" i="6" l="1"/>
  <c r="D106" i="40" s="1"/>
  <c r="B110" i="6"/>
  <c r="D135" i="40" s="1"/>
  <c r="B87" i="6"/>
  <c r="D112" i="40" s="1"/>
  <c r="B63" i="6"/>
  <c r="D88" i="40" s="1"/>
  <c r="B123" i="14"/>
  <c r="B105" i="6"/>
  <c r="D130" i="40" s="1"/>
  <c r="B104" i="6"/>
  <c r="D129" i="40" s="1"/>
  <c r="B155" i="14"/>
  <c r="B91" i="14"/>
  <c r="B115" i="6"/>
  <c r="D140" i="40" s="1"/>
  <c r="B102" i="6"/>
  <c r="D127" i="40" s="1"/>
  <c r="B119" i="6"/>
  <c r="D144" i="40" s="1"/>
  <c r="B103" i="6"/>
  <c r="D128" i="40" s="1"/>
  <c r="B113" i="6"/>
  <c r="D138" i="40" s="1"/>
  <c r="B135" i="14"/>
  <c r="B129" i="15"/>
  <c r="B97" i="15"/>
  <c r="B81" i="15"/>
  <c r="B61" i="15"/>
  <c r="D10" i="16"/>
  <c r="D17" i="16" s="1"/>
  <c r="B144" i="15"/>
  <c r="B140" i="15"/>
  <c r="B136" i="15"/>
  <c r="B132" i="15"/>
  <c r="B128" i="15"/>
  <c r="B124" i="15"/>
  <c r="B120" i="15"/>
  <c r="B116" i="15"/>
  <c r="B112" i="15"/>
  <c r="B108" i="15"/>
  <c r="B104" i="15"/>
  <c r="B100" i="15"/>
  <c r="B96" i="15"/>
  <c r="B92" i="15"/>
  <c r="B88" i="15"/>
  <c r="B84" i="15"/>
  <c r="B80" i="15"/>
  <c r="B76" i="15"/>
  <c r="B72" i="15"/>
  <c r="B68" i="15"/>
  <c r="B64" i="15"/>
  <c r="B60" i="15"/>
  <c r="B56" i="15"/>
  <c r="B52" i="15"/>
  <c r="B48" i="15"/>
  <c r="B145" i="15"/>
  <c r="B113" i="15"/>
  <c r="B93" i="15"/>
  <c r="B65" i="15"/>
  <c r="B46" i="15"/>
  <c r="L46" i="15" s="1"/>
  <c r="B137" i="15"/>
  <c r="B105" i="15"/>
  <c r="B69" i="15"/>
  <c r="B143" i="15"/>
  <c r="B139" i="15"/>
  <c r="B135" i="15"/>
  <c r="B131" i="15"/>
  <c r="B127" i="15"/>
  <c r="B123" i="15"/>
  <c r="B119" i="15"/>
  <c r="B115" i="15"/>
  <c r="B111" i="15"/>
  <c r="B107" i="15"/>
  <c r="B103" i="15"/>
  <c r="B99" i="15"/>
  <c r="B95" i="15"/>
  <c r="B91" i="15"/>
  <c r="B87" i="15"/>
  <c r="B83" i="15"/>
  <c r="B79" i="15"/>
  <c r="B75" i="15"/>
  <c r="B71" i="15"/>
  <c r="B67" i="15"/>
  <c r="B63" i="15"/>
  <c r="B59" i="15"/>
  <c r="B55" i="15"/>
  <c r="B51" i="15"/>
  <c r="B47" i="15"/>
  <c r="B109" i="15"/>
  <c r="B85" i="15"/>
  <c r="B57" i="15"/>
  <c r="B125" i="15"/>
  <c r="B77" i="15"/>
  <c r="B49" i="15"/>
  <c r="B146" i="15"/>
  <c r="B142" i="15"/>
  <c r="B138" i="15"/>
  <c r="B134" i="15"/>
  <c r="B130" i="15"/>
  <c r="B126" i="15"/>
  <c r="B122" i="15"/>
  <c r="B118" i="15"/>
  <c r="B114" i="15"/>
  <c r="B110" i="15"/>
  <c r="B106" i="15"/>
  <c r="B102" i="15"/>
  <c r="B98" i="15"/>
  <c r="B94" i="15"/>
  <c r="B90" i="15"/>
  <c r="B86" i="15"/>
  <c r="B82" i="15"/>
  <c r="B78" i="15"/>
  <c r="B74" i="15"/>
  <c r="B70" i="15"/>
  <c r="B66" i="15"/>
  <c r="B62" i="15"/>
  <c r="B58" i="15"/>
  <c r="B54" i="15"/>
  <c r="B50" i="15"/>
  <c r="B141" i="15"/>
  <c r="B89" i="15"/>
  <c r="B53" i="15"/>
  <c r="E13" i="15"/>
  <c r="B133" i="15"/>
  <c r="B121" i="15"/>
  <c r="B117" i="15"/>
  <c r="B101" i="15"/>
  <c r="B73" i="15"/>
  <c r="B40" i="6"/>
  <c r="D65" i="40" s="1"/>
  <c r="B112" i="6"/>
  <c r="D137" i="40" s="1"/>
  <c r="B96" i="6"/>
  <c r="B118" i="6"/>
  <c r="D143" i="40" s="1"/>
  <c r="B111" i="6"/>
  <c r="D136" i="40" s="1"/>
  <c r="B95" i="6"/>
  <c r="D120" i="40" s="1"/>
  <c r="E45" i="14"/>
  <c r="E46" i="14" s="1"/>
  <c r="HD61" i="14"/>
  <c r="HD68" i="14"/>
  <c r="HD74" i="14"/>
  <c r="GV82" i="14"/>
  <c r="HL82" i="14"/>
  <c r="GV88" i="14"/>
  <c r="HL88" i="14"/>
  <c r="GV89" i="14"/>
  <c r="HL89" i="14"/>
  <c r="HD99" i="14"/>
  <c r="HD100" i="14"/>
  <c r="HL62" i="14"/>
  <c r="GV63" i="14"/>
  <c r="HL63" i="14"/>
  <c r="GV64" i="14"/>
  <c r="HL64" i="14"/>
  <c r="GV65" i="14"/>
  <c r="HL65" i="14"/>
  <c r="HD67" i="14"/>
  <c r="HD69" i="14"/>
  <c r="HD71" i="14"/>
  <c r="HD72" i="14"/>
  <c r="HD73" i="14"/>
  <c r="GV76" i="14"/>
  <c r="HL76" i="14"/>
  <c r="GV85" i="14"/>
  <c r="HL85" i="14"/>
  <c r="GV91" i="14"/>
  <c r="HL91" i="14"/>
  <c r="HD93" i="14"/>
  <c r="HD96" i="14"/>
  <c r="GV62" i="14"/>
  <c r="HD70" i="14"/>
  <c r="GV75" i="14"/>
  <c r="HL75" i="14"/>
  <c r="GV77" i="14"/>
  <c r="HL77" i="14"/>
  <c r="GV81" i="14"/>
  <c r="HL81" i="14"/>
  <c r="HL86" i="14"/>
  <c r="GV87" i="14"/>
  <c r="HL87" i="14"/>
  <c r="GV90" i="14"/>
  <c r="HL90" i="14"/>
  <c r="HL102" i="14"/>
  <c r="GV103" i="14"/>
  <c r="HL103" i="14"/>
  <c r="GV61" i="14"/>
  <c r="HD66" i="14"/>
  <c r="GV74" i="14"/>
  <c r="GV78" i="14"/>
  <c r="HL78" i="14"/>
  <c r="GV79" i="14"/>
  <c r="HL79" i="14"/>
  <c r="GV80" i="14"/>
  <c r="HL80" i="14"/>
  <c r="HD83" i="14"/>
  <c r="HD84" i="14"/>
  <c r="GV86" i="14"/>
  <c r="GV92" i="14"/>
  <c r="HL92" i="14"/>
  <c r="HD94" i="14"/>
  <c r="HD95" i="14"/>
  <c r="GV97" i="14"/>
  <c r="HL97" i="14"/>
  <c r="GV98" i="14"/>
  <c r="HL98" i="14"/>
  <c r="GV101" i="14"/>
  <c r="HL101" i="14"/>
  <c r="GV102" i="14"/>
  <c r="HL61" i="14"/>
  <c r="GV68" i="14"/>
  <c r="HL68" i="14"/>
  <c r="HL74" i="14"/>
  <c r="HD88" i="14"/>
  <c r="HD89" i="14"/>
  <c r="GV99" i="14"/>
  <c r="HL99" i="14"/>
  <c r="GV100" i="14"/>
  <c r="HL100" i="14"/>
  <c r="HD63" i="14"/>
  <c r="HD64" i="14"/>
  <c r="HD65" i="14"/>
  <c r="GV67" i="14"/>
  <c r="HL67" i="14"/>
  <c r="GV69" i="14"/>
  <c r="HL69" i="14"/>
  <c r="HL70" i="14"/>
  <c r="GV71" i="14"/>
  <c r="HL71" i="14"/>
  <c r="GV72" i="14"/>
  <c r="HL72" i="14"/>
  <c r="GV73" i="14"/>
  <c r="HL73" i="14"/>
  <c r="HD76" i="14"/>
  <c r="HD82" i="14"/>
  <c r="HD85" i="14"/>
  <c r="HD91" i="14"/>
  <c r="GV66" i="14"/>
  <c r="HL66" i="14"/>
  <c r="HD78" i="14"/>
  <c r="HD79" i="14"/>
  <c r="HD80" i="14"/>
  <c r="GV83" i="14"/>
  <c r="HL83" i="14"/>
  <c r="GV84" i="14"/>
  <c r="HL84" i="14"/>
  <c r="HD86" i="14"/>
  <c r="HD92" i="14"/>
  <c r="GV95" i="14"/>
  <c r="HD104" i="14"/>
  <c r="HD105" i="14"/>
  <c r="HD106" i="14"/>
  <c r="HD112" i="14"/>
  <c r="GV117" i="14"/>
  <c r="HL117" i="14"/>
  <c r="HD119" i="14"/>
  <c r="HD120" i="14"/>
  <c r="GV125" i="14"/>
  <c r="HL125" i="14"/>
  <c r="GV126" i="14"/>
  <c r="HL126" i="14"/>
  <c r="GV127" i="14"/>
  <c r="HL127" i="14"/>
  <c r="GV70" i="14"/>
  <c r="HD90" i="14"/>
  <c r="HD103" i="14"/>
  <c r="HD107" i="14"/>
  <c r="HD111" i="14"/>
  <c r="HD118" i="14"/>
  <c r="GV122" i="14"/>
  <c r="HL122" i="14"/>
  <c r="GV128" i="14"/>
  <c r="HL128" i="14"/>
  <c r="GV129" i="14"/>
  <c r="HL129" i="14"/>
  <c r="HD131" i="14"/>
  <c r="HD132" i="14"/>
  <c r="HD136" i="14"/>
  <c r="HD62" i="14"/>
  <c r="GV93" i="14"/>
  <c r="GV94" i="14"/>
  <c r="HD98" i="14"/>
  <c r="HD109" i="14"/>
  <c r="HD110" i="14"/>
  <c r="GV113" i="14"/>
  <c r="HL113" i="14"/>
  <c r="GV114" i="14"/>
  <c r="HL114" i="14"/>
  <c r="GV115" i="14"/>
  <c r="HL115" i="14"/>
  <c r="HD133" i="14"/>
  <c r="HD75" i="14"/>
  <c r="HD87" i="14"/>
  <c r="HL95" i="14"/>
  <c r="GV104" i="14"/>
  <c r="HD108" i="14"/>
  <c r="HD116" i="14"/>
  <c r="GV121" i="14"/>
  <c r="HL121" i="14"/>
  <c r="HD123" i="14"/>
  <c r="HD124" i="14"/>
  <c r="HD130" i="14"/>
  <c r="GV137" i="14"/>
  <c r="HL137" i="14"/>
  <c r="GV96" i="14"/>
  <c r="HD97" i="14"/>
  <c r="HD101" i="14"/>
  <c r="HL104" i="14"/>
  <c r="GV105" i="14"/>
  <c r="HL105" i="14"/>
  <c r="GV106" i="14"/>
  <c r="HL106" i="14"/>
  <c r="GV112" i="14"/>
  <c r="HL112" i="14"/>
  <c r="HD117" i="14"/>
  <c r="GV119" i="14"/>
  <c r="HL119" i="14"/>
  <c r="GV120" i="14"/>
  <c r="HL120" i="14"/>
  <c r="HD125" i="14"/>
  <c r="HD77" i="14"/>
  <c r="HD81" i="14"/>
  <c r="HL96" i="14"/>
  <c r="GV108" i="14"/>
  <c r="HL108" i="14"/>
  <c r="GV116" i="14"/>
  <c r="HL116" i="14"/>
  <c r="HD121" i="14"/>
  <c r="GV123" i="14"/>
  <c r="HL123" i="14"/>
  <c r="GV124" i="14"/>
  <c r="HL124" i="14"/>
  <c r="HL93" i="14"/>
  <c r="GV107" i="14"/>
  <c r="GV111" i="14"/>
  <c r="HL130" i="14"/>
  <c r="HL134" i="14"/>
  <c r="GV140" i="14"/>
  <c r="HL140" i="14"/>
  <c r="GV147" i="14"/>
  <c r="HD149" i="14"/>
  <c r="HD151" i="14"/>
  <c r="GV153" i="14"/>
  <c r="HL153" i="14"/>
  <c r="GV154" i="14"/>
  <c r="HL60" i="14"/>
  <c r="GV109" i="14"/>
  <c r="HD113" i="14"/>
  <c r="HD115" i="14"/>
  <c r="GV138" i="14"/>
  <c r="HL139" i="14"/>
  <c r="HL146" i="14"/>
  <c r="HD148" i="14"/>
  <c r="HL152" i="14"/>
  <c r="HD157" i="14"/>
  <c r="HD114" i="14"/>
  <c r="HL94" i="14"/>
  <c r="HL107" i="14"/>
  <c r="HL111" i="14"/>
  <c r="GV118" i="14"/>
  <c r="HD122" i="14"/>
  <c r="GV131" i="14"/>
  <c r="GV132" i="14"/>
  <c r="HL135" i="14"/>
  <c r="HD137" i="14"/>
  <c r="GV139" i="14"/>
  <c r="HD143" i="14"/>
  <c r="HL144" i="14"/>
  <c r="HL145" i="14"/>
  <c r="GV146" i="14"/>
  <c r="HD150" i="14"/>
  <c r="GV152" i="14"/>
  <c r="HD155" i="14"/>
  <c r="HD156" i="14"/>
  <c r="HD127" i="14"/>
  <c r="GV135" i="14"/>
  <c r="HL109" i="14"/>
  <c r="GV133" i="14"/>
  <c r="GV134" i="14"/>
  <c r="HL136" i="14"/>
  <c r="HL138" i="14"/>
  <c r="HD141" i="14"/>
  <c r="HD142" i="14"/>
  <c r="GV144" i="14"/>
  <c r="GV145" i="14"/>
  <c r="GV158" i="14"/>
  <c r="HL158" i="14"/>
  <c r="GV159" i="14"/>
  <c r="HL159" i="14"/>
  <c r="GV160" i="14"/>
  <c r="HL160" i="14"/>
  <c r="GV60" i="14"/>
  <c r="HD126" i="14"/>
  <c r="HD134" i="14"/>
  <c r="HL118" i="14"/>
  <c r="GV130" i="14"/>
  <c r="HD140" i="14"/>
  <c r="HD147" i="14"/>
  <c r="GV149" i="14"/>
  <c r="HL149" i="14"/>
  <c r="GV151" i="14"/>
  <c r="HL151" i="14"/>
  <c r="HD153" i="14"/>
  <c r="HD154" i="14"/>
  <c r="HL110" i="14"/>
  <c r="HL133" i="14"/>
  <c r="HD135" i="14"/>
  <c r="HD138" i="14"/>
  <c r="GV141" i="14"/>
  <c r="HL141" i="14"/>
  <c r="GV142" i="14"/>
  <c r="HL142" i="14"/>
  <c r="HD144" i="14"/>
  <c r="HD145" i="14"/>
  <c r="HL147" i="14"/>
  <c r="HL154" i="14"/>
  <c r="HD158" i="14"/>
  <c r="HD159" i="14"/>
  <c r="HD160" i="14"/>
  <c r="GV110" i="14"/>
  <c r="HL143" i="14"/>
  <c r="HL157" i="14"/>
  <c r="HL132" i="14"/>
  <c r="HD152" i="14"/>
  <c r="HD128" i="14"/>
  <c r="GV136" i="14"/>
  <c r="HL155" i="14"/>
  <c r="GV156" i="14"/>
  <c r="GV143" i="14"/>
  <c r="GV150" i="14"/>
  <c r="HL150" i="14"/>
  <c r="HD129" i="14"/>
  <c r="HL156" i="14"/>
  <c r="HD139" i="14"/>
  <c r="HL148" i="14"/>
  <c r="GV157" i="14"/>
  <c r="HD146" i="14"/>
  <c r="HD102" i="14"/>
  <c r="HL131" i="14"/>
  <c r="GV155" i="14"/>
  <c r="GV148" i="14"/>
  <c r="HG62" i="14"/>
  <c r="HG63" i="14"/>
  <c r="HG64" i="14"/>
  <c r="HG65" i="14"/>
  <c r="GY67" i="14"/>
  <c r="HO67" i="14"/>
  <c r="GY69" i="14"/>
  <c r="HO69" i="14"/>
  <c r="HO70" i="14"/>
  <c r="GY71" i="14"/>
  <c r="HO71" i="14"/>
  <c r="GY72" i="14"/>
  <c r="HO72" i="14"/>
  <c r="GY73" i="14"/>
  <c r="HO73" i="14"/>
  <c r="HG76" i="14"/>
  <c r="HG85" i="14"/>
  <c r="HG91" i="14"/>
  <c r="GY93" i="14"/>
  <c r="HO93" i="14"/>
  <c r="GY96" i="14"/>
  <c r="HO96" i="14"/>
  <c r="GY70" i="14"/>
  <c r="HG75" i="14"/>
  <c r="HG77" i="14"/>
  <c r="HG81" i="14"/>
  <c r="HG86" i="14"/>
  <c r="HG87" i="14"/>
  <c r="HG90" i="14"/>
  <c r="GY66" i="14"/>
  <c r="HO66" i="14"/>
  <c r="HG78" i="14"/>
  <c r="HG79" i="14"/>
  <c r="HG80" i="14"/>
  <c r="HO82" i="14"/>
  <c r="GY83" i="14"/>
  <c r="HO83" i="14"/>
  <c r="GY84" i="14"/>
  <c r="HO84" i="14"/>
  <c r="HG92" i="14"/>
  <c r="GY94" i="14"/>
  <c r="HO94" i="14"/>
  <c r="GY95" i="14"/>
  <c r="HO95" i="14"/>
  <c r="HG97" i="14"/>
  <c r="HG98" i="14"/>
  <c r="HG101" i="14"/>
  <c r="HG61" i="14"/>
  <c r="HG68" i="14"/>
  <c r="HG74" i="14"/>
  <c r="GY82" i="14"/>
  <c r="GY88" i="14"/>
  <c r="HO88" i="14"/>
  <c r="GY89" i="14"/>
  <c r="HO89" i="14"/>
  <c r="HG99" i="14"/>
  <c r="HG100" i="14"/>
  <c r="HO62" i="14"/>
  <c r="GY63" i="14"/>
  <c r="HO63" i="14"/>
  <c r="GY64" i="14"/>
  <c r="HO64" i="14"/>
  <c r="GY65" i="14"/>
  <c r="HO65" i="14"/>
  <c r="HG67" i="14"/>
  <c r="HG69" i="14"/>
  <c r="HG70" i="14"/>
  <c r="HG71" i="14"/>
  <c r="HG72" i="14"/>
  <c r="HG73" i="14"/>
  <c r="GY76" i="14"/>
  <c r="HO76" i="14"/>
  <c r="GY85" i="14"/>
  <c r="HO85" i="14"/>
  <c r="HO86" i="14"/>
  <c r="HO87" i="14"/>
  <c r="GY91" i="14"/>
  <c r="HO91" i="14"/>
  <c r="HG93" i="14"/>
  <c r="HG96" i="14"/>
  <c r="GY62" i="14"/>
  <c r="GY75" i="14"/>
  <c r="HO75" i="14"/>
  <c r="GY77" i="14"/>
  <c r="HO77" i="14"/>
  <c r="HO80" i="14"/>
  <c r="GY81" i="14"/>
  <c r="HO81" i="14"/>
  <c r="GY87" i="14"/>
  <c r="GY90" i="14"/>
  <c r="HO90" i="14"/>
  <c r="HO61" i="14"/>
  <c r="GY68" i="14"/>
  <c r="HO68" i="14"/>
  <c r="HO74" i="14"/>
  <c r="HG82" i="14"/>
  <c r="HG88" i="14"/>
  <c r="HG89" i="14"/>
  <c r="GY61" i="14"/>
  <c r="HO92" i="14"/>
  <c r="GY99" i="14"/>
  <c r="GY103" i="14"/>
  <c r="GY107" i="14"/>
  <c r="HO107" i="14"/>
  <c r="HO110" i="14"/>
  <c r="GY111" i="14"/>
  <c r="HO111" i="14"/>
  <c r="GY118" i="14"/>
  <c r="HO118" i="14"/>
  <c r="HG122" i="14"/>
  <c r="HG128" i="14"/>
  <c r="HG129" i="14"/>
  <c r="GY131" i="14"/>
  <c r="HO131" i="14"/>
  <c r="GY132" i="14"/>
  <c r="HO132" i="14"/>
  <c r="GY136" i="14"/>
  <c r="GY74" i="14"/>
  <c r="GY78" i="14"/>
  <c r="GY86" i="14"/>
  <c r="GY98" i="14"/>
  <c r="HO100" i="14"/>
  <c r="HO102" i="14"/>
  <c r="HO108" i="14"/>
  <c r="GY109" i="14"/>
  <c r="HO109" i="14"/>
  <c r="GY110" i="14"/>
  <c r="HG113" i="14"/>
  <c r="HG114" i="14"/>
  <c r="HG115" i="14"/>
  <c r="GY133" i="14"/>
  <c r="HO133" i="14"/>
  <c r="GY134" i="14"/>
  <c r="HO134" i="14"/>
  <c r="GY135" i="14"/>
  <c r="HO135" i="14"/>
  <c r="HG66" i="14"/>
  <c r="HO78" i="14"/>
  <c r="HG95" i="14"/>
  <c r="GY108" i="14"/>
  <c r="GY116" i="14"/>
  <c r="HO116" i="14"/>
  <c r="HO117" i="14"/>
  <c r="HG121" i="14"/>
  <c r="GY123" i="14"/>
  <c r="HO123" i="14"/>
  <c r="GY124" i="14"/>
  <c r="HO124" i="14"/>
  <c r="GY130" i="14"/>
  <c r="HO130" i="14"/>
  <c r="GY79" i="14"/>
  <c r="HG83" i="14"/>
  <c r="GY97" i="14"/>
  <c r="HO99" i="14"/>
  <c r="GY101" i="14"/>
  <c r="HG104" i="14"/>
  <c r="HG105" i="14"/>
  <c r="HG106" i="14"/>
  <c r="HG112" i="14"/>
  <c r="GY117" i="14"/>
  <c r="HG119" i="14"/>
  <c r="HG120" i="14"/>
  <c r="GY125" i="14"/>
  <c r="HO125" i="14"/>
  <c r="GY126" i="14"/>
  <c r="HO126" i="14"/>
  <c r="GY127" i="14"/>
  <c r="HO127" i="14"/>
  <c r="HO79" i="14"/>
  <c r="HG94" i="14"/>
  <c r="HO98" i="14"/>
  <c r="GY102" i="14"/>
  <c r="HG103" i="14"/>
  <c r="HG107" i="14"/>
  <c r="HG111" i="14"/>
  <c r="HO115" i="14"/>
  <c r="HG118" i="14"/>
  <c r="GY122" i="14"/>
  <c r="HO122" i="14"/>
  <c r="HO101" i="14"/>
  <c r="HO103" i="14"/>
  <c r="HO104" i="14"/>
  <c r="GY105" i="14"/>
  <c r="HO105" i="14"/>
  <c r="GY106" i="14"/>
  <c r="HO106" i="14"/>
  <c r="GY112" i="14"/>
  <c r="HO112" i="14"/>
  <c r="HG117" i="14"/>
  <c r="GY119" i="14"/>
  <c r="HO119" i="14"/>
  <c r="GY120" i="14"/>
  <c r="GY80" i="14"/>
  <c r="GY113" i="14"/>
  <c r="GY115" i="14"/>
  <c r="HG125" i="14"/>
  <c r="HG126" i="14"/>
  <c r="HG127" i="14"/>
  <c r="HG139" i="14"/>
  <c r="HG146" i="14"/>
  <c r="GY148" i="14"/>
  <c r="HO148" i="14"/>
  <c r="HO150" i="14"/>
  <c r="HG152" i="14"/>
  <c r="GY157" i="14"/>
  <c r="HO157" i="14"/>
  <c r="HG132" i="14"/>
  <c r="HO136" i="14"/>
  <c r="GY139" i="14"/>
  <c r="HO121" i="14"/>
  <c r="HO128" i="14"/>
  <c r="HO129" i="14"/>
  <c r="HG135" i="14"/>
  <c r="GY137" i="14"/>
  <c r="GY143" i="14"/>
  <c r="HG144" i="14"/>
  <c r="HG145" i="14"/>
  <c r="HO147" i="14"/>
  <c r="GY150" i="14"/>
  <c r="GY155" i="14"/>
  <c r="HO155" i="14"/>
  <c r="GY156" i="14"/>
  <c r="HO156" i="14"/>
  <c r="GY60" i="14"/>
  <c r="HO120" i="14"/>
  <c r="HG84" i="14"/>
  <c r="HG109" i="14"/>
  <c r="HO113" i="14"/>
  <c r="HG136" i="14"/>
  <c r="HG138" i="14"/>
  <c r="GY141" i="14"/>
  <c r="HO141" i="14"/>
  <c r="GY142" i="14"/>
  <c r="HO142" i="14"/>
  <c r="HO154" i="14"/>
  <c r="HG158" i="14"/>
  <c r="HG159" i="14"/>
  <c r="HG160" i="14"/>
  <c r="GY104" i="14"/>
  <c r="GY100" i="14"/>
  <c r="HG124" i="14"/>
  <c r="HG137" i="14"/>
  <c r="GY140" i="14"/>
  <c r="HO140" i="14"/>
  <c r="GY147" i="14"/>
  <c r="HG149" i="14"/>
  <c r="HG151" i="14"/>
  <c r="GY153" i="14"/>
  <c r="HO153" i="14"/>
  <c r="GY154" i="14"/>
  <c r="HG131" i="14"/>
  <c r="GY114" i="14"/>
  <c r="GY138" i="14"/>
  <c r="HO139" i="14"/>
  <c r="HG143" i="14"/>
  <c r="HO146" i="14"/>
  <c r="HG148" i="14"/>
  <c r="HG150" i="14"/>
  <c r="HO152" i="14"/>
  <c r="HG157" i="14"/>
  <c r="GY128" i="14"/>
  <c r="GY92" i="14"/>
  <c r="HO97" i="14"/>
  <c r="HG102" i="14"/>
  <c r="HG108" i="14"/>
  <c r="GY121" i="14"/>
  <c r="HG123" i="14"/>
  <c r="HG130" i="14"/>
  <c r="HG134" i="14"/>
  <c r="HG140" i="14"/>
  <c r="HO143" i="14"/>
  <c r="GY149" i="14"/>
  <c r="HO149" i="14"/>
  <c r="GY151" i="14"/>
  <c r="HO151" i="14"/>
  <c r="HG153" i="14"/>
  <c r="HG116" i="14"/>
  <c r="GY129" i="14"/>
  <c r="HO144" i="14"/>
  <c r="HG155" i="14"/>
  <c r="GY145" i="14"/>
  <c r="HG142" i="14"/>
  <c r="HG156" i="14"/>
  <c r="HO138" i="14"/>
  <c r="HO114" i="14"/>
  <c r="HO159" i="14"/>
  <c r="GY160" i="14"/>
  <c r="HO158" i="14"/>
  <c r="HG141" i="14"/>
  <c r="GY159" i="14"/>
  <c r="HO137" i="14"/>
  <c r="HG147" i="14"/>
  <c r="GY158" i="14"/>
  <c r="HO145" i="14"/>
  <c r="GY152" i="14"/>
  <c r="HG154" i="14"/>
  <c r="HO160" i="14"/>
  <c r="HG133" i="14"/>
  <c r="GY146" i="14"/>
  <c r="GY144" i="14"/>
  <c r="HG110" i="14"/>
  <c r="HD60" i="14"/>
  <c r="EL62" i="14"/>
  <c r="EL65" i="14"/>
  <c r="ET66" i="14"/>
  <c r="EL67" i="14"/>
  <c r="FB72" i="14"/>
  <c r="ET84" i="14"/>
  <c r="FB85" i="14"/>
  <c r="EL86" i="14"/>
  <c r="ET87" i="14"/>
  <c r="FB91" i="14"/>
  <c r="FB97" i="14"/>
  <c r="FB99" i="14"/>
  <c r="FB103" i="14"/>
  <c r="ET104" i="14"/>
  <c r="EL106" i="14"/>
  <c r="EL109" i="14"/>
  <c r="ET110" i="14"/>
  <c r="EL111" i="14"/>
  <c r="EL61" i="14"/>
  <c r="FB64" i="14"/>
  <c r="FB68" i="14"/>
  <c r="ET71" i="14"/>
  <c r="ET73" i="14"/>
  <c r="EL77" i="14"/>
  <c r="EL78" i="14"/>
  <c r="EL81" i="14"/>
  <c r="ET82" i="14"/>
  <c r="EL83" i="14"/>
  <c r="FB89" i="14"/>
  <c r="ET92" i="14"/>
  <c r="EL94" i="14"/>
  <c r="ET95" i="14"/>
  <c r="FB96" i="14"/>
  <c r="ET100" i="14"/>
  <c r="FB101" i="14"/>
  <c r="FB102" i="14"/>
  <c r="EL108" i="14"/>
  <c r="ET63" i="14"/>
  <c r="ET69" i="14"/>
  <c r="ET70" i="14"/>
  <c r="EL72" i="14"/>
  <c r="FB74" i="14"/>
  <c r="ET75" i="14"/>
  <c r="FB76" i="14"/>
  <c r="ET79" i="14"/>
  <c r="FB80" i="14"/>
  <c r="EL85" i="14"/>
  <c r="FB88" i="14"/>
  <c r="ET90" i="14"/>
  <c r="EL91" i="14"/>
  <c r="FB93" i="14"/>
  <c r="EL97" i="14"/>
  <c r="ET98" i="14"/>
  <c r="EL99" i="14"/>
  <c r="EL102" i="14"/>
  <c r="EL103" i="14"/>
  <c r="FB105" i="14"/>
  <c r="FB107" i="14"/>
  <c r="ET62" i="14"/>
  <c r="EL64" i="14"/>
  <c r="ET65" i="14"/>
  <c r="FB66" i="14"/>
  <c r="ET67" i="14"/>
  <c r="EL68" i="14"/>
  <c r="FB84" i="14"/>
  <c r="ET86" i="14"/>
  <c r="FB87" i="14"/>
  <c r="EL89" i="14"/>
  <c r="ET61" i="14"/>
  <c r="FB71" i="14"/>
  <c r="FB73" i="14"/>
  <c r="EL74" i="14"/>
  <c r="EL76" i="14"/>
  <c r="ET77" i="14"/>
  <c r="ET78" i="14"/>
  <c r="EL80" i="14"/>
  <c r="ET81" i="14"/>
  <c r="FB82" i="14"/>
  <c r="ET83" i="14"/>
  <c r="EL88" i="14"/>
  <c r="FB92" i="14"/>
  <c r="EL93" i="14"/>
  <c r="ET94" i="14"/>
  <c r="FB95" i="14"/>
  <c r="FB100" i="14"/>
  <c r="EL105" i="14"/>
  <c r="EL107" i="14"/>
  <c r="ET108" i="14"/>
  <c r="EL63" i="14"/>
  <c r="EL69" i="14"/>
  <c r="EL70" i="14"/>
  <c r="ET74" i="14"/>
  <c r="EL75" i="14"/>
  <c r="ET76" i="14"/>
  <c r="FB77" i="14"/>
  <c r="FB78" i="14"/>
  <c r="EL79" i="14"/>
  <c r="ET80" i="14"/>
  <c r="FB81" i="14"/>
  <c r="FB83" i="14"/>
  <c r="ET88" i="14"/>
  <c r="EL90" i="14"/>
  <c r="ET72" i="14"/>
  <c r="FB79" i="14"/>
  <c r="EL87" i="14"/>
  <c r="EL95" i="14"/>
  <c r="ET96" i="14"/>
  <c r="EL100" i="14"/>
  <c r="ET101" i="14"/>
  <c r="FB109" i="14"/>
  <c r="EL115" i="14"/>
  <c r="ET116" i="14"/>
  <c r="ET119" i="14"/>
  <c r="FB120" i="14"/>
  <c r="EL122" i="14"/>
  <c r="EL129" i="14"/>
  <c r="EL131" i="14"/>
  <c r="ET132" i="14"/>
  <c r="FB134" i="14"/>
  <c r="EL136" i="14"/>
  <c r="FB138" i="14"/>
  <c r="EL141" i="14"/>
  <c r="EL142" i="14"/>
  <c r="EL143" i="14"/>
  <c r="ET144" i="14"/>
  <c r="FB145" i="14"/>
  <c r="ET146" i="14"/>
  <c r="ET147" i="14"/>
  <c r="ET148" i="14"/>
  <c r="ET156" i="14"/>
  <c r="EL157" i="14"/>
  <c r="ET160" i="14"/>
  <c r="FB147" i="14"/>
  <c r="FB61" i="14"/>
  <c r="EL71" i="14"/>
  <c r="EL98" i="14"/>
  <c r="EL116" i="14"/>
  <c r="ET120" i="14"/>
  <c r="ET145" i="14"/>
  <c r="EL148" i="14"/>
  <c r="EL84" i="14"/>
  <c r="ET109" i="14"/>
  <c r="FB115" i="14"/>
  <c r="ET124" i="14"/>
  <c r="FB62" i="14"/>
  <c r="FB67" i="14"/>
  <c r="EL82" i="14"/>
  <c r="ET89" i="14"/>
  <c r="ET91" i="14"/>
  <c r="ET107" i="14"/>
  <c r="FB108" i="14"/>
  <c r="FB117" i="14"/>
  <c r="EL118" i="14"/>
  <c r="EL121" i="14"/>
  <c r="FB124" i="14"/>
  <c r="ET126" i="14"/>
  <c r="FB128" i="14"/>
  <c r="FB133" i="14"/>
  <c r="FB135" i="14"/>
  <c r="FB149" i="14"/>
  <c r="ET150" i="14"/>
  <c r="EL152" i="14"/>
  <c r="ET153" i="14"/>
  <c r="FB148" i="14"/>
  <c r="ET157" i="14"/>
  <c r="FB160" i="14"/>
  <c r="EL154" i="14"/>
  <c r="FB94" i="14"/>
  <c r="ET138" i="14"/>
  <c r="FB139" i="14"/>
  <c r="EL147" i="14"/>
  <c r="EL160" i="14"/>
  <c r="EL96" i="14"/>
  <c r="FB70" i="14"/>
  <c r="FB75" i="14"/>
  <c r="ET85" i="14"/>
  <c r="ET106" i="14"/>
  <c r="ET112" i="14"/>
  <c r="ET113" i="14"/>
  <c r="FB114" i="14"/>
  <c r="EL120" i="14"/>
  <c r="FB123" i="14"/>
  <c r="ET125" i="14"/>
  <c r="FB127" i="14"/>
  <c r="ET130" i="14"/>
  <c r="EL134" i="14"/>
  <c r="FB137" i="14"/>
  <c r="EL138" i="14"/>
  <c r="ET139" i="14"/>
  <c r="FB140" i="14"/>
  <c r="EL145" i="14"/>
  <c r="FB151" i="14"/>
  <c r="FB154" i="14"/>
  <c r="ET155" i="14"/>
  <c r="FB158" i="14"/>
  <c r="FB159" i="14"/>
  <c r="FB156" i="14"/>
  <c r="EL159" i="14"/>
  <c r="ET93" i="14"/>
  <c r="FB125" i="14"/>
  <c r="ET134" i="14"/>
  <c r="FB155" i="14"/>
  <c r="FB90" i="14"/>
  <c r="FB104" i="14"/>
  <c r="FB110" i="14"/>
  <c r="ET117" i="14"/>
  <c r="FB122" i="14"/>
  <c r="FB65" i="14"/>
  <c r="ET68" i="14"/>
  <c r="EL73" i="14"/>
  <c r="ET99" i="14"/>
  <c r="EL104" i="14"/>
  <c r="EL110" i="14"/>
  <c r="ET115" i="14"/>
  <c r="FB116" i="14"/>
  <c r="EL117" i="14"/>
  <c r="FB119" i="14"/>
  <c r="ET122" i="14"/>
  <c r="EL124" i="14"/>
  <c r="EL128" i="14"/>
  <c r="ET129" i="14"/>
  <c r="ET131" i="14"/>
  <c r="FB132" i="14"/>
  <c r="EL133" i="14"/>
  <c r="EL135" i="14"/>
  <c r="ET136" i="14"/>
  <c r="ET141" i="14"/>
  <c r="ET142" i="14"/>
  <c r="ET143" i="14"/>
  <c r="FB144" i="14"/>
  <c r="FB146" i="14"/>
  <c r="EL149" i="14"/>
  <c r="ET105" i="14"/>
  <c r="FB63" i="14"/>
  <c r="EL66" i="14"/>
  <c r="FB106" i="14"/>
  <c r="ET111" i="14"/>
  <c r="EL114" i="14"/>
  <c r="ET118" i="14"/>
  <c r="ET121" i="14"/>
  <c r="EL123" i="14"/>
  <c r="FB126" i="14"/>
  <c r="EL127" i="14"/>
  <c r="EL137" i="14"/>
  <c r="EL140" i="14"/>
  <c r="FB150" i="14"/>
  <c r="EL151" i="14"/>
  <c r="ET152" i="14"/>
  <c r="FB153" i="14"/>
  <c r="FB113" i="14"/>
  <c r="EL119" i="14"/>
  <c r="EL146" i="14"/>
  <c r="FB69" i="14"/>
  <c r="ET64" i="14"/>
  <c r="FB86" i="14"/>
  <c r="ET97" i="14"/>
  <c r="FB98" i="14"/>
  <c r="ET102" i="14"/>
  <c r="ET103" i="14"/>
  <c r="FB111" i="14"/>
  <c r="EL112" i="14"/>
  <c r="EL113" i="14"/>
  <c r="ET114" i="14"/>
  <c r="FB118" i="14"/>
  <c r="FB121" i="14"/>
  <c r="ET123" i="14"/>
  <c r="EL125" i="14"/>
  <c r="ET127" i="14"/>
  <c r="EL130" i="14"/>
  <c r="ET137" i="14"/>
  <c r="EL139" i="14"/>
  <c r="ET140" i="14"/>
  <c r="FB142" i="14"/>
  <c r="ET151" i="14"/>
  <c r="FB152" i="14"/>
  <c r="ET154" i="14"/>
  <c r="EL155" i="14"/>
  <c r="ET158" i="14"/>
  <c r="ET159" i="14"/>
  <c r="EL158" i="14"/>
  <c r="EL92" i="14"/>
  <c r="FB112" i="14"/>
  <c r="EL132" i="14"/>
  <c r="EL144" i="14"/>
  <c r="EL156" i="14"/>
  <c r="EL101" i="14"/>
  <c r="EL126" i="14"/>
  <c r="FB130" i="14"/>
  <c r="EL150" i="14"/>
  <c r="FB141" i="14"/>
  <c r="ET128" i="14"/>
  <c r="ET133" i="14"/>
  <c r="FB129" i="14"/>
  <c r="FB143" i="14"/>
  <c r="ET135" i="14"/>
  <c r="ET149" i="14"/>
  <c r="FB136" i="14"/>
  <c r="EL153" i="14"/>
  <c r="FB131" i="14"/>
  <c r="FB157" i="14"/>
  <c r="HO60" i="14"/>
  <c r="HG60" i="14"/>
  <c r="FE61" i="14"/>
  <c r="FE62" i="14"/>
  <c r="EW64" i="14"/>
  <c r="FE65" i="14"/>
  <c r="FE67" i="14"/>
  <c r="EW68" i="14"/>
  <c r="EO71" i="14"/>
  <c r="EO73" i="14"/>
  <c r="EO82" i="14"/>
  <c r="FE86" i="14"/>
  <c r="EW89" i="14"/>
  <c r="EO92" i="14"/>
  <c r="EO95" i="14"/>
  <c r="EW96" i="14"/>
  <c r="EO100" i="14"/>
  <c r="EW101" i="14"/>
  <c r="EW102" i="14"/>
  <c r="FE106" i="14"/>
  <c r="FE109" i="14"/>
  <c r="EO63" i="14"/>
  <c r="EO69" i="14"/>
  <c r="EO70" i="14"/>
  <c r="EW74" i="14"/>
  <c r="EO75" i="14"/>
  <c r="EW76" i="14"/>
  <c r="FE77" i="14"/>
  <c r="FE78" i="14"/>
  <c r="EO79" i="14"/>
  <c r="EW80" i="14"/>
  <c r="FE81" i="14"/>
  <c r="FE83" i="14"/>
  <c r="EW88" i="14"/>
  <c r="EO90" i="14"/>
  <c r="EW93" i="14"/>
  <c r="FE94" i="14"/>
  <c r="EO98" i="14"/>
  <c r="EW105" i="14"/>
  <c r="EW107" i="14"/>
  <c r="FE108" i="14"/>
  <c r="EO62" i="14"/>
  <c r="EO65" i="14"/>
  <c r="EW66" i="14"/>
  <c r="EO67" i="14"/>
  <c r="FE72" i="14"/>
  <c r="EW84" i="14"/>
  <c r="FE85" i="14"/>
  <c r="EO86" i="14"/>
  <c r="EW87" i="14"/>
  <c r="FE91" i="14"/>
  <c r="FE97" i="14"/>
  <c r="FE99" i="14"/>
  <c r="FE103" i="14"/>
  <c r="EW104" i="14"/>
  <c r="EO106" i="14"/>
  <c r="EO109" i="14"/>
  <c r="EW110" i="14"/>
  <c r="EO61" i="14"/>
  <c r="FE64" i="14"/>
  <c r="FE68" i="14"/>
  <c r="EW71" i="14"/>
  <c r="EW73" i="14"/>
  <c r="EO77" i="14"/>
  <c r="EO78" i="14"/>
  <c r="EO81" i="14"/>
  <c r="EW82" i="14"/>
  <c r="EO83" i="14"/>
  <c r="EW63" i="14"/>
  <c r="EW69" i="14"/>
  <c r="EW70" i="14"/>
  <c r="EO72" i="14"/>
  <c r="FE74" i="14"/>
  <c r="EW75" i="14"/>
  <c r="FE76" i="14"/>
  <c r="EW79" i="14"/>
  <c r="FE80" i="14"/>
  <c r="EO85" i="14"/>
  <c r="FE88" i="14"/>
  <c r="EW90" i="14"/>
  <c r="EO91" i="14"/>
  <c r="FE93" i="14"/>
  <c r="EO97" i="14"/>
  <c r="EW98" i="14"/>
  <c r="EO99" i="14"/>
  <c r="EO102" i="14"/>
  <c r="EO103" i="14"/>
  <c r="FE105" i="14"/>
  <c r="FE107" i="14"/>
  <c r="FE63" i="14"/>
  <c r="EO66" i="14"/>
  <c r="FE69" i="14"/>
  <c r="FE70" i="14"/>
  <c r="EW72" i="14"/>
  <c r="FE75" i="14"/>
  <c r="FE79" i="14"/>
  <c r="EO84" i="14"/>
  <c r="EW85" i="14"/>
  <c r="EO87" i="14"/>
  <c r="FE90" i="14"/>
  <c r="EW91" i="14"/>
  <c r="EW62" i="14"/>
  <c r="EW67" i="14"/>
  <c r="FE84" i="14"/>
  <c r="EO89" i="14"/>
  <c r="FE92" i="14"/>
  <c r="EO107" i="14"/>
  <c r="EW108" i="14"/>
  <c r="FE115" i="14"/>
  <c r="EW117" i="14"/>
  <c r="FE122" i="14"/>
  <c r="EW124" i="14"/>
  <c r="EO126" i="14"/>
  <c r="EW128" i="14"/>
  <c r="FE129" i="14"/>
  <c r="FE131" i="14"/>
  <c r="EW133" i="14"/>
  <c r="EW135" i="14"/>
  <c r="FE136" i="14"/>
  <c r="FE141" i="14"/>
  <c r="FE143" i="14"/>
  <c r="EW149" i="14"/>
  <c r="EO150" i="14"/>
  <c r="EO153" i="14"/>
  <c r="FE157" i="14"/>
  <c r="EW150" i="14"/>
  <c r="FE154" i="14"/>
  <c r="FE158" i="14"/>
  <c r="EW78" i="14"/>
  <c r="EO104" i="14"/>
  <c r="EW136" i="14"/>
  <c r="FE160" i="14"/>
  <c r="FE66" i="14"/>
  <c r="EW92" i="14"/>
  <c r="EW77" i="14"/>
  <c r="EW97" i="14"/>
  <c r="FE98" i="14"/>
  <c r="EW103" i="14"/>
  <c r="FE111" i="14"/>
  <c r="EO112" i="14"/>
  <c r="EO113" i="14"/>
  <c r="EW114" i="14"/>
  <c r="FE118" i="14"/>
  <c r="FE121" i="14"/>
  <c r="EW123" i="14"/>
  <c r="EO125" i="14"/>
  <c r="EW127" i="14"/>
  <c r="EO130" i="14"/>
  <c r="FE130" i="14"/>
  <c r="EW137" i="14"/>
  <c r="EO139" i="14"/>
  <c r="EW140" i="14"/>
  <c r="FE142" i="14"/>
  <c r="EW151" i="14"/>
  <c r="FE152" i="14"/>
  <c r="EW154" i="14"/>
  <c r="EO155" i="14"/>
  <c r="EW158" i="14"/>
  <c r="EW159" i="14"/>
  <c r="EO76" i="14"/>
  <c r="EW99" i="14"/>
  <c r="EO117" i="14"/>
  <c r="FE119" i="14"/>
  <c r="EO124" i="14"/>
  <c r="FE132" i="14"/>
  <c r="FE144" i="14"/>
  <c r="FE148" i="14"/>
  <c r="FE156" i="14"/>
  <c r="EW111" i="14"/>
  <c r="EO114" i="14"/>
  <c r="EO123" i="14"/>
  <c r="EW65" i="14"/>
  <c r="EO68" i="14"/>
  <c r="FE87" i="14"/>
  <c r="FE89" i="14"/>
  <c r="EO94" i="14"/>
  <c r="EW95" i="14"/>
  <c r="FE96" i="14"/>
  <c r="EW100" i="14"/>
  <c r="FE101" i="14"/>
  <c r="FE102" i="14"/>
  <c r="EO115" i="14"/>
  <c r="EW116" i="14"/>
  <c r="EW119" i="14"/>
  <c r="FE120" i="14"/>
  <c r="EO122" i="14"/>
  <c r="EO129" i="14"/>
  <c r="EO131" i="14"/>
  <c r="EW132" i="14"/>
  <c r="EO136" i="14"/>
  <c r="FE138" i="14"/>
  <c r="EO141" i="14"/>
  <c r="EO142" i="14"/>
  <c r="EO143" i="14"/>
  <c r="EW144" i="14"/>
  <c r="FE145" i="14"/>
  <c r="EW146" i="14"/>
  <c r="EW147" i="14"/>
  <c r="EW148" i="14"/>
  <c r="EW156" i="14"/>
  <c r="EO157" i="14"/>
  <c r="EW160" i="14"/>
  <c r="FE149" i="14"/>
  <c r="EW153" i="14"/>
  <c r="EW83" i="14"/>
  <c r="EO128" i="14"/>
  <c r="EW130" i="14"/>
  <c r="EW143" i="14"/>
  <c r="FE146" i="14"/>
  <c r="EO149" i="14"/>
  <c r="EO64" i="14"/>
  <c r="EO80" i="14"/>
  <c r="FE82" i="14"/>
  <c r="EW106" i="14"/>
  <c r="EO111" i="14"/>
  <c r="FE117" i="14"/>
  <c r="EO118" i="14"/>
  <c r="EO121" i="14"/>
  <c r="FE124" i="14"/>
  <c r="EW126" i="14"/>
  <c r="FE128" i="14"/>
  <c r="FE133" i="14"/>
  <c r="FE134" i="14"/>
  <c r="FE135" i="14"/>
  <c r="EO152" i="14"/>
  <c r="FE159" i="14"/>
  <c r="FE116" i="14"/>
  <c r="EO133" i="14"/>
  <c r="EW61" i="14"/>
  <c r="EO93" i="14"/>
  <c r="EW94" i="14"/>
  <c r="FE95" i="14"/>
  <c r="FE100" i="14"/>
  <c r="EO105" i="14"/>
  <c r="EW112" i="14"/>
  <c r="EW113" i="14"/>
  <c r="FE114" i="14"/>
  <c r="EO120" i="14"/>
  <c r="FE123" i="14"/>
  <c r="EW125" i="14"/>
  <c r="FE127" i="14"/>
  <c r="EO134" i="14"/>
  <c r="FE137" i="14"/>
  <c r="EO138" i="14"/>
  <c r="EW139" i="14"/>
  <c r="FE140" i="14"/>
  <c r="EO145" i="14"/>
  <c r="FE151" i="14"/>
  <c r="EW122" i="14"/>
  <c r="EW131" i="14"/>
  <c r="EW157" i="14"/>
  <c r="FE71" i="14"/>
  <c r="EO74" i="14"/>
  <c r="EW81" i="14"/>
  <c r="EO96" i="14"/>
  <c r="EO101" i="14"/>
  <c r="FE104" i="14"/>
  <c r="EW109" i="14"/>
  <c r="FE110" i="14"/>
  <c r="FE112" i="14"/>
  <c r="FE113" i="14"/>
  <c r="EO116" i="14"/>
  <c r="EO119" i="14"/>
  <c r="EW120" i="14"/>
  <c r="FE125" i="14"/>
  <c r="EO132" i="14"/>
  <c r="EW134" i="14"/>
  <c r="EW138" i="14"/>
  <c r="FE139" i="14"/>
  <c r="EO144" i="14"/>
  <c r="EW145" i="14"/>
  <c r="EO146" i="14"/>
  <c r="EO147" i="14"/>
  <c r="EO148" i="14"/>
  <c r="FE155" i="14"/>
  <c r="EO156" i="14"/>
  <c r="EO160" i="14"/>
  <c r="EW155" i="14"/>
  <c r="FE73" i="14"/>
  <c r="EO88" i="14"/>
  <c r="EO110" i="14"/>
  <c r="EW115" i="14"/>
  <c r="EW129" i="14"/>
  <c r="EO135" i="14"/>
  <c r="EW141" i="14"/>
  <c r="EW86" i="14"/>
  <c r="EO108" i="14"/>
  <c r="EW118" i="14"/>
  <c r="EW121" i="14"/>
  <c r="FE153" i="14"/>
  <c r="EW142" i="14"/>
  <c r="EW152" i="14"/>
  <c r="FE126" i="14"/>
  <c r="EO140" i="14"/>
  <c r="EO154" i="14"/>
  <c r="EO159" i="14"/>
  <c r="EO151" i="14"/>
  <c r="FE147" i="14"/>
  <c r="EO127" i="14"/>
  <c r="FE150" i="14"/>
  <c r="EO137" i="14"/>
  <c r="EO158" i="14"/>
  <c r="FB60" i="14"/>
  <c r="EL60" i="14"/>
  <c r="ET60" i="14"/>
  <c r="EW60" i="14"/>
  <c r="FE60" i="14"/>
  <c r="BI62" i="14"/>
  <c r="BA70" i="14"/>
  <c r="AS72" i="14"/>
  <c r="AS73" i="14"/>
  <c r="AS74" i="14"/>
  <c r="AS75" i="14"/>
  <c r="BI77" i="14"/>
  <c r="BI83" i="14"/>
  <c r="BI86" i="14"/>
  <c r="BI61" i="14"/>
  <c r="BA69" i="14"/>
  <c r="AS71" i="14"/>
  <c r="BI76" i="14"/>
  <c r="BA80" i="14"/>
  <c r="AS82" i="14"/>
  <c r="BI82" i="14"/>
  <c r="BA84" i="14"/>
  <c r="BA87" i="14"/>
  <c r="BA90" i="14"/>
  <c r="BA61" i="14"/>
  <c r="AS62" i="14"/>
  <c r="BI67" i="14"/>
  <c r="BI68" i="14"/>
  <c r="BA72" i="14"/>
  <c r="BA73" i="14"/>
  <c r="BA74" i="14"/>
  <c r="BA75" i="14"/>
  <c r="AS77" i="14"/>
  <c r="AS61" i="14"/>
  <c r="BI63" i="14"/>
  <c r="BI64" i="14"/>
  <c r="BI65" i="14"/>
  <c r="BI66" i="14"/>
  <c r="BA71" i="14"/>
  <c r="AS76" i="14"/>
  <c r="BI78" i="14"/>
  <c r="BI79" i="14"/>
  <c r="BA81" i="14"/>
  <c r="AS86" i="14"/>
  <c r="AS69" i="14"/>
  <c r="BA78" i="14"/>
  <c r="BA79" i="14"/>
  <c r="AS80" i="14"/>
  <c r="BI84" i="14"/>
  <c r="AS92" i="14"/>
  <c r="AS95" i="14"/>
  <c r="AS99" i="14"/>
  <c r="AS100" i="14"/>
  <c r="BI100" i="14"/>
  <c r="BA104" i="14"/>
  <c r="AS108" i="14"/>
  <c r="BI108" i="14"/>
  <c r="BA110" i="14"/>
  <c r="BA113" i="14"/>
  <c r="AS117" i="14"/>
  <c r="BI117" i="14"/>
  <c r="AS64" i="14"/>
  <c r="AS65" i="14"/>
  <c r="AS66" i="14"/>
  <c r="AS67" i="14"/>
  <c r="AS68" i="14"/>
  <c r="BA77" i="14"/>
  <c r="AS89" i="14"/>
  <c r="BA91" i="14"/>
  <c r="AS94" i="14"/>
  <c r="BI95" i="14"/>
  <c r="BA101" i="14"/>
  <c r="BA102" i="14"/>
  <c r="AS105" i="14"/>
  <c r="BI105" i="14"/>
  <c r="AS111" i="14"/>
  <c r="AS114" i="14"/>
  <c r="AS63" i="14"/>
  <c r="BA76" i="14"/>
  <c r="AS83" i="14"/>
  <c r="AS85" i="14"/>
  <c r="BA88" i="14"/>
  <c r="AS90" i="14"/>
  <c r="BI90" i="14"/>
  <c r="BA96" i="14"/>
  <c r="AS98" i="14"/>
  <c r="BA103" i="14"/>
  <c r="BA64" i="14"/>
  <c r="BA65" i="14"/>
  <c r="BA66" i="14"/>
  <c r="BA67" i="14"/>
  <c r="BA68" i="14"/>
  <c r="BI75" i="14"/>
  <c r="AS84" i="14"/>
  <c r="BI87" i="14"/>
  <c r="BA89" i="14"/>
  <c r="BI91" i="14"/>
  <c r="BA92" i="14"/>
  <c r="AS93" i="14"/>
  <c r="BI93" i="14"/>
  <c r="BI94" i="14"/>
  <c r="AS97" i="14"/>
  <c r="BI97" i="14"/>
  <c r="BI98" i="14"/>
  <c r="BI99" i="14"/>
  <c r="AS102" i="14"/>
  <c r="AS103" i="14"/>
  <c r="AS104" i="14"/>
  <c r="AS107" i="14"/>
  <c r="BI107" i="14"/>
  <c r="AS110" i="14"/>
  <c r="BA112" i="14"/>
  <c r="BA63" i="14"/>
  <c r="BI71" i="14"/>
  <c r="BI72" i="14"/>
  <c r="BI73" i="14"/>
  <c r="BI74" i="14"/>
  <c r="BA82" i="14"/>
  <c r="BI88" i="14"/>
  <c r="BA100" i="14"/>
  <c r="BI104" i="14"/>
  <c r="BA108" i="14"/>
  <c r="BI110" i="14"/>
  <c r="AS113" i="14"/>
  <c r="BI113" i="14"/>
  <c r="BA62" i="14"/>
  <c r="BI70" i="14"/>
  <c r="AS79" i="14"/>
  <c r="BI80" i="14"/>
  <c r="BA83" i="14"/>
  <c r="AS87" i="14"/>
  <c r="AS91" i="14"/>
  <c r="BA95" i="14"/>
  <c r="AS101" i="14"/>
  <c r="BI102" i="14"/>
  <c r="BI69" i="14"/>
  <c r="AS78" i="14"/>
  <c r="BI81" i="14"/>
  <c r="BA85" i="14"/>
  <c r="BA86" i="14"/>
  <c r="AS88" i="14"/>
  <c r="BA94" i="14"/>
  <c r="AS96" i="14"/>
  <c r="BI96" i="14"/>
  <c r="BI101" i="14"/>
  <c r="BI103" i="14"/>
  <c r="BI92" i="14"/>
  <c r="BA97" i="14"/>
  <c r="BA106" i="14"/>
  <c r="BI114" i="14"/>
  <c r="AS119" i="14"/>
  <c r="BI119" i="14"/>
  <c r="BA123" i="14"/>
  <c r="AS127" i="14"/>
  <c r="BI127" i="14"/>
  <c r="BA131" i="14"/>
  <c r="AS135" i="14"/>
  <c r="BI135" i="14"/>
  <c r="BA139" i="14"/>
  <c r="AS143" i="14"/>
  <c r="BI143" i="14"/>
  <c r="BA145" i="14"/>
  <c r="AS149" i="14"/>
  <c r="BI149" i="14"/>
  <c r="BA152" i="14"/>
  <c r="AS154" i="14"/>
  <c r="BA93" i="14"/>
  <c r="BA105" i="14"/>
  <c r="AS109" i="14"/>
  <c r="BA116" i="14"/>
  <c r="BA120" i="14"/>
  <c r="AS124" i="14"/>
  <c r="BI124" i="14"/>
  <c r="BA128" i="14"/>
  <c r="AS132" i="14"/>
  <c r="BI132" i="14"/>
  <c r="BA136" i="14"/>
  <c r="AS140" i="14"/>
  <c r="BI140" i="14"/>
  <c r="BA144" i="14"/>
  <c r="AS146" i="14"/>
  <c r="BI146" i="14"/>
  <c r="BA151" i="14"/>
  <c r="AS153" i="14"/>
  <c r="AS81" i="14"/>
  <c r="BA98" i="14"/>
  <c r="BI106" i="14"/>
  <c r="BA111" i="14"/>
  <c r="BI115" i="14"/>
  <c r="AS121" i="14"/>
  <c r="BI121" i="14"/>
  <c r="BA125" i="14"/>
  <c r="AS129" i="14"/>
  <c r="BI129" i="14"/>
  <c r="BA133" i="14"/>
  <c r="AS137" i="14"/>
  <c r="BI137" i="14"/>
  <c r="BA141" i="14"/>
  <c r="AS145" i="14"/>
  <c r="BA147" i="14"/>
  <c r="BA150" i="14"/>
  <c r="BI112" i="14"/>
  <c r="BA117" i="14"/>
  <c r="AS118" i="14"/>
  <c r="BI118" i="14"/>
  <c r="BA122" i="14"/>
  <c r="AS126" i="14"/>
  <c r="BI126" i="14"/>
  <c r="BA130" i="14"/>
  <c r="AS134" i="14"/>
  <c r="BI134" i="14"/>
  <c r="BA138" i="14"/>
  <c r="AS142" i="14"/>
  <c r="BI142" i="14"/>
  <c r="AS148" i="14"/>
  <c r="BI148" i="14"/>
  <c r="AS151" i="14"/>
  <c r="BI153" i="14"/>
  <c r="BI89" i="14"/>
  <c r="BA99" i="14"/>
  <c r="BA109" i="14"/>
  <c r="BI111" i="14"/>
  <c r="AS115" i="14"/>
  <c r="BI116" i="14"/>
  <c r="BA119" i="14"/>
  <c r="AS123" i="14"/>
  <c r="BI123" i="14"/>
  <c r="BA127" i="14"/>
  <c r="AS131" i="14"/>
  <c r="BI131" i="14"/>
  <c r="BA135" i="14"/>
  <c r="AS139" i="14"/>
  <c r="BI139" i="14"/>
  <c r="BA143" i="14"/>
  <c r="BI145" i="14"/>
  <c r="BA149" i="14"/>
  <c r="BI152" i="14"/>
  <c r="BA156" i="14"/>
  <c r="BA114" i="14"/>
  <c r="AS120" i="14"/>
  <c r="BI120" i="14"/>
  <c r="BA124" i="14"/>
  <c r="AS128" i="14"/>
  <c r="BI128" i="14"/>
  <c r="BA132" i="14"/>
  <c r="AS136" i="14"/>
  <c r="BI136" i="14"/>
  <c r="BA140" i="14"/>
  <c r="AS144" i="14"/>
  <c r="BI144" i="14"/>
  <c r="BA146" i="14"/>
  <c r="AS150" i="14"/>
  <c r="BI151" i="14"/>
  <c r="AS106" i="14"/>
  <c r="BI109" i="14"/>
  <c r="AS116" i="14"/>
  <c r="BA121" i="14"/>
  <c r="AS125" i="14"/>
  <c r="BI125" i="14"/>
  <c r="BA129" i="14"/>
  <c r="AS133" i="14"/>
  <c r="BI133" i="14"/>
  <c r="BA137" i="14"/>
  <c r="AS141" i="14"/>
  <c r="BI141" i="14"/>
  <c r="AS147" i="14"/>
  <c r="BI147" i="14"/>
  <c r="BA115" i="14"/>
  <c r="BI130" i="14"/>
  <c r="AS156" i="14"/>
  <c r="BI156" i="14"/>
  <c r="BA160" i="14"/>
  <c r="AS155" i="14"/>
  <c r="AS70" i="14"/>
  <c r="BA107" i="14"/>
  <c r="BA126" i="14"/>
  <c r="BI150" i="14"/>
  <c r="AS152" i="14"/>
  <c r="BA154" i="14"/>
  <c r="BA155" i="14"/>
  <c r="BA159" i="14"/>
  <c r="BI160" i="14"/>
  <c r="AS122" i="14"/>
  <c r="BA153" i="14"/>
  <c r="BA158" i="14"/>
  <c r="AS160" i="14"/>
  <c r="BI159" i="14"/>
  <c r="BI60" i="14"/>
  <c r="BI85" i="14"/>
  <c r="BI122" i="14"/>
  <c r="BA142" i="14"/>
  <c r="BI154" i="14"/>
  <c r="BA157" i="14"/>
  <c r="AS159" i="14"/>
  <c r="BA118" i="14"/>
  <c r="AS138" i="14"/>
  <c r="AS158" i="14"/>
  <c r="BI158" i="14"/>
  <c r="AS112" i="14"/>
  <c r="BI138" i="14"/>
  <c r="BA148" i="14"/>
  <c r="BI155" i="14"/>
  <c r="AS157" i="14"/>
  <c r="BA134" i="14"/>
  <c r="AS130" i="14"/>
  <c r="BI157" i="14"/>
  <c r="AX60" i="14"/>
  <c r="AX63" i="14"/>
  <c r="AP69" i="14"/>
  <c r="BF71" i="14"/>
  <c r="BF72" i="14"/>
  <c r="BF73" i="14"/>
  <c r="BF74" i="14"/>
  <c r="AX78" i="14"/>
  <c r="AX89" i="14"/>
  <c r="AP91" i="14"/>
  <c r="BF91" i="14"/>
  <c r="AX62" i="14"/>
  <c r="AP64" i="14"/>
  <c r="AP65" i="14"/>
  <c r="AP66" i="14"/>
  <c r="AP67" i="14"/>
  <c r="AP68" i="14"/>
  <c r="BF70" i="14"/>
  <c r="AX77" i="14"/>
  <c r="AP79" i="14"/>
  <c r="BF81" i="14"/>
  <c r="AX83" i="14"/>
  <c r="AX86" i="14"/>
  <c r="AP90" i="14"/>
  <c r="AX92" i="14"/>
  <c r="BF61" i="14"/>
  <c r="AX69" i="14"/>
  <c r="AP71" i="14"/>
  <c r="BF76" i="14"/>
  <c r="AX64" i="14"/>
  <c r="AX65" i="14"/>
  <c r="AX66" i="14"/>
  <c r="AX67" i="14"/>
  <c r="AX68" i="14"/>
  <c r="AP70" i="14"/>
  <c r="BF75" i="14"/>
  <c r="AX79" i="14"/>
  <c r="AP81" i="14"/>
  <c r="AP85" i="14"/>
  <c r="BF85" i="14"/>
  <c r="AX72" i="14"/>
  <c r="AX73" i="14"/>
  <c r="AX74" i="14"/>
  <c r="AX75" i="14"/>
  <c r="AP82" i="14"/>
  <c r="AP84" i="14"/>
  <c r="BF87" i="14"/>
  <c r="AP93" i="14"/>
  <c r="BF93" i="14"/>
  <c r="BF94" i="14"/>
  <c r="AP97" i="14"/>
  <c r="BF97" i="14"/>
  <c r="BF98" i="14"/>
  <c r="BF99" i="14"/>
  <c r="AP102" i="14"/>
  <c r="AP103" i="14"/>
  <c r="AP104" i="14"/>
  <c r="AP107" i="14"/>
  <c r="BF107" i="14"/>
  <c r="AP110" i="14"/>
  <c r="AX112" i="14"/>
  <c r="AP116" i="14"/>
  <c r="BF116" i="14"/>
  <c r="AP62" i="14"/>
  <c r="AX71" i="14"/>
  <c r="BF78" i="14"/>
  <c r="AX80" i="14"/>
  <c r="AX81" i="14"/>
  <c r="AX82" i="14"/>
  <c r="AP86" i="14"/>
  <c r="AX100" i="14"/>
  <c r="BF104" i="14"/>
  <c r="AX108" i="14"/>
  <c r="BF110" i="14"/>
  <c r="AP113" i="14"/>
  <c r="BF113" i="14"/>
  <c r="AX70" i="14"/>
  <c r="BF77" i="14"/>
  <c r="BF79" i="14"/>
  <c r="BF80" i="14"/>
  <c r="AP87" i="14"/>
  <c r="AX95" i="14"/>
  <c r="AP101" i="14"/>
  <c r="BF102" i="14"/>
  <c r="BF69" i="14"/>
  <c r="AP78" i="14"/>
  <c r="AX85" i="14"/>
  <c r="BF88" i="14"/>
  <c r="AX94" i="14"/>
  <c r="AP96" i="14"/>
  <c r="BF96" i="14"/>
  <c r="BF101" i="14"/>
  <c r="BF103" i="14"/>
  <c r="AP106" i="14"/>
  <c r="BF106" i="14"/>
  <c r="BF109" i="14"/>
  <c r="AX111" i="14"/>
  <c r="AP61" i="14"/>
  <c r="BF67" i="14"/>
  <c r="BF68" i="14"/>
  <c r="AP77" i="14"/>
  <c r="AX84" i="14"/>
  <c r="BF89" i="14"/>
  <c r="AX90" i="14"/>
  <c r="BF92" i="14"/>
  <c r="AX93" i="14"/>
  <c r="AX97" i="14"/>
  <c r="AX98" i="14"/>
  <c r="AX99" i="14"/>
  <c r="AX107" i="14"/>
  <c r="AP112" i="14"/>
  <c r="BF112" i="14"/>
  <c r="AX116" i="14"/>
  <c r="AX61" i="14"/>
  <c r="BF63" i="14"/>
  <c r="BF64" i="14"/>
  <c r="BF65" i="14"/>
  <c r="BF66" i="14"/>
  <c r="AP76" i="14"/>
  <c r="AP80" i="14"/>
  <c r="BF82" i="14"/>
  <c r="BF84" i="14"/>
  <c r="AP88" i="14"/>
  <c r="AP92" i="14"/>
  <c r="AP95" i="14"/>
  <c r="AP99" i="14"/>
  <c r="AP100" i="14"/>
  <c r="BF100" i="14"/>
  <c r="AX104" i="14"/>
  <c r="BF62" i="14"/>
  <c r="AP72" i="14"/>
  <c r="AP73" i="14"/>
  <c r="AP74" i="14"/>
  <c r="AP75" i="14"/>
  <c r="BF83" i="14"/>
  <c r="AX87" i="14"/>
  <c r="AP89" i="14"/>
  <c r="AX91" i="14"/>
  <c r="AP94" i="14"/>
  <c r="BF95" i="14"/>
  <c r="AX101" i="14"/>
  <c r="AX102" i="14"/>
  <c r="AP63" i="14"/>
  <c r="BF86" i="14"/>
  <c r="AX105" i="14"/>
  <c r="AP109" i="14"/>
  <c r="BF115" i="14"/>
  <c r="AX117" i="14"/>
  <c r="AP118" i="14"/>
  <c r="BF118" i="14"/>
  <c r="AX122" i="14"/>
  <c r="AP126" i="14"/>
  <c r="BF126" i="14"/>
  <c r="AX130" i="14"/>
  <c r="AP134" i="14"/>
  <c r="BF134" i="14"/>
  <c r="AX138" i="14"/>
  <c r="AP142" i="14"/>
  <c r="BF142" i="14"/>
  <c r="AP148" i="14"/>
  <c r="BF148" i="14"/>
  <c r="AP151" i="14"/>
  <c r="BF153" i="14"/>
  <c r="AP98" i="14"/>
  <c r="AP108" i="14"/>
  <c r="AX110" i="14"/>
  <c r="AX119" i="14"/>
  <c r="AP123" i="14"/>
  <c r="BF123" i="14"/>
  <c r="AX127" i="14"/>
  <c r="AP131" i="14"/>
  <c r="BF131" i="14"/>
  <c r="AX135" i="14"/>
  <c r="AP139" i="14"/>
  <c r="BF139" i="14"/>
  <c r="AX143" i="14"/>
  <c r="BF145" i="14"/>
  <c r="AX149" i="14"/>
  <c r="BF152" i="14"/>
  <c r="AX88" i="14"/>
  <c r="BF105" i="14"/>
  <c r="AP114" i="14"/>
  <c r="AP115" i="14"/>
  <c r="AP120" i="14"/>
  <c r="BF120" i="14"/>
  <c r="AX124" i="14"/>
  <c r="AP128" i="14"/>
  <c r="BF128" i="14"/>
  <c r="AX132" i="14"/>
  <c r="AP136" i="14"/>
  <c r="BF136" i="14"/>
  <c r="AX140" i="14"/>
  <c r="AP144" i="14"/>
  <c r="BF144" i="14"/>
  <c r="AX146" i="14"/>
  <c r="AP150" i="14"/>
  <c r="AX103" i="14"/>
  <c r="AX109" i="14"/>
  <c r="BF111" i="14"/>
  <c r="AX121" i="14"/>
  <c r="AP125" i="14"/>
  <c r="BF125" i="14"/>
  <c r="AX129" i="14"/>
  <c r="AP133" i="14"/>
  <c r="BF133" i="14"/>
  <c r="AX137" i="14"/>
  <c r="AP141" i="14"/>
  <c r="BF141" i="14"/>
  <c r="AP147" i="14"/>
  <c r="BF147" i="14"/>
  <c r="BF150" i="14"/>
  <c r="AX154" i="14"/>
  <c r="AP156" i="14"/>
  <c r="AP83" i="14"/>
  <c r="AX114" i="14"/>
  <c r="BF117" i="14"/>
  <c r="AX118" i="14"/>
  <c r="AP122" i="14"/>
  <c r="BF122" i="14"/>
  <c r="AX126" i="14"/>
  <c r="AP130" i="14"/>
  <c r="BF130" i="14"/>
  <c r="AX134" i="14"/>
  <c r="AP138" i="14"/>
  <c r="BF138" i="14"/>
  <c r="AX142" i="14"/>
  <c r="AX148" i="14"/>
  <c r="AX153" i="14"/>
  <c r="AP155" i="14"/>
  <c r="AX76" i="14"/>
  <c r="BF90" i="14"/>
  <c r="BF108" i="14"/>
  <c r="AX113" i="14"/>
  <c r="AX115" i="14"/>
  <c r="AP117" i="14"/>
  <c r="AP119" i="14"/>
  <c r="BF119" i="14"/>
  <c r="AX123" i="14"/>
  <c r="AP127" i="14"/>
  <c r="BF127" i="14"/>
  <c r="AX131" i="14"/>
  <c r="AP135" i="14"/>
  <c r="BF135" i="14"/>
  <c r="AX139" i="14"/>
  <c r="AP143" i="14"/>
  <c r="BF143" i="14"/>
  <c r="AX145" i="14"/>
  <c r="AP149" i="14"/>
  <c r="BF149" i="14"/>
  <c r="AX152" i="14"/>
  <c r="AX96" i="14"/>
  <c r="AP105" i="14"/>
  <c r="AP111" i="14"/>
  <c r="BF114" i="14"/>
  <c r="AX120" i="14"/>
  <c r="AP124" i="14"/>
  <c r="BF124" i="14"/>
  <c r="AX128" i="14"/>
  <c r="AP132" i="14"/>
  <c r="BF132" i="14"/>
  <c r="AX136" i="14"/>
  <c r="AP140" i="14"/>
  <c r="BF140" i="14"/>
  <c r="AX144" i="14"/>
  <c r="AP146" i="14"/>
  <c r="BF146" i="14"/>
  <c r="AX106" i="14"/>
  <c r="AP121" i="14"/>
  <c r="AX150" i="14"/>
  <c r="AP152" i="14"/>
  <c r="AX155" i="14"/>
  <c r="AX157" i="14"/>
  <c r="AP159" i="14"/>
  <c r="BF129" i="14"/>
  <c r="BF121" i="14"/>
  <c r="AX141" i="14"/>
  <c r="AP158" i="14"/>
  <c r="BF160" i="14"/>
  <c r="BF60" i="14"/>
  <c r="BF151" i="14"/>
  <c r="AP137" i="14"/>
  <c r="BF154" i="14"/>
  <c r="BF155" i="14"/>
  <c r="AP157" i="14"/>
  <c r="BF159" i="14"/>
  <c r="BF137" i="14"/>
  <c r="AX147" i="14"/>
  <c r="AX156" i="14"/>
  <c r="BF158" i="14"/>
  <c r="AX160" i="14"/>
  <c r="AX159" i="14"/>
  <c r="AX133" i="14"/>
  <c r="AX151" i="14"/>
  <c r="AP154" i="14"/>
  <c r="BF157" i="14"/>
  <c r="AP129" i="14"/>
  <c r="AP153" i="14"/>
  <c r="BF156" i="14"/>
  <c r="AX125" i="14"/>
  <c r="AP145" i="14"/>
  <c r="AX158" i="14"/>
  <c r="AP160" i="14"/>
  <c r="BA60" i="14"/>
  <c r="AS60" i="14"/>
  <c r="AP60" i="14"/>
  <c r="EO60" i="14"/>
  <c r="B87" i="14"/>
  <c r="B119" i="14"/>
  <c r="B151" i="14"/>
  <c r="B63" i="14"/>
  <c r="B95" i="14"/>
  <c r="B127" i="14"/>
  <c r="B159" i="14"/>
  <c r="B67" i="14"/>
  <c r="B99" i="14"/>
  <c r="B131" i="14"/>
  <c r="B71" i="14"/>
  <c r="B103" i="14"/>
  <c r="B20" i="6"/>
  <c r="D45" i="40" s="1"/>
  <c r="B41" i="6"/>
  <c r="D66" i="40" s="1"/>
  <c r="B64" i="6"/>
  <c r="D89" i="40" s="1"/>
  <c r="B158" i="14"/>
  <c r="B154" i="14"/>
  <c r="B150" i="14"/>
  <c r="B146" i="14"/>
  <c r="B142" i="14"/>
  <c r="B138" i="14"/>
  <c r="B134" i="14"/>
  <c r="B130" i="14"/>
  <c r="B126" i="14"/>
  <c r="B122" i="14"/>
  <c r="B118" i="14"/>
  <c r="B114" i="14"/>
  <c r="B110" i="14"/>
  <c r="B106" i="14"/>
  <c r="B102" i="14"/>
  <c r="B98" i="14"/>
  <c r="B94" i="14"/>
  <c r="B90" i="14"/>
  <c r="B86" i="14"/>
  <c r="B82" i="14"/>
  <c r="B78" i="14"/>
  <c r="B74" i="14"/>
  <c r="B70" i="14"/>
  <c r="B66" i="14"/>
  <c r="B62" i="14"/>
  <c r="B21" i="6"/>
  <c r="D46" i="40" s="1"/>
  <c r="B47" i="6"/>
  <c r="D72" i="40" s="1"/>
  <c r="B65" i="6"/>
  <c r="D90" i="40" s="1"/>
  <c r="B88" i="6"/>
  <c r="B23" i="6"/>
  <c r="D48" i="40" s="1"/>
  <c r="B48" i="6"/>
  <c r="D73" i="40" s="1"/>
  <c r="B71" i="6"/>
  <c r="D96" i="40" s="1"/>
  <c r="B60" i="14"/>
  <c r="B157" i="14"/>
  <c r="B153" i="14"/>
  <c r="B149" i="14"/>
  <c r="B145" i="14"/>
  <c r="B141" i="14"/>
  <c r="B137" i="14"/>
  <c r="B133" i="14"/>
  <c r="B129" i="14"/>
  <c r="B125" i="14"/>
  <c r="B121" i="14"/>
  <c r="B117" i="14"/>
  <c r="B113" i="14"/>
  <c r="B109" i="14"/>
  <c r="B105" i="14"/>
  <c r="B101" i="14"/>
  <c r="B97" i="14"/>
  <c r="B93" i="14"/>
  <c r="B89" i="14"/>
  <c r="B85" i="14"/>
  <c r="B81" i="14"/>
  <c r="B77" i="14"/>
  <c r="B73" i="14"/>
  <c r="B69" i="14"/>
  <c r="B65" i="14"/>
  <c r="B61" i="14"/>
  <c r="B24" i="6"/>
  <c r="D49" i="40" s="1"/>
  <c r="B49" i="6"/>
  <c r="D74" i="40" s="1"/>
  <c r="B72" i="6"/>
  <c r="D97" i="40" s="1"/>
  <c r="B31" i="6"/>
  <c r="D56" i="40" s="1"/>
  <c r="B55" i="6"/>
  <c r="D80" i="40" s="1"/>
  <c r="B73" i="6"/>
  <c r="D98" i="40" s="1"/>
  <c r="B160" i="14"/>
  <c r="B156" i="14"/>
  <c r="B152" i="14"/>
  <c r="B148" i="14"/>
  <c r="B144" i="14"/>
  <c r="B140" i="14"/>
  <c r="B136" i="14"/>
  <c r="B132" i="14"/>
  <c r="B128" i="14"/>
  <c r="B124" i="14"/>
  <c r="B120" i="14"/>
  <c r="B116" i="14"/>
  <c r="B112" i="14"/>
  <c r="B108" i="14"/>
  <c r="B104" i="14"/>
  <c r="B100" i="14"/>
  <c r="B96" i="14"/>
  <c r="B92" i="14"/>
  <c r="B88" i="14"/>
  <c r="B84" i="14"/>
  <c r="B80" i="14"/>
  <c r="B76" i="14"/>
  <c r="B72" i="14"/>
  <c r="B68" i="14"/>
  <c r="B64" i="14"/>
  <c r="B32" i="6"/>
  <c r="D57" i="40" s="1"/>
  <c r="B56" i="6"/>
  <c r="D81" i="40" s="1"/>
  <c r="B79" i="6"/>
  <c r="D104" i="40" s="1"/>
  <c r="B39" i="6"/>
  <c r="D64" i="40" s="1"/>
  <c r="B57" i="6"/>
  <c r="D82" i="40" s="1"/>
  <c r="B80" i="6"/>
  <c r="D105" i="40" s="1"/>
  <c r="B107" i="6"/>
  <c r="D132" i="40" s="1"/>
  <c r="B89" i="6"/>
  <c r="D114" i="40" s="1"/>
  <c r="B75" i="14"/>
  <c r="B107" i="14"/>
  <c r="B139" i="14"/>
  <c r="B79" i="14"/>
  <c r="B111" i="14"/>
  <c r="B143" i="14"/>
  <c r="B83" i="14"/>
  <c r="B115" i="14"/>
  <c r="B147" i="14"/>
  <c r="B33" i="6"/>
  <c r="D58" i="40" s="1"/>
  <c r="B25" i="6"/>
  <c r="D50" i="40" s="1"/>
  <c r="B94" i="6"/>
  <c r="D119" i="40" s="1"/>
  <c r="B86" i="6"/>
  <c r="D111" i="40" s="1"/>
  <c r="B78" i="6"/>
  <c r="D103" i="40" s="1"/>
  <c r="B70" i="6"/>
  <c r="D95" i="40" s="1"/>
  <c r="B62" i="6"/>
  <c r="D87" i="40" s="1"/>
  <c r="B54" i="6"/>
  <c r="D79" i="40" s="1"/>
  <c r="B46" i="6"/>
  <c r="D71" i="40" s="1"/>
  <c r="B38" i="6"/>
  <c r="D63" i="40" s="1"/>
  <c r="B30" i="6"/>
  <c r="D55" i="40" s="1"/>
  <c r="B22" i="6"/>
  <c r="D47" i="40" s="1"/>
  <c r="B117" i="6"/>
  <c r="D142" i="40" s="1"/>
  <c r="B109" i="6"/>
  <c r="D134" i="40" s="1"/>
  <c r="B101" i="6"/>
  <c r="D126" i="40" s="1"/>
  <c r="B93" i="6"/>
  <c r="D118" i="40" s="1"/>
  <c r="B85" i="6"/>
  <c r="D110" i="40" s="1"/>
  <c r="B77" i="6"/>
  <c r="D102" i="40" s="1"/>
  <c r="B69" i="6"/>
  <c r="D94" i="40" s="1"/>
  <c r="B61" i="6"/>
  <c r="D86" i="40" s="1"/>
  <c r="B53" i="6"/>
  <c r="D78" i="40" s="1"/>
  <c r="B45" i="6"/>
  <c r="D70" i="40" s="1"/>
  <c r="B37" i="6"/>
  <c r="D62" i="40" s="1"/>
  <c r="B29" i="6"/>
  <c r="D54" i="40" s="1"/>
  <c r="B120" i="6"/>
  <c r="D145" i="40" s="1"/>
  <c r="B116" i="6"/>
  <c r="B108" i="6"/>
  <c r="D133" i="40" s="1"/>
  <c r="B100" i="6"/>
  <c r="D125" i="40" s="1"/>
  <c r="B92" i="6"/>
  <c r="D117" i="40" s="1"/>
  <c r="B84" i="6"/>
  <c r="D109" i="40" s="1"/>
  <c r="B76" i="6"/>
  <c r="D101" i="40" s="1"/>
  <c r="B68" i="6"/>
  <c r="D93" i="40" s="1"/>
  <c r="E93" i="40" s="1"/>
  <c r="B60" i="6"/>
  <c r="D85" i="40" s="1"/>
  <c r="E85" i="40" s="1"/>
  <c r="B52" i="6"/>
  <c r="D77" i="40" s="1"/>
  <c r="B44" i="6"/>
  <c r="D69" i="40" s="1"/>
  <c r="B36" i="6"/>
  <c r="D61" i="40" s="1"/>
  <c r="B28" i="6"/>
  <c r="D53" i="40" s="1"/>
  <c r="B99" i="6"/>
  <c r="D124" i="40" s="1"/>
  <c r="B91" i="6"/>
  <c r="D116" i="40" s="1"/>
  <c r="B83" i="6"/>
  <c r="D108" i="40" s="1"/>
  <c r="E108" i="40" s="1"/>
  <c r="B75" i="6"/>
  <c r="D100" i="40" s="1"/>
  <c r="E100" i="40" s="1"/>
  <c r="B67" i="6"/>
  <c r="D92" i="40" s="1"/>
  <c r="B59" i="6"/>
  <c r="D84" i="40" s="1"/>
  <c r="E84" i="40" s="1"/>
  <c r="B51" i="6"/>
  <c r="D76" i="40" s="1"/>
  <c r="E76" i="40" s="1"/>
  <c r="B43" i="6"/>
  <c r="D68" i="40" s="1"/>
  <c r="B35" i="6"/>
  <c r="D60" i="40" s="1"/>
  <c r="E60" i="40" s="1"/>
  <c r="B27" i="6"/>
  <c r="D52" i="40" s="1"/>
  <c r="E52" i="40" s="1"/>
  <c r="B114" i="6"/>
  <c r="D139" i="40" s="1"/>
  <c r="E139" i="40" s="1"/>
  <c r="B106" i="6"/>
  <c r="D131" i="40" s="1"/>
  <c r="E131" i="40" s="1"/>
  <c r="B98" i="6"/>
  <c r="D123" i="40" s="1"/>
  <c r="E123" i="40" s="1"/>
  <c r="B90" i="6"/>
  <c r="D115" i="40" s="1"/>
  <c r="E115" i="40" s="1"/>
  <c r="B82" i="6"/>
  <c r="D107" i="40" s="1"/>
  <c r="E107" i="40" s="1"/>
  <c r="B74" i="6"/>
  <c r="D99" i="40" s="1"/>
  <c r="E99" i="40" s="1"/>
  <c r="B66" i="6"/>
  <c r="D91" i="40" s="1"/>
  <c r="E91" i="40" s="1"/>
  <c r="B58" i="6"/>
  <c r="D83" i="40" s="1"/>
  <c r="B50" i="6"/>
  <c r="D75" i="40" s="1"/>
  <c r="E75" i="40" s="1"/>
  <c r="B42" i="6"/>
  <c r="D67" i="40" s="1"/>
  <c r="E67" i="40" s="1"/>
  <c r="B34" i="6"/>
  <c r="D59" i="40" s="1"/>
  <c r="B26" i="6"/>
  <c r="D51" i="40" s="1"/>
  <c r="E51" i="40" s="1"/>
  <c r="D103" i="6"/>
  <c r="AC33" i="4"/>
  <c r="AB33" i="4"/>
  <c r="AA33" i="4"/>
  <c r="AC32" i="4"/>
  <c r="AB32" i="4"/>
  <c r="AA32" i="4"/>
  <c r="AC31" i="4"/>
  <c r="AB31" i="4"/>
  <c r="AA31" i="4"/>
  <c r="Z33" i="4"/>
  <c r="Y33" i="4"/>
  <c r="X33" i="4"/>
  <c r="Z32" i="4"/>
  <c r="Y32" i="4"/>
  <c r="X32" i="4"/>
  <c r="Z31" i="4"/>
  <c r="Y31" i="4"/>
  <c r="X31" i="4"/>
  <c r="W33" i="4"/>
  <c r="V33" i="4"/>
  <c r="U33" i="4"/>
  <c r="W32" i="4"/>
  <c r="V32" i="4"/>
  <c r="U32" i="4"/>
  <c r="W31" i="4"/>
  <c r="V31" i="4"/>
  <c r="U31" i="4"/>
  <c r="T32" i="4"/>
  <c r="T33" i="4"/>
  <c r="T31" i="4"/>
  <c r="G32" i="4"/>
  <c r="H32" i="4"/>
  <c r="I32" i="4"/>
  <c r="G33" i="4"/>
  <c r="H33" i="4"/>
  <c r="I33" i="4"/>
  <c r="H31" i="4"/>
  <c r="I31" i="4"/>
  <c r="G31" i="4"/>
  <c r="L33" i="4"/>
  <c r="L32" i="4"/>
  <c r="L31" i="4"/>
  <c r="K33" i="4"/>
  <c r="K32" i="4"/>
  <c r="K31" i="4"/>
  <c r="J33" i="4"/>
  <c r="J32" i="4"/>
  <c r="J31" i="4"/>
  <c r="D32" i="4"/>
  <c r="E32" i="4"/>
  <c r="F32" i="4"/>
  <c r="D33" i="4"/>
  <c r="E33" i="4"/>
  <c r="F33" i="4"/>
  <c r="E31" i="4"/>
  <c r="F31" i="4"/>
  <c r="D31" i="4"/>
  <c r="E101" i="40" l="1"/>
  <c r="E124" i="40"/>
  <c r="E53" i="40"/>
  <c r="E61" i="40"/>
  <c r="E69" i="40"/>
  <c r="E77" i="40"/>
  <c r="E62" i="40"/>
  <c r="E126" i="40"/>
  <c r="E114" i="40"/>
  <c r="E65" i="40"/>
  <c r="E129" i="40"/>
  <c r="E109" i="40"/>
  <c r="E117" i="40"/>
  <c r="E133" i="40"/>
  <c r="E70" i="40"/>
  <c r="E134" i="40"/>
  <c r="E95" i="40"/>
  <c r="E132" i="40"/>
  <c r="E98" i="40"/>
  <c r="E96" i="40"/>
  <c r="E89" i="40"/>
  <c r="E138" i="40"/>
  <c r="AX68" i="43"/>
  <c r="C36" i="45" s="1"/>
  <c r="E130" i="40"/>
  <c r="AX58" i="43"/>
  <c r="C26" i="45" s="1"/>
  <c r="E83" i="40"/>
  <c r="AX55" i="43"/>
  <c r="C23" i="45" s="1"/>
  <c r="E68" i="40"/>
  <c r="AX57" i="43"/>
  <c r="C25" i="45" s="1"/>
  <c r="E78" i="40"/>
  <c r="E142" i="40"/>
  <c r="E103" i="40"/>
  <c r="E105" i="40"/>
  <c r="E80" i="40"/>
  <c r="AX56" i="43"/>
  <c r="C24" i="45" s="1"/>
  <c r="E73" i="40"/>
  <c r="E66" i="40"/>
  <c r="E128" i="40"/>
  <c r="AX67" i="43"/>
  <c r="C35" i="45" s="1"/>
  <c r="E125" i="40"/>
  <c r="E86" i="40"/>
  <c r="E47" i="40"/>
  <c r="AX64" i="43"/>
  <c r="C32" i="45" s="1"/>
  <c r="E111" i="40"/>
  <c r="E82" i="40"/>
  <c r="E56" i="40"/>
  <c r="E48" i="40"/>
  <c r="AX50" i="43"/>
  <c r="C18" i="45" s="1"/>
  <c r="E45" i="40"/>
  <c r="E120" i="40"/>
  <c r="E144" i="40"/>
  <c r="E88" i="40"/>
  <c r="AX65" i="43"/>
  <c r="C33" i="45" s="1"/>
  <c r="E116" i="40"/>
  <c r="E94" i="40"/>
  <c r="E55" i="40"/>
  <c r="E119" i="40"/>
  <c r="AX54" i="43"/>
  <c r="C22" i="45" s="1"/>
  <c r="E64" i="40"/>
  <c r="AX61" i="43"/>
  <c r="C29" i="45" s="1"/>
  <c r="E97" i="40"/>
  <c r="D88" i="6"/>
  <c r="D113" i="40"/>
  <c r="E113" i="40" s="1"/>
  <c r="E136" i="40"/>
  <c r="E127" i="40"/>
  <c r="E112" i="40"/>
  <c r="AX59" i="43"/>
  <c r="C27" i="45" s="1"/>
  <c r="E87" i="40"/>
  <c r="AX53" i="43"/>
  <c r="C21" i="45" s="1"/>
  <c r="E59" i="40"/>
  <c r="AX60" i="43"/>
  <c r="C28" i="45" s="1"/>
  <c r="E92" i="40"/>
  <c r="D116" i="6"/>
  <c r="D141" i="40"/>
  <c r="E141" i="40" s="1"/>
  <c r="AX62" i="43"/>
  <c r="C30" i="45" s="1"/>
  <c r="E102" i="40"/>
  <c r="E63" i="40"/>
  <c r="E50" i="40"/>
  <c r="E104" i="40"/>
  <c r="E74" i="40"/>
  <c r="E90" i="40"/>
  <c r="E143" i="40"/>
  <c r="AX70" i="43"/>
  <c r="C38" i="45" s="1"/>
  <c r="E140" i="40"/>
  <c r="AX69" i="43"/>
  <c r="C37" i="45" s="1"/>
  <c r="E135" i="40"/>
  <c r="E145" i="40"/>
  <c r="AX71" i="43"/>
  <c r="C39" i="45" s="1"/>
  <c r="E110" i="40"/>
  <c r="E71" i="40"/>
  <c r="E58" i="40"/>
  <c r="E81" i="40"/>
  <c r="AX51" i="43"/>
  <c r="C19" i="45" s="1"/>
  <c r="E49" i="40"/>
  <c r="E72" i="40"/>
  <c r="D97" i="6"/>
  <c r="D121" i="40"/>
  <c r="AX63" i="43"/>
  <c r="C31" i="45" s="1"/>
  <c r="E106" i="40"/>
  <c r="AX52" i="43"/>
  <c r="C20" i="45" s="1"/>
  <c r="E54" i="40"/>
  <c r="E118" i="40"/>
  <c r="E79" i="40"/>
  <c r="E57" i="40"/>
  <c r="E46" i="40"/>
  <c r="E137" i="40"/>
  <c r="E122" i="40"/>
  <c r="IM111" i="14"/>
  <c r="IG111" i="14"/>
  <c r="IL111" i="14"/>
  <c r="HV111" i="14"/>
  <c r="IO111" i="14"/>
  <c r="ID111" i="14"/>
  <c r="IE111" i="14"/>
  <c r="IO76" i="14"/>
  <c r="IG76" i="14"/>
  <c r="IE76" i="14"/>
  <c r="IF76" i="14"/>
  <c r="IM76" i="14"/>
  <c r="IN76" i="14"/>
  <c r="HX76" i="14"/>
  <c r="IO108" i="14"/>
  <c r="ID108" i="14"/>
  <c r="IL108" i="14"/>
  <c r="IG108" i="14"/>
  <c r="HV108" i="14"/>
  <c r="IN140" i="14"/>
  <c r="IE140" i="14"/>
  <c r="IL140" i="14"/>
  <c r="IM140" i="14"/>
  <c r="ID140" i="14"/>
  <c r="IF140" i="14"/>
  <c r="HV140" i="14"/>
  <c r="HW140" i="14"/>
  <c r="IM77" i="14"/>
  <c r="IN77" i="14"/>
  <c r="IG77" i="14"/>
  <c r="IF77" i="14"/>
  <c r="IO77" i="14"/>
  <c r="HX77" i="14"/>
  <c r="IE77" i="14"/>
  <c r="IG109" i="14"/>
  <c r="HV109" i="14"/>
  <c r="IO109" i="14"/>
  <c r="ID109" i="14"/>
  <c r="IL109" i="14"/>
  <c r="IM141" i="14"/>
  <c r="IN141" i="14"/>
  <c r="HV141" i="14"/>
  <c r="IL141" i="14"/>
  <c r="ID141" i="14"/>
  <c r="IE141" i="14"/>
  <c r="IF141" i="14"/>
  <c r="HW141" i="14"/>
  <c r="IG70" i="14"/>
  <c r="IF70" i="14"/>
  <c r="IN70" i="14"/>
  <c r="IO70" i="14"/>
  <c r="IM70" i="14"/>
  <c r="IE70" i="14"/>
  <c r="HX70" i="14"/>
  <c r="IG102" i="14"/>
  <c r="IO102" i="14"/>
  <c r="ID102" i="14"/>
  <c r="HV102" i="14"/>
  <c r="IL102" i="14"/>
  <c r="IE134" i="14"/>
  <c r="HV134" i="14"/>
  <c r="HW134" i="14"/>
  <c r="IL134" i="14"/>
  <c r="ID134" i="14"/>
  <c r="IM134" i="14"/>
  <c r="IM127" i="14"/>
  <c r="IL127" i="14"/>
  <c r="HV127" i="14"/>
  <c r="ID127" i="14"/>
  <c r="IE127" i="14"/>
  <c r="HW127" i="14"/>
  <c r="IM155" i="14"/>
  <c r="IN155" i="14"/>
  <c r="IF155" i="14"/>
  <c r="HV155" i="14"/>
  <c r="HW155" i="14"/>
  <c r="IL155" i="14"/>
  <c r="ID155" i="14"/>
  <c r="IE155" i="14"/>
  <c r="HX155" i="14"/>
  <c r="IM79" i="14"/>
  <c r="IN79" i="14"/>
  <c r="IG79" i="14"/>
  <c r="IE79" i="14"/>
  <c r="IO79" i="14"/>
  <c r="IF79" i="14"/>
  <c r="HX79" i="14"/>
  <c r="IF80" i="14"/>
  <c r="IN80" i="14"/>
  <c r="IG80" i="14"/>
  <c r="IO80" i="14"/>
  <c r="IO112" i="14"/>
  <c r="HV112" i="14"/>
  <c r="IL112" i="14"/>
  <c r="ID112" i="14"/>
  <c r="IM112" i="14"/>
  <c r="IE112" i="14"/>
  <c r="IG112" i="14"/>
  <c r="ID144" i="14"/>
  <c r="IE144" i="14"/>
  <c r="IF144" i="14"/>
  <c r="IL144" i="14"/>
  <c r="IM144" i="14"/>
  <c r="IN144" i="14"/>
  <c r="HV144" i="14"/>
  <c r="HW144" i="14"/>
  <c r="IN81" i="14"/>
  <c r="IG81" i="14"/>
  <c r="IO81" i="14"/>
  <c r="IF81" i="14"/>
  <c r="IM113" i="14"/>
  <c r="ID113" i="14"/>
  <c r="HV113" i="14"/>
  <c r="IG113" i="14"/>
  <c r="IL113" i="14"/>
  <c r="IO113" i="14"/>
  <c r="IE113" i="14"/>
  <c r="IM145" i="14"/>
  <c r="IN145" i="14"/>
  <c r="ID145" i="14"/>
  <c r="HV145" i="14"/>
  <c r="IL145" i="14"/>
  <c r="IE145" i="14"/>
  <c r="IF145" i="14"/>
  <c r="HW145" i="14"/>
  <c r="IF74" i="14"/>
  <c r="IM74" i="14"/>
  <c r="IN74" i="14"/>
  <c r="IO74" i="14"/>
  <c r="IE74" i="14"/>
  <c r="HX74" i="14"/>
  <c r="IG74" i="14"/>
  <c r="IL106" i="14"/>
  <c r="IO106" i="14"/>
  <c r="IG106" i="14"/>
  <c r="ID106" i="14"/>
  <c r="HV106" i="14"/>
  <c r="IL138" i="14"/>
  <c r="IM138" i="14"/>
  <c r="IN138" i="14"/>
  <c r="ID138" i="14"/>
  <c r="IE138" i="14"/>
  <c r="IF138" i="14"/>
  <c r="HV138" i="14"/>
  <c r="HW138" i="14"/>
  <c r="IN95" i="14"/>
  <c r="IG95" i="14"/>
  <c r="IL95" i="14"/>
  <c r="HV95" i="14"/>
  <c r="IO95" i="14"/>
  <c r="ID95" i="14"/>
  <c r="IF95" i="14"/>
  <c r="IM135" i="14"/>
  <c r="IN135" i="14"/>
  <c r="IL135" i="14"/>
  <c r="HV135" i="14"/>
  <c r="ID135" i="14"/>
  <c r="IE135" i="14"/>
  <c r="IF135" i="14"/>
  <c r="HW135" i="14"/>
  <c r="IM139" i="14"/>
  <c r="IN139" i="14"/>
  <c r="IF139" i="14"/>
  <c r="HV139" i="14"/>
  <c r="IL139" i="14"/>
  <c r="ID139" i="14"/>
  <c r="IE139" i="14"/>
  <c r="HW139" i="14"/>
  <c r="IN84" i="14"/>
  <c r="IO84" i="14"/>
  <c r="IF84" i="14"/>
  <c r="IG84" i="14"/>
  <c r="IO116" i="14"/>
  <c r="IE116" i="14"/>
  <c r="IM116" i="14"/>
  <c r="IG116" i="14"/>
  <c r="HV116" i="14"/>
  <c r="IL116" i="14"/>
  <c r="ID116" i="14"/>
  <c r="IN148" i="14"/>
  <c r="HW148" i="14"/>
  <c r="IM148" i="14"/>
  <c r="ID148" i="14"/>
  <c r="IE148" i="14"/>
  <c r="IF148" i="14"/>
  <c r="HV148" i="14"/>
  <c r="IL148" i="14"/>
  <c r="IL85" i="14"/>
  <c r="IN85" i="14"/>
  <c r="IG85" i="14"/>
  <c r="IO85" i="14"/>
  <c r="ID85" i="14"/>
  <c r="IF85" i="14"/>
  <c r="IM117" i="14"/>
  <c r="HV117" i="14"/>
  <c r="IL117" i="14"/>
  <c r="IO117" i="14"/>
  <c r="ID117" i="14"/>
  <c r="IE117" i="14"/>
  <c r="IG117" i="14"/>
  <c r="IM149" i="14"/>
  <c r="IN149" i="14"/>
  <c r="HV149" i="14"/>
  <c r="IF149" i="14"/>
  <c r="IL149" i="14"/>
  <c r="ID149" i="14"/>
  <c r="IE149" i="14"/>
  <c r="HW149" i="14"/>
  <c r="IG78" i="14"/>
  <c r="IF78" i="14"/>
  <c r="IN78" i="14"/>
  <c r="IO78" i="14"/>
  <c r="HX78" i="14"/>
  <c r="IM78" i="14"/>
  <c r="IE78" i="14"/>
  <c r="IG110" i="14"/>
  <c r="IE110" i="14"/>
  <c r="ID110" i="14"/>
  <c r="IL110" i="14"/>
  <c r="IM110" i="14"/>
  <c r="IO110" i="14"/>
  <c r="HV110" i="14"/>
  <c r="IE142" i="14"/>
  <c r="IL142" i="14"/>
  <c r="IM142" i="14"/>
  <c r="IN142" i="14"/>
  <c r="ID142" i="14"/>
  <c r="IF142" i="14"/>
  <c r="HV142" i="14"/>
  <c r="HW142" i="14"/>
  <c r="IG103" i="14"/>
  <c r="IL103" i="14"/>
  <c r="HV103" i="14"/>
  <c r="IO103" i="14"/>
  <c r="ID103" i="14"/>
  <c r="IM63" i="14"/>
  <c r="IN63" i="14"/>
  <c r="IG63" i="14"/>
  <c r="IO63" i="14"/>
  <c r="IE63" i="14"/>
  <c r="HW63" i="14"/>
  <c r="IF63" i="14"/>
  <c r="HX63" i="14"/>
  <c r="HV107" i="14"/>
  <c r="ID107" i="14"/>
  <c r="IL107" i="14"/>
  <c r="IO107" i="14"/>
  <c r="IG107" i="14"/>
  <c r="IF88" i="14"/>
  <c r="IL88" i="14"/>
  <c r="IG88" i="14"/>
  <c r="IN88" i="14"/>
  <c r="IO88" i="14"/>
  <c r="ID88" i="14"/>
  <c r="IM120" i="14"/>
  <c r="ID120" i="14"/>
  <c r="IE120" i="14"/>
  <c r="HW120" i="14"/>
  <c r="IL120" i="14"/>
  <c r="HV120" i="14"/>
  <c r="IL152" i="14"/>
  <c r="IP152" i="14" s="1"/>
  <c r="IM152" i="14"/>
  <c r="IN152" i="14"/>
  <c r="HW152" i="14"/>
  <c r="ID152" i="14"/>
  <c r="HX152" i="14"/>
  <c r="IE152" i="14"/>
  <c r="IF152" i="14"/>
  <c r="HV152" i="14"/>
  <c r="IL89" i="14"/>
  <c r="IN89" i="14"/>
  <c r="IG89" i="14"/>
  <c r="ID89" i="14"/>
  <c r="IF89" i="14"/>
  <c r="IO89" i="14"/>
  <c r="IM121" i="14"/>
  <c r="ID121" i="14"/>
  <c r="HV121" i="14"/>
  <c r="IL121" i="14"/>
  <c r="IE121" i="14"/>
  <c r="HW121" i="14"/>
  <c r="IM153" i="14"/>
  <c r="IN153" i="14"/>
  <c r="ID153" i="14"/>
  <c r="HV153" i="14"/>
  <c r="IE153" i="14"/>
  <c r="IF153" i="14"/>
  <c r="IL153" i="14"/>
  <c r="HW153" i="14"/>
  <c r="HX153" i="14"/>
  <c r="IN82" i="14"/>
  <c r="IF82" i="14"/>
  <c r="IO82" i="14"/>
  <c r="IG82" i="14"/>
  <c r="IL114" i="14"/>
  <c r="IM114" i="14"/>
  <c r="HV114" i="14"/>
  <c r="IG114" i="14"/>
  <c r="ID114" i="14"/>
  <c r="IE114" i="14"/>
  <c r="IO114" i="14"/>
  <c r="IL146" i="14"/>
  <c r="IM146" i="14"/>
  <c r="IN146" i="14"/>
  <c r="ID146" i="14"/>
  <c r="IE146" i="14"/>
  <c r="HV146" i="14"/>
  <c r="IF146" i="14"/>
  <c r="HW146" i="14"/>
  <c r="IM71" i="14"/>
  <c r="IN71" i="14"/>
  <c r="IG71" i="14"/>
  <c r="IF71" i="14"/>
  <c r="IO71" i="14"/>
  <c r="HX71" i="14"/>
  <c r="IE71" i="14"/>
  <c r="IM151" i="14"/>
  <c r="IN151" i="14"/>
  <c r="IL151" i="14"/>
  <c r="HV151" i="14"/>
  <c r="ID151" i="14"/>
  <c r="IE151" i="14"/>
  <c r="IF151" i="14"/>
  <c r="HW151" i="14"/>
  <c r="HX151" i="14"/>
  <c r="IM123" i="14"/>
  <c r="HV123" i="14"/>
  <c r="ID123" i="14"/>
  <c r="IE123" i="14"/>
  <c r="IL123" i="14"/>
  <c r="HW123" i="14"/>
  <c r="IM147" i="14"/>
  <c r="IN147" i="14"/>
  <c r="IF147" i="14"/>
  <c r="HV147" i="14"/>
  <c r="ID147" i="14"/>
  <c r="IE147" i="14"/>
  <c r="IL147" i="14"/>
  <c r="HW147" i="14"/>
  <c r="IM75" i="14"/>
  <c r="IN75" i="14"/>
  <c r="IG75" i="14"/>
  <c r="HX75" i="14"/>
  <c r="IO75" i="14"/>
  <c r="IE75" i="14"/>
  <c r="IF75" i="14"/>
  <c r="IN92" i="14"/>
  <c r="IO92" i="14"/>
  <c r="ID92" i="14"/>
  <c r="IL92" i="14"/>
  <c r="IF92" i="14"/>
  <c r="IG92" i="14"/>
  <c r="HV92" i="14"/>
  <c r="IL124" i="14"/>
  <c r="IM124" i="14"/>
  <c r="ID124" i="14"/>
  <c r="IE124" i="14"/>
  <c r="HW124" i="14"/>
  <c r="HV124" i="14"/>
  <c r="IN156" i="14"/>
  <c r="IE156" i="14"/>
  <c r="IF156" i="14"/>
  <c r="IL156" i="14"/>
  <c r="IM156" i="14"/>
  <c r="ID156" i="14"/>
  <c r="HW156" i="14"/>
  <c r="HX156" i="14"/>
  <c r="HV156" i="14"/>
  <c r="IM61" i="14"/>
  <c r="IN61" i="14"/>
  <c r="IE61" i="14"/>
  <c r="IO61" i="14"/>
  <c r="IF61" i="14"/>
  <c r="HW61" i="14"/>
  <c r="IG61" i="14"/>
  <c r="HX61" i="14"/>
  <c r="IN93" i="14"/>
  <c r="HV93" i="14"/>
  <c r="IL93" i="14"/>
  <c r="ID93" i="14"/>
  <c r="IO93" i="14"/>
  <c r="IG93" i="14"/>
  <c r="IF93" i="14"/>
  <c r="IM125" i="14"/>
  <c r="HV125" i="14"/>
  <c r="IE125" i="14"/>
  <c r="IL125" i="14"/>
  <c r="HW125" i="14"/>
  <c r="ID125" i="14"/>
  <c r="IM157" i="14"/>
  <c r="IN157" i="14"/>
  <c r="HV157" i="14"/>
  <c r="ID157" i="14"/>
  <c r="IE157" i="14"/>
  <c r="IF157" i="14"/>
  <c r="HW157" i="14"/>
  <c r="IL157" i="14"/>
  <c r="HX157" i="14"/>
  <c r="IG86" i="14"/>
  <c r="IN86" i="14"/>
  <c r="IO86" i="14"/>
  <c r="ID86" i="14"/>
  <c r="IF86" i="14"/>
  <c r="IL86" i="14"/>
  <c r="IG118" i="14"/>
  <c r="IE118" i="14"/>
  <c r="IL118" i="14"/>
  <c r="IM118" i="14"/>
  <c r="ID118" i="14"/>
  <c r="HV118" i="14"/>
  <c r="IO118" i="14"/>
  <c r="IE150" i="14"/>
  <c r="ID150" i="14"/>
  <c r="IF150" i="14"/>
  <c r="IL150" i="14"/>
  <c r="IM150" i="14"/>
  <c r="HV150" i="14"/>
  <c r="IN150" i="14"/>
  <c r="HW150" i="14"/>
  <c r="HX150" i="14"/>
  <c r="IM131" i="14"/>
  <c r="HV131" i="14"/>
  <c r="IE131" i="14"/>
  <c r="IL131" i="14"/>
  <c r="ID131" i="14"/>
  <c r="HW131" i="14"/>
  <c r="IM119" i="14"/>
  <c r="IG119" i="14"/>
  <c r="IL119" i="14"/>
  <c r="HV119" i="14"/>
  <c r="IO119" i="14"/>
  <c r="IE119" i="14"/>
  <c r="ID119" i="14"/>
  <c r="IM115" i="14"/>
  <c r="HV115" i="14"/>
  <c r="IG115" i="14"/>
  <c r="IL115" i="14"/>
  <c r="ID115" i="14"/>
  <c r="IO115" i="14"/>
  <c r="IE115" i="14"/>
  <c r="IF64" i="14"/>
  <c r="IM64" i="14"/>
  <c r="IG64" i="14"/>
  <c r="IE64" i="14"/>
  <c r="HW64" i="14"/>
  <c r="HX64" i="14"/>
  <c r="IN64" i="14"/>
  <c r="IO64" i="14"/>
  <c r="IL96" i="14"/>
  <c r="IN96" i="14"/>
  <c r="ID96" i="14"/>
  <c r="IO96" i="14"/>
  <c r="IG96" i="14"/>
  <c r="IF96" i="14"/>
  <c r="HV96" i="14"/>
  <c r="IL128" i="14"/>
  <c r="IM128" i="14"/>
  <c r="ID128" i="14"/>
  <c r="IE128" i="14"/>
  <c r="HW128" i="14"/>
  <c r="HV128" i="14"/>
  <c r="IN160" i="14"/>
  <c r="ID160" i="14"/>
  <c r="IE160" i="14"/>
  <c r="IF160" i="14"/>
  <c r="IL160" i="14"/>
  <c r="IM160" i="14"/>
  <c r="HW160" i="14"/>
  <c r="HX160" i="14"/>
  <c r="HV160" i="14"/>
  <c r="IM65" i="14"/>
  <c r="IN65" i="14"/>
  <c r="IE65" i="14"/>
  <c r="IO65" i="14"/>
  <c r="IG65" i="14"/>
  <c r="IF65" i="14"/>
  <c r="HX65" i="14"/>
  <c r="IN97" i="14"/>
  <c r="ID97" i="14"/>
  <c r="HV97" i="14"/>
  <c r="IL97" i="14"/>
  <c r="IO97" i="14"/>
  <c r="IG97" i="14"/>
  <c r="IF97" i="14"/>
  <c r="IM129" i="14"/>
  <c r="ID129" i="14"/>
  <c r="HV129" i="14"/>
  <c r="IE129" i="14"/>
  <c r="IL129" i="14"/>
  <c r="HW129" i="14"/>
  <c r="IF60" i="14"/>
  <c r="IE60" i="14"/>
  <c r="IO60" i="14"/>
  <c r="IG60" i="14"/>
  <c r="IN60" i="14"/>
  <c r="IM60" i="14"/>
  <c r="HW60" i="14"/>
  <c r="HX60" i="14"/>
  <c r="IL90" i="14"/>
  <c r="IG90" i="14"/>
  <c r="ID90" i="14"/>
  <c r="IN90" i="14"/>
  <c r="IF90" i="14"/>
  <c r="IO90" i="14"/>
  <c r="HV90" i="14"/>
  <c r="IL122" i="14"/>
  <c r="IM122" i="14"/>
  <c r="ID122" i="14"/>
  <c r="IE122" i="14"/>
  <c r="HV122" i="14"/>
  <c r="HW122" i="14"/>
  <c r="IL154" i="14"/>
  <c r="IN154" i="14"/>
  <c r="ID154" i="14"/>
  <c r="IE154" i="14"/>
  <c r="IF154" i="14"/>
  <c r="HX154" i="14"/>
  <c r="IM154" i="14"/>
  <c r="HV154" i="14"/>
  <c r="HW154" i="14"/>
  <c r="IN99" i="14"/>
  <c r="IG99" i="14"/>
  <c r="IF99" i="14"/>
  <c r="HV99" i="14"/>
  <c r="IL99" i="14"/>
  <c r="IO99" i="14"/>
  <c r="ID99" i="14"/>
  <c r="IL87" i="14"/>
  <c r="IN87" i="14"/>
  <c r="IG87" i="14"/>
  <c r="IO87" i="14"/>
  <c r="ID87" i="14"/>
  <c r="IF87" i="14"/>
  <c r="IN83" i="14"/>
  <c r="IO83" i="14"/>
  <c r="IF83" i="14"/>
  <c r="IG83" i="14"/>
  <c r="IF68" i="14"/>
  <c r="IE68" i="14"/>
  <c r="HX68" i="14"/>
  <c r="IM68" i="14"/>
  <c r="IG68" i="14"/>
  <c r="IN68" i="14"/>
  <c r="IO68" i="14"/>
  <c r="IO100" i="14"/>
  <c r="IG100" i="14"/>
  <c r="IL100" i="14"/>
  <c r="ID100" i="14"/>
  <c r="HV100" i="14"/>
  <c r="HW132" i="14"/>
  <c r="ID132" i="14"/>
  <c r="IE132" i="14"/>
  <c r="IL132" i="14"/>
  <c r="IM132" i="14"/>
  <c r="HV132" i="14"/>
  <c r="IM69" i="14"/>
  <c r="IN69" i="14"/>
  <c r="IE69" i="14"/>
  <c r="IF69" i="14"/>
  <c r="HX69" i="14"/>
  <c r="IG69" i="14"/>
  <c r="IO69" i="14"/>
  <c r="HV101" i="14"/>
  <c r="ID101" i="14"/>
  <c r="IG101" i="14"/>
  <c r="IL101" i="14"/>
  <c r="IO101" i="14"/>
  <c r="IM133" i="14"/>
  <c r="HV133" i="14"/>
  <c r="ID133" i="14"/>
  <c r="IL133" i="14"/>
  <c r="IE133" i="14"/>
  <c r="HW133" i="14"/>
  <c r="IN62" i="14"/>
  <c r="IG62" i="14"/>
  <c r="IE62" i="14"/>
  <c r="IF62" i="14"/>
  <c r="HW62" i="14"/>
  <c r="IM62" i="14"/>
  <c r="HX62" i="14"/>
  <c r="IO62" i="14"/>
  <c r="IG94" i="14"/>
  <c r="IN94" i="14"/>
  <c r="IF94" i="14"/>
  <c r="IO94" i="14"/>
  <c r="IL94" i="14"/>
  <c r="ID94" i="14"/>
  <c r="HV94" i="14"/>
  <c r="IE126" i="14"/>
  <c r="ID126" i="14"/>
  <c r="IL126" i="14"/>
  <c r="IM126" i="14"/>
  <c r="HV126" i="14"/>
  <c r="HW126" i="14"/>
  <c r="IE158" i="14"/>
  <c r="IF158" i="14"/>
  <c r="IL158" i="14"/>
  <c r="IM158" i="14"/>
  <c r="IN158" i="14"/>
  <c r="ID158" i="14"/>
  <c r="HV158" i="14"/>
  <c r="HW158" i="14"/>
  <c r="HX158" i="14"/>
  <c r="IM67" i="14"/>
  <c r="IF67" i="14"/>
  <c r="IN67" i="14"/>
  <c r="IO67" i="14"/>
  <c r="IG67" i="14"/>
  <c r="HX67" i="14"/>
  <c r="IE67" i="14"/>
  <c r="IM143" i="14"/>
  <c r="IN143" i="14"/>
  <c r="IL143" i="14"/>
  <c r="HV143" i="14"/>
  <c r="IF143" i="14"/>
  <c r="HW143" i="14"/>
  <c r="ID143" i="14"/>
  <c r="IE143" i="14"/>
  <c r="IE72" i="14"/>
  <c r="IF72" i="14"/>
  <c r="IM72" i="14"/>
  <c r="IN72" i="14"/>
  <c r="IO72" i="14"/>
  <c r="IG72" i="14"/>
  <c r="HX72" i="14"/>
  <c r="IG104" i="14"/>
  <c r="IL104" i="14"/>
  <c r="IO104" i="14"/>
  <c r="ID104" i="14"/>
  <c r="HV104" i="14"/>
  <c r="IL136" i="14"/>
  <c r="IM136" i="14"/>
  <c r="ID136" i="14"/>
  <c r="IN136" i="14"/>
  <c r="IE136" i="14"/>
  <c r="HW136" i="14"/>
  <c r="IF136" i="14"/>
  <c r="HV136" i="14"/>
  <c r="IM73" i="14"/>
  <c r="IN73" i="14"/>
  <c r="IE73" i="14"/>
  <c r="IF73" i="14"/>
  <c r="IO73" i="14"/>
  <c r="IG73" i="14"/>
  <c r="HX73" i="14"/>
  <c r="ID105" i="14"/>
  <c r="HV105" i="14"/>
  <c r="IO105" i="14"/>
  <c r="IG105" i="14"/>
  <c r="IL105" i="14"/>
  <c r="IM137" i="14"/>
  <c r="IN137" i="14"/>
  <c r="ID137" i="14"/>
  <c r="HV137" i="14"/>
  <c r="IF137" i="14"/>
  <c r="IL137" i="14"/>
  <c r="IE137" i="14"/>
  <c r="HW137" i="14"/>
  <c r="IM66" i="14"/>
  <c r="IN66" i="14"/>
  <c r="HX66" i="14"/>
  <c r="IO66" i="14"/>
  <c r="IG66" i="14"/>
  <c r="IE66" i="14"/>
  <c r="IF66" i="14"/>
  <c r="IL98" i="14"/>
  <c r="IO98" i="14"/>
  <c r="IF98" i="14"/>
  <c r="IN98" i="14"/>
  <c r="IG98" i="14"/>
  <c r="HV98" i="14"/>
  <c r="ID98" i="14"/>
  <c r="IL130" i="14"/>
  <c r="IM130" i="14"/>
  <c r="ID130" i="14"/>
  <c r="IE130" i="14"/>
  <c r="HV130" i="14"/>
  <c r="HW130" i="14"/>
  <c r="IM159" i="14"/>
  <c r="IN159" i="14"/>
  <c r="IL159" i="14"/>
  <c r="HV159" i="14"/>
  <c r="ID159" i="14"/>
  <c r="IE159" i="14"/>
  <c r="IF159" i="14"/>
  <c r="HW159" i="14"/>
  <c r="HX159" i="14"/>
  <c r="IN91" i="14"/>
  <c r="IF91" i="14"/>
  <c r="HV91" i="14"/>
  <c r="IL91" i="14"/>
  <c r="IO91" i="14"/>
  <c r="IG91" i="14"/>
  <c r="ID91" i="14"/>
  <c r="FT111" i="14"/>
  <c r="FL111" i="14"/>
  <c r="GB111" i="14"/>
  <c r="CG111" i="14"/>
  <c r="CI111" i="14"/>
  <c r="CF111" i="14"/>
  <c r="BX111" i="14"/>
  <c r="BY111" i="14"/>
  <c r="BS111" i="14"/>
  <c r="BQ111" i="14"/>
  <c r="CA111" i="14"/>
  <c r="BP111" i="14"/>
  <c r="FN76" i="14"/>
  <c r="FV76" i="14"/>
  <c r="GD76" i="14"/>
  <c r="CI76" i="14"/>
  <c r="BY76" i="14"/>
  <c r="CG76" i="14"/>
  <c r="BZ76" i="14"/>
  <c r="CH76" i="14"/>
  <c r="CA76" i="14"/>
  <c r="BQ76" i="14"/>
  <c r="BS76" i="14"/>
  <c r="BR76" i="14"/>
  <c r="GB108" i="14"/>
  <c r="FL108" i="14"/>
  <c r="FT108" i="14"/>
  <c r="CI108" i="14"/>
  <c r="CA108" i="14"/>
  <c r="BP108" i="14"/>
  <c r="BS108" i="14"/>
  <c r="BX108" i="14"/>
  <c r="CF108" i="14"/>
  <c r="GB140" i="14"/>
  <c r="FT140" i="14"/>
  <c r="GC140" i="14"/>
  <c r="FU140" i="14"/>
  <c r="FM140" i="14"/>
  <c r="BY140" i="14"/>
  <c r="BZ140" i="14"/>
  <c r="CG140" i="14"/>
  <c r="FL140" i="14"/>
  <c r="CH140" i="14"/>
  <c r="BP140" i="14"/>
  <c r="BR140" i="14"/>
  <c r="CF140" i="14"/>
  <c r="BX140" i="14"/>
  <c r="BQ140" i="14"/>
  <c r="GD77" i="14"/>
  <c r="FV77" i="14"/>
  <c r="FN77" i="14"/>
  <c r="BS77" i="14"/>
  <c r="CG77" i="14"/>
  <c r="BY77" i="14"/>
  <c r="CH77" i="14"/>
  <c r="BZ77" i="14"/>
  <c r="CA77" i="14"/>
  <c r="CI77" i="14"/>
  <c r="BR77" i="14"/>
  <c r="BQ77" i="14"/>
  <c r="GB109" i="14"/>
  <c r="FT109" i="14"/>
  <c r="FL109" i="14"/>
  <c r="CI109" i="14"/>
  <c r="BS109" i="14"/>
  <c r="BP109" i="14"/>
  <c r="CF109" i="14"/>
  <c r="BX109" i="14"/>
  <c r="CA109" i="14"/>
  <c r="FU141" i="14"/>
  <c r="GB141" i="14"/>
  <c r="FT141" i="14"/>
  <c r="GC141" i="14"/>
  <c r="CG141" i="14"/>
  <c r="FM141" i="14"/>
  <c r="CH141" i="14"/>
  <c r="BP141" i="14"/>
  <c r="FL141" i="14"/>
  <c r="CF141" i="14"/>
  <c r="BX141" i="14"/>
  <c r="BY141" i="14"/>
  <c r="BZ141" i="14"/>
  <c r="BQ141" i="14"/>
  <c r="BR141" i="14"/>
  <c r="GD70" i="14"/>
  <c r="FN70" i="14"/>
  <c r="BY70" i="14"/>
  <c r="BZ70" i="14"/>
  <c r="CA70" i="14"/>
  <c r="FV70" i="14"/>
  <c r="BR70" i="14"/>
  <c r="BQ70" i="14"/>
  <c r="CG70" i="14"/>
  <c r="CH70" i="14"/>
  <c r="CI70" i="14"/>
  <c r="BS70" i="14"/>
  <c r="GB102" i="14"/>
  <c r="FT102" i="14"/>
  <c r="FL102" i="14"/>
  <c r="CI102" i="14"/>
  <c r="CF102" i="14"/>
  <c r="BS102" i="14"/>
  <c r="BP102" i="14"/>
  <c r="BX102" i="14"/>
  <c r="CA102" i="14"/>
  <c r="GB134" i="14"/>
  <c r="GC134" i="14"/>
  <c r="FT134" i="14"/>
  <c r="FL134" i="14"/>
  <c r="FU134" i="14"/>
  <c r="FM134" i="14"/>
  <c r="BY134" i="14"/>
  <c r="CF134" i="14"/>
  <c r="CG134" i="14"/>
  <c r="BQ134" i="14"/>
  <c r="BP134" i="14"/>
  <c r="BX134" i="14"/>
  <c r="GB127" i="14"/>
  <c r="FT127" i="14"/>
  <c r="GC127" i="14"/>
  <c r="FU127" i="14"/>
  <c r="CG127" i="14"/>
  <c r="FM127" i="14"/>
  <c r="CF127" i="14"/>
  <c r="FL127" i="14"/>
  <c r="BX127" i="14"/>
  <c r="BY127" i="14"/>
  <c r="BQ127" i="14"/>
  <c r="BP127" i="14"/>
  <c r="GC155" i="14"/>
  <c r="GD155" i="14"/>
  <c r="FT155" i="14"/>
  <c r="FU155" i="14"/>
  <c r="FM155" i="14"/>
  <c r="FV155" i="14"/>
  <c r="GB155" i="14"/>
  <c r="FN155" i="14"/>
  <c r="CG155" i="14"/>
  <c r="FL155" i="14"/>
  <c r="CF155" i="14"/>
  <c r="CH155" i="14"/>
  <c r="BQ155" i="14"/>
  <c r="BZ155" i="14"/>
  <c r="BR155" i="14"/>
  <c r="BP155" i="14"/>
  <c r="BX155" i="14"/>
  <c r="BY155" i="14"/>
  <c r="GD79" i="14"/>
  <c r="FN79" i="14"/>
  <c r="CH79" i="14"/>
  <c r="BY79" i="14"/>
  <c r="FV79" i="14"/>
  <c r="CI79" i="14"/>
  <c r="BZ79" i="14"/>
  <c r="CA79" i="14"/>
  <c r="CG79" i="14"/>
  <c r="BQ79" i="14"/>
  <c r="BS79" i="14"/>
  <c r="BR79" i="14"/>
  <c r="BR80" i="14"/>
  <c r="CH80" i="14"/>
  <c r="CI80" i="14"/>
  <c r="BZ80" i="14"/>
  <c r="BS80" i="14"/>
  <c r="CA80" i="14"/>
  <c r="GB112" i="14"/>
  <c r="FT112" i="14"/>
  <c r="BY112" i="14"/>
  <c r="CF112" i="14"/>
  <c r="CG112" i="14"/>
  <c r="FL112" i="14"/>
  <c r="CA112" i="14"/>
  <c r="BP112" i="14"/>
  <c r="CI112" i="14"/>
  <c r="BS112" i="14"/>
  <c r="BQ112" i="14"/>
  <c r="BX112" i="14"/>
  <c r="FT144" i="14"/>
  <c r="FU144" i="14"/>
  <c r="GC144" i="14"/>
  <c r="GB144" i="14"/>
  <c r="BY144" i="14"/>
  <c r="CF144" i="14"/>
  <c r="CG144" i="14"/>
  <c r="FL144" i="14"/>
  <c r="BR144" i="14"/>
  <c r="FM144" i="14"/>
  <c r="BX144" i="14"/>
  <c r="BZ144" i="14"/>
  <c r="CH144" i="14"/>
  <c r="BQ144" i="14"/>
  <c r="BP144" i="14"/>
  <c r="BZ81" i="14"/>
  <c r="CA81" i="14"/>
  <c r="CH81" i="14"/>
  <c r="CI81" i="14"/>
  <c r="BR81" i="14"/>
  <c r="BS81" i="14"/>
  <c r="GB113" i="14"/>
  <c r="FT113" i="14"/>
  <c r="FL113" i="14"/>
  <c r="CG113" i="14"/>
  <c r="BX113" i="14"/>
  <c r="CI113" i="14"/>
  <c r="BY113" i="14"/>
  <c r="CA113" i="14"/>
  <c r="BP113" i="14"/>
  <c r="CF113" i="14"/>
  <c r="BS113" i="14"/>
  <c r="BQ113" i="14"/>
  <c r="GB145" i="14"/>
  <c r="GC145" i="14"/>
  <c r="FU145" i="14"/>
  <c r="FT145" i="14"/>
  <c r="CG145" i="14"/>
  <c r="FL145" i="14"/>
  <c r="FM145" i="14"/>
  <c r="CH145" i="14"/>
  <c r="BX145" i="14"/>
  <c r="BY145" i="14"/>
  <c r="BR145" i="14"/>
  <c r="BZ145" i="14"/>
  <c r="CF145" i="14"/>
  <c r="BQ145" i="14"/>
  <c r="BP145" i="14"/>
  <c r="GD74" i="14"/>
  <c r="FN74" i="14"/>
  <c r="CH74" i="14"/>
  <c r="BY74" i="14"/>
  <c r="FV74" i="14"/>
  <c r="CG74" i="14"/>
  <c r="CA74" i="14"/>
  <c r="CI74" i="14"/>
  <c r="BS74" i="14"/>
  <c r="BZ74" i="14"/>
  <c r="BR74" i="14"/>
  <c r="BQ74" i="14"/>
  <c r="GB106" i="14"/>
  <c r="FT106" i="14"/>
  <c r="FL106" i="14"/>
  <c r="BX106" i="14"/>
  <c r="CI106" i="14"/>
  <c r="CF106" i="14"/>
  <c r="BP106" i="14"/>
  <c r="CA106" i="14"/>
  <c r="BS106" i="14"/>
  <c r="GC138" i="14"/>
  <c r="FU138" i="14"/>
  <c r="BY138" i="14"/>
  <c r="GB138" i="14"/>
  <c r="FL138" i="14"/>
  <c r="FM138" i="14"/>
  <c r="CH138" i="14"/>
  <c r="BX138" i="14"/>
  <c r="BZ138" i="14"/>
  <c r="BP138" i="14"/>
  <c r="BQ138" i="14"/>
  <c r="BR138" i="14"/>
  <c r="CF138" i="14"/>
  <c r="CG138" i="14"/>
  <c r="FT138" i="14"/>
  <c r="FT95" i="14"/>
  <c r="CI95" i="14"/>
  <c r="GB95" i="14"/>
  <c r="BZ95" i="14"/>
  <c r="CA95" i="14"/>
  <c r="CF95" i="14"/>
  <c r="CH95" i="14"/>
  <c r="BX95" i="14"/>
  <c r="FL95" i="14"/>
  <c r="BR95" i="14"/>
  <c r="BP95" i="14"/>
  <c r="BS95" i="14"/>
  <c r="GB135" i="14"/>
  <c r="FT135" i="14"/>
  <c r="GC135" i="14"/>
  <c r="FU135" i="14"/>
  <c r="CG135" i="14"/>
  <c r="FL135" i="14"/>
  <c r="FM135" i="14"/>
  <c r="CF135" i="14"/>
  <c r="CH135" i="14"/>
  <c r="BX135" i="14"/>
  <c r="BY135" i="14"/>
  <c r="BZ135" i="14"/>
  <c r="BQ135" i="14"/>
  <c r="BP135" i="14"/>
  <c r="BR135" i="14"/>
  <c r="GC139" i="14"/>
  <c r="FT139" i="14"/>
  <c r="FU139" i="14"/>
  <c r="FM139" i="14"/>
  <c r="GB139" i="14"/>
  <c r="CG139" i="14"/>
  <c r="CF139" i="14"/>
  <c r="CH139" i="14"/>
  <c r="BQ139" i="14"/>
  <c r="BP139" i="14"/>
  <c r="BX139" i="14"/>
  <c r="BR139" i="14"/>
  <c r="BY139" i="14"/>
  <c r="BZ139" i="14"/>
  <c r="FL139" i="14"/>
  <c r="CH84" i="14"/>
  <c r="CI84" i="14"/>
  <c r="BZ84" i="14"/>
  <c r="BS84" i="14"/>
  <c r="CA84" i="14"/>
  <c r="BR84" i="14"/>
  <c r="GB116" i="14"/>
  <c r="FT116" i="14"/>
  <c r="FL116" i="14"/>
  <c r="BY116" i="14"/>
  <c r="CG116" i="14"/>
  <c r="CI116" i="14"/>
  <c r="CF116" i="14"/>
  <c r="BQ116" i="14"/>
  <c r="BS116" i="14"/>
  <c r="BX116" i="14"/>
  <c r="CA116" i="14"/>
  <c r="BP116" i="14"/>
  <c r="GB148" i="14"/>
  <c r="GC148" i="14"/>
  <c r="FU148" i="14"/>
  <c r="BY148" i="14"/>
  <c r="FM148" i="14"/>
  <c r="CG148" i="14"/>
  <c r="CH148" i="14"/>
  <c r="FT148" i="14"/>
  <c r="FL148" i="14"/>
  <c r="CF148" i="14"/>
  <c r="BP148" i="14"/>
  <c r="BR148" i="14"/>
  <c r="BX148" i="14"/>
  <c r="BZ148" i="14"/>
  <c r="BQ148" i="14"/>
  <c r="BS85" i="14"/>
  <c r="BZ85" i="14"/>
  <c r="BP85" i="14"/>
  <c r="CA85" i="14"/>
  <c r="CH85" i="14"/>
  <c r="CI85" i="14"/>
  <c r="BX85" i="14"/>
  <c r="BR85" i="14"/>
  <c r="CF85" i="14"/>
  <c r="GB117" i="14"/>
  <c r="FT117" i="14"/>
  <c r="CG117" i="14"/>
  <c r="FL117" i="14"/>
  <c r="BS117" i="14"/>
  <c r="BP117" i="14"/>
  <c r="CA117" i="14"/>
  <c r="CF117" i="14"/>
  <c r="CI117" i="14"/>
  <c r="BX117" i="14"/>
  <c r="BY117" i="14"/>
  <c r="BQ117" i="14"/>
  <c r="FU149" i="14"/>
  <c r="GB149" i="14"/>
  <c r="FT149" i="14"/>
  <c r="GC149" i="14"/>
  <c r="FM149" i="14"/>
  <c r="CG149" i="14"/>
  <c r="FL149" i="14"/>
  <c r="BZ149" i="14"/>
  <c r="BP149" i="14"/>
  <c r="BY149" i="14"/>
  <c r="BQ149" i="14"/>
  <c r="CF149" i="14"/>
  <c r="CH149" i="14"/>
  <c r="BR149" i="14"/>
  <c r="BX149" i="14"/>
  <c r="GD78" i="14"/>
  <c r="FN78" i="14"/>
  <c r="FV78" i="14"/>
  <c r="BY78" i="14"/>
  <c r="CI78" i="14"/>
  <c r="CA78" i="14"/>
  <c r="CH78" i="14"/>
  <c r="BQ78" i="14"/>
  <c r="BZ78" i="14"/>
  <c r="BS78" i="14"/>
  <c r="CG78" i="14"/>
  <c r="BR78" i="14"/>
  <c r="GB110" i="14"/>
  <c r="FT110" i="14"/>
  <c r="FL110" i="14"/>
  <c r="BY110" i="14"/>
  <c r="CF110" i="14"/>
  <c r="CA110" i="14"/>
  <c r="BS110" i="14"/>
  <c r="BP110" i="14"/>
  <c r="CG110" i="14"/>
  <c r="BX110" i="14"/>
  <c r="CI110" i="14"/>
  <c r="BQ110" i="14"/>
  <c r="GB142" i="14"/>
  <c r="GC142" i="14"/>
  <c r="FT142" i="14"/>
  <c r="FL142" i="14"/>
  <c r="FU142" i="14"/>
  <c r="BY142" i="14"/>
  <c r="FM142" i="14"/>
  <c r="CF142" i="14"/>
  <c r="CG142" i="14"/>
  <c r="CH142" i="14"/>
  <c r="BQ142" i="14"/>
  <c r="BX142" i="14"/>
  <c r="BP142" i="14"/>
  <c r="BZ142" i="14"/>
  <c r="BR142" i="14"/>
  <c r="FT103" i="14"/>
  <c r="GB103" i="14"/>
  <c r="CF103" i="14"/>
  <c r="CA103" i="14"/>
  <c r="CI103" i="14"/>
  <c r="BP103" i="14"/>
  <c r="FL103" i="14"/>
  <c r="BS103" i="14"/>
  <c r="BX103" i="14"/>
  <c r="GD63" i="14"/>
  <c r="FM63" i="14"/>
  <c r="GC63" i="14"/>
  <c r="FN63" i="14"/>
  <c r="FU63" i="14"/>
  <c r="FV63" i="14"/>
  <c r="CI63" i="14"/>
  <c r="BY63" i="14"/>
  <c r="BZ63" i="14"/>
  <c r="CA63" i="14"/>
  <c r="CG63" i="14"/>
  <c r="CH63" i="14"/>
  <c r="BS63" i="14"/>
  <c r="BR63" i="14"/>
  <c r="BQ63" i="14"/>
  <c r="FT107" i="14"/>
  <c r="GB107" i="14"/>
  <c r="CF107" i="14"/>
  <c r="CI107" i="14"/>
  <c r="BX107" i="14"/>
  <c r="CA107" i="14"/>
  <c r="FL107" i="14"/>
  <c r="BP107" i="14"/>
  <c r="BS107" i="14"/>
  <c r="CI88" i="14"/>
  <c r="BZ88" i="14"/>
  <c r="CA88" i="14"/>
  <c r="BR88" i="14"/>
  <c r="CH88" i="14"/>
  <c r="BX88" i="14"/>
  <c r="BS88" i="14"/>
  <c r="CF88" i="14"/>
  <c r="BP88" i="14"/>
  <c r="FT120" i="14"/>
  <c r="FU120" i="14"/>
  <c r="GB120" i="14"/>
  <c r="GC120" i="14"/>
  <c r="BY120" i="14"/>
  <c r="FM120" i="14"/>
  <c r="CG120" i="14"/>
  <c r="FL120" i="14"/>
  <c r="BX120" i="14"/>
  <c r="BQ120" i="14"/>
  <c r="BP120" i="14"/>
  <c r="CF120" i="14"/>
  <c r="GD152" i="14"/>
  <c r="FT152" i="14"/>
  <c r="FU152" i="14"/>
  <c r="FV152" i="14"/>
  <c r="FN152" i="14"/>
  <c r="GC152" i="14"/>
  <c r="FM152" i="14"/>
  <c r="BY152" i="14"/>
  <c r="FL152" i="14"/>
  <c r="CG152" i="14"/>
  <c r="BR152" i="14"/>
  <c r="CH152" i="14"/>
  <c r="BX152" i="14"/>
  <c r="CF152" i="14"/>
  <c r="BQ152" i="14"/>
  <c r="BP152" i="14"/>
  <c r="GB152" i="14"/>
  <c r="BZ152" i="14"/>
  <c r="CF89" i="14"/>
  <c r="CH89" i="14"/>
  <c r="BX89" i="14"/>
  <c r="BR89" i="14"/>
  <c r="BZ89" i="14"/>
  <c r="CA89" i="14"/>
  <c r="BS89" i="14"/>
  <c r="CI89" i="14"/>
  <c r="BP89" i="14"/>
  <c r="GB121" i="14"/>
  <c r="GC121" i="14"/>
  <c r="FT121" i="14"/>
  <c r="FU121" i="14"/>
  <c r="CG121" i="14"/>
  <c r="FL121" i="14"/>
  <c r="CF121" i="14"/>
  <c r="FM121" i="14"/>
  <c r="BQ121" i="14"/>
  <c r="BP121" i="14"/>
  <c r="BX121" i="14"/>
  <c r="BY121" i="14"/>
  <c r="GB153" i="14"/>
  <c r="GC153" i="14"/>
  <c r="GD153" i="14"/>
  <c r="FV153" i="14"/>
  <c r="FU153" i="14"/>
  <c r="CG153" i="14"/>
  <c r="FT153" i="14"/>
  <c r="CF153" i="14"/>
  <c r="FL153" i="14"/>
  <c r="CH153" i="14"/>
  <c r="BR153" i="14"/>
  <c r="BX153" i="14"/>
  <c r="BY153" i="14"/>
  <c r="FM153" i="14"/>
  <c r="BZ153" i="14"/>
  <c r="FN153" i="14"/>
  <c r="BQ153" i="14"/>
  <c r="BP153" i="14"/>
  <c r="CH82" i="14"/>
  <c r="BZ82" i="14"/>
  <c r="BS82" i="14"/>
  <c r="CA82" i="14"/>
  <c r="BR82" i="14"/>
  <c r="CI82" i="14"/>
  <c r="GB114" i="14"/>
  <c r="FT114" i="14"/>
  <c r="FL114" i="14"/>
  <c r="BY114" i="14"/>
  <c r="CF114" i="14"/>
  <c r="CG114" i="14"/>
  <c r="BX114" i="14"/>
  <c r="CA114" i="14"/>
  <c r="BP114" i="14"/>
  <c r="CI114" i="14"/>
  <c r="BS114" i="14"/>
  <c r="BQ114" i="14"/>
  <c r="GB146" i="14"/>
  <c r="FT146" i="14"/>
  <c r="GC146" i="14"/>
  <c r="FU146" i="14"/>
  <c r="FM146" i="14"/>
  <c r="BY146" i="14"/>
  <c r="CF146" i="14"/>
  <c r="CG146" i="14"/>
  <c r="CH146" i="14"/>
  <c r="BZ146" i="14"/>
  <c r="BR146" i="14"/>
  <c r="BP146" i="14"/>
  <c r="FL146" i="14"/>
  <c r="BX146" i="14"/>
  <c r="BQ146" i="14"/>
  <c r="GD71" i="14"/>
  <c r="FV71" i="14"/>
  <c r="FN71" i="14"/>
  <c r="CH71" i="14"/>
  <c r="CI71" i="14"/>
  <c r="CA71" i="14"/>
  <c r="CG71" i="14"/>
  <c r="BS71" i="14"/>
  <c r="BY71" i="14"/>
  <c r="BR71" i="14"/>
  <c r="BZ71" i="14"/>
  <c r="BQ71" i="14"/>
  <c r="GB151" i="14"/>
  <c r="FT151" i="14"/>
  <c r="GC151" i="14"/>
  <c r="FU151" i="14"/>
  <c r="GD151" i="14"/>
  <c r="FV151" i="14"/>
  <c r="CG151" i="14"/>
  <c r="FN151" i="14"/>
  <c r="CF151" i="14"/>
  <c r="FL151" i="14"/>
  <c r="FM151" i="14"/>
  <c r="BX151" i="14"/>
  <c r="BQ151" i="14"/>
  <c r="BY151" i="14"/>
  <c r="BP151" i="14"/>
  <c r="CH151" i="14"/>
  <c r="BZ151" i="14"/>
  <c r="BR151" i="14"/>
  <c r="GC123" i="14"/>
  <c r="FT123" i="14"/>
  <c r="FU123" i="14"/>
  <c r="GB123" i="14"/>
  <c r="FM123" i="14"/>
  <c r="CG123" i="14"/>
  <c r="CF123" i="14"/>
  <c r="FL123" i="14"/>
  <c r="BQ123" i="14"/>
  <c r="BX123" i="14"/>
  <c r="BY123" i="14"/>
  <c r="BP123" i="14"/>
  <c r="GC147" i="14"/>
  <c r="FT147" i="14"/>
  <c r="FU147" i="14"/>
  <c r="FM147" i="14"/>
  <c r="CG147" i="14"/>
  <c r="GB147" i="14"/>
  <c r="BY147" i="14"/>
  <c r="BQ147" i="14"/>
  <c r="BZ147" i="14"/>
  <c r="BP147" i="14"/>
  <c r="BR147" i="14"/>
  <c r="CF147" i="14"/>
  <c r="CH147" i="14"/>
  <c r="BX147" i="14"/>
  <c r="FL147" i="14"/>
  <c r="GD75" i="14"/>
  <c r="FV75" i="14"/>
  <c r="FN75" i="14"/>
  <c r="BY75" i="14"/>
  <c r="BQ75" i="14"/>
  <c r="BS75" i="14"/>
  <c r="CG75" i="14"/>
  <c r="CH75" i="14"/>
  <c r="BR75" i="14"/>
  <c r="CI75" i="14"/>
  <c r="BZ75" i="14"/>
  <c r="CA75" i="14"/>
  <c r="GB92" i="14"/>
  <c r="FT92" i="14"/>
  <c r="FL92" i="14"/>
  <c r="CI92" i="14"/>
  <c r="BZ92" i="14"/>
  <c r="BS92" i="14"/>
  <c r="CA92" i="14"/>
  <c r="CH92" i="14"/>
  <c r="BP92" i="14"/>
  <c r="BX92" i="14"/>
  <c r="CF92" i="14"/>
  <c r="BR92" i="14"/>
  <c r="GB124" i="14"/>
  <c r="FT124" i="14"/>
  <c r="GC124" i="14"/>
  <c r="FU124" i="14"/>
  <c r="BY124" i="14"/>
  <c r="FL124" i="14"/>
  <c r="FM124" i="14"/>
  <c r="BQ124" i="14"/>
  <c r="CF124" i="14"/>
  <c r="CG124" i="14"/>
  <c r="BX124" i="14"/>
  <c r="BP124" i="14"/>
  <c r="GB156" i="14"/>
  <c r="FT156" i="14"/>
  <c r="GC156" i="14"/>
  <c r="FU156" i="14"/>
  <c r="GD156" i="14"/>
  <c r="FV156" i="14"/>
  <c r="BY156" i="14"/>
  <c r="FL156" i="14"/>
  <c r="FM156" i="14"/>
  <c r="BZ156" i="14"/>
  <c r="BQ156" i="14"/>
  <c r="BR156" i="14"/>
  <c r="BX156" i="14"/>
  <c r="BP156" i="14"/>
  <c r="CF156" i="14"/>
  <c r="CG156" i="14"/>
  <c r="FN156" i="14"/>
  <c r="CH156" i="14"/>
  <c r="GC61" i="14"/>
  <c r="GD61" i="14"/>
  <c r="FV61" i="14"/>
  <c r="FN61" i="14"/>
  <c r="FU61" i="14"/>
  <c r="FM61" i="14"/>
  <c r="BS61" i="14"/>
  <c r="CG61" i="14"/>
  <c r="CH61" i="14"/>
  <c r="BY61" i="14"/>
  <c r="CI61" i="14"/>
  <c r="BZ61" i="14"/>
  <c r="BR61" i="14"/>
  <c r="CA61" i="14"/>
  <c r="BQ61" i="14"/>
  <c r="GB93" i="14"/>
  <c r="FL93" i="14"/>
  <c r="FT93" i="14"/>
  <c r="BS93" i="14"/>
  <c r="CH93" i="14"/>
  <c r="BX93" i="14"/>
  <c r="CI93" i="14"/>
  <c r="BZ93" i="14"/>
  <c r="BP93" i="14"/>
  <c r="CF93" i="14"/>
  <c r="BR93" i="14"/>
  <c r="CA93" i="14"/>
  <c r="FU125" i="14"/>
  <c r="GB125" i="14"/>
  <c r="FT125" i="14"/>
  <c r="GC125" i="14"/>
  <c r="FL125" i="14"/>
  <c r="CG125" i="14"/>
  <c r="BP125" i="14"/>
  <c r="CF125" i="14"/>
  <c r="FM125" i="14"/>
  <c r="BQ125" i="14"/>
  <c r="BX125" i="14"/>
  <c r="BY125" i="14"/>
  <c r="FU157" i="14"/>
  <c r="FV157" i="14"/>
  <c r="GC157" i="14"/>
  <c r="GD157" i="14"/>
  <c r="CG157" i="14"/>
  <c r="CH157" i="14"/>
  <c r="FT157" i="14"/>
  <c r="FN157" i="14"/>
  <c r="BP157" i="14"/>
  <c r="CF157" i="14"/>
  <c r="GB157" i="14"/>
  <c r="FM157" i="14"/>
  <c r="BQ157" i="14"/>
  <c r="BR157" i="14"/>
  <c r="BX157" i="14"/>
  <c r="BY157" i="14"/>
  <c r="BZ157" i="14"/>
  <c r="FL157" i="14"/>
  <c r="CH86" i="14"/>
  <c r="BX86" i="14"/>
  <c r="CI86" i="14"/>
  <c r="BZ86" i="14"/>
  <c r="CA86" i="14"/>
  <c r="CF86" i="14"/>
  <c r="BS86" i="14"/>
  <c r="BP86" i="14"/>
  <c r="BR86" i="14"/>
  <c r="GB118" i="14"/>
  <c r="FT118" i="14"/>
  <c r="FL118" i="14"/>
  <c r="BY118" i="14"/>
  <c r="CI118" i="14"/>
  <c r="CF118" i="14"/>
  <c r="CG118" i="14"/>
  <c r="BS118" i="14"/>
  <c r="BP118" i="14"/>
  <c r="BX118" i="14"/>
  <c r="CA118" i="14"/>
  <c r="BQ118" i="14"/>
  <c r="GB150" i="14"/>
  <c r="GC150" i="14"/>
  <c r="GD150" i="14"/>
  <c r="FT150" i="14"/>
  <c r="FL150" i="14"/>
  <c r="FU150" i="14"/>
  <c r="FV150" i="14"/>
  <c r="BY150" i="14"/>
  <c r="CH150" i="14"/>
  <c r="CF150" i="14"/>
  <c r="CG150" i="14"/>
  <c r="FM150" i="14"/>
  <c r="FN150" i="14"/>
  <c r="BZ150" i="14"/>
  <c r="BQ150" i="14"/>
  <c r="BP150" i="14"/>
  <c r="BR150" i="14"/>
  <c r="BX150" i="14"/>
  <c r="GC131" i="14"/>
  <c r="FT131" i="14"/>
  <c r="FU131" i="14"/>
  <c r="FM131" i="14"/>
  <c r="GB131" i="14"/>
  <c r="FL131" i="14"/>
  <c r="CG131" i="14"/>
  <c r="BY131" i="14"/>
  <c r="BQ131" i="14"/>
  <c r="BX131" i="14"/>
  <c r="CF131" i="14"/>
  <c r="BP131" i="14"/>
  <c r="GB119" i="14"/>
  <c r="FT119" i="14"/>
  <c r="FL119" i="14"/>
  <c r="CG119" i="14"/>
  <c r="CF119" i="14"/>
  <c r="CA119" i="14"/>
  <c r="BX119" i="14"/>
  <c r="BQ119" i="14"/>
  <c r="BP119" i="14"/>
  <c r="BY119" i="14"/>
  <c r="BS119" i="14"/>
  <c r="CI119" i="14"/>
  <c r="FT115" i="14"/>
  <c r="GB115" i="14"/>
  <c r="CG115" i="14"/>
  <c r="CI115" i="14"/>
  <c r="BY115" i="14"/>
  <c r="BQ115" i="14"/>
  <c r="FL115" i="14"/>
  <c r="BX115" i="14"/>
  <c r="BP115" i="14"/>
  <c r="CF115" i="14"/>
  <c r="CA115" i="14"/>
  <c r="BS115" i="14"/>
  <c r="GC64" i="14"/>
  <c r="GD64" i="14"/>
  <c r="FU64" i="14"/>
  <c r="FV64" i="14"/>
  <c r="FM64" i="14"/>
  <c r="FN64" i="14"/>
  <c r="BY64" i="14"/>
  <c r="CG64" i="14"/>
  <c r="CH64" i="14"/>
  <c r="BR64" i="14"/>
  <c r="BQ64" i="14"/>
  <c r="BZ64" i="14"/>
  <c r="CA64" i="14"/>
  <c r="BS64" i="14"/>
  <c r="CI64" i="14"/>
  <c r="GB96" i="14"/>
  <c r="FT96" i="14"/>
  <c r="CF96" i="14"/>
  <c r="FL96" i="14"/>
  <c r="BR96" i="14"/>
  <c r="BS96" i="14"/>
  <c r="BX96" i="14"/>
  <c r="BZ96" i="14"/>
  <c r="CA96" i="14"/>
  <c r="BP96" i="14"/>
  <c r="CH96" i="14"/>
  <c r="CI96" i="14"/>
  <c r="FT128" i="14"/>
  <c r="FU128" i="14"/>
  <c r="GC128" i="14"/>
  <c r="FL128" i="14"/>
  <c r="BY128" i="14"/>
  <c r="CF128" i="14"/>
  <c r="FM128" i="14"/>
  <c r="CG128" i="14"/>
  <c r="GB128" i="14"/>
  <c r="BX128" i="14"/>
  <c r="BQ128" i="14"/>
  <c r="BP128" i="14"/>
  <c r="GD160" i="14"/>
  <c r="FT160" i="14"/>
  <c r="FU160" i="14"/>
  <c r="FN160" i="14"/>
  <c r="GB160" i="14"/>
  <c r="GC160" i="14"/>
  <c r="FV160" i="14"/>
  <c r="BY160" i="14"/>
  <c r="CF160" i="14"/>
  <c r="CG160" i="14"/>
  <c r="BR160" i="14"/>
  <c r="FL160" i="14"/>
  <c r="FM160" i="14"/>
  <c r="CH160" i="14"/>
  <c r="BX160" i="14"/>
  <c r="BQ160" i="14"/>
  <c r="BZ160" i="14"/>
  <c r="BP160" i="14"/>
  <c r="FN65" i="14"/>
  <c r="GD65" i="14"/>
  <c r="CG65" i="14"/>
  <c r="BZ65" i="14"/>
  <c r="CA65" i="14"/>
  <c r="FV65" i="14"/>
  <c r="CI65" i="14"/>
  <c r="BS65" i="14"/>
  <c r="BY65" i="14"/>
  <c r="BR65" i="14"/>
  <c r="BQ65" i="14"/>
  <c r="CH65" i="14"/>
  <c r="GB97" i="14"/>
  <c r="FT97" i="14"/>
  <c r="FL97" i="14"/>
  <c r="BZ97" i="14"/>
  <c r="CA97" i="14"/>
  <c r="CH97" i="14"/>
  <c r="BX97" i="14"/>
  <c r="CI97" i="14"/>
  <c r="BR97" i="14"/>
  <c r="CF97" i="14"/>
  <c r="BS97" i="14"/>
  <c r="BP97" i="14"/>
  <c r="GB129" i="14"/>
  <c r="GC129" i="14"/>
  <c r="FU129" i="14"/>
  <c r="CG129" i="14"/>
  <c r="BX129" i="14"/>
  <c r="BY129" i="14"/>
  <c r="BP129" i="14"/>
  <c r="CF129" i="14"/>
  <c r="FT129" i="14"/>
  <c r="FL129" i="14"/>
  <c r="FM129" i="14"/>
  <c r="BQ129" i="14"/>
  <c r="GD60" i="14"/>
  <c r="FU60" i="14"/>
  <c r="GC60" i="14"/>
  <c r="FM60" i="14"/>
  <c r="CH60" i="14"/>
  <c r="FN60" i="14"/>
  <c r="CG60" i="14"/>
  <c r="CA60" i="14"/>
  <c r="BZ60" i="14"/>
  <c r="BR60" i="14"/>
  <c r="BY60" i="14"/>
  <c r="FV60" i="14"/>
  <c r="CI60" i="14"/>
  <c r="BQ60" i="14"/>
  <c r="BS60" i="14"/>
  <c r="GB90" i="14"/>
  <c r="FT90" i="14"/>
  <c r="FL90" i="14"/>
  <c r="CA90" i="14"/>
  <c r="CH90" i="14"/>
  <c r="BX90" i="14"/>
  <c r="CI90" i="14"/>
  <c r="BZ90" i="14"/>
  <c r="BP90" i="14"/>
  <c r="BS90" i="14"/>
  <c r="CF90" i="14"/>
  <c r="BR90" i="14"/>
  <c r="GB122" i="14"/>
  <c r="FT122" i="14"/>
  <c r="GC122" i="14"/>
  <c r="FU122" i="14"/>
  <c r="FL122" i="14"/>
  <c r="BY122" i="14"/>
  <c r="BX122" i="14"/>
  <c r="CF122" i="14"/>
  <c r="FM122" i="14"/>
  <c r="CG122" i="14"/>
  <c r="BQ122" i="14"/>
  <c r="BP122" i="14"/>
  <c r="FV154" i="14"/>
  <c r="GB154" i="14"/>
  <c r="FT154" i="14"/>
  <c r="GC154" i="14"/>
  <c r="FU154" i="14"/>
  <c r="GD154" i="14"/>
  <c r="BY154" i="14"/>
  <c r="FM154" i="14"/>
  <c r="CH154" i="14"/>
  <c r="BX154" i="14"/>
  <c r="FN154" i="14"/>
  <c r="BZ154" i="14"/>
  <c r="BP154" i="14"/>
  <c r="CF154" i="14"/>
  <c r="CG154" i="14"/>
  <c r="FL154" i="14"/>
  <c r="BR154" i="14"/>
  <c r="BQ154" i="14"/>
  <c r="FT99" i="14"/>
  <c r="GB99" i="14"/>
  <c r="CA99" i="14"/>
  <c r="CI99" i="14"/>
  <c r="BZ99" i="14"/>
  <c r="CF99" i="14"/>
  <c r="CH99" i="14"/>
  <c r="BS99" i="14"/>
  <c r="BR99" i="14"/>
  <c r="FL99" i="14"/>
  <c r="BX99" i="14"/>
  <c r="BP99" i="14"/>
  <c r="CF87" i="14"/>
  <c r="CA87" i="14"/>
  <c r="BZ87" i="14"/>
  <c r="CH87" i="14"/>
  <c r="BS87" i="14"/>
  <c r="CI87" i="14"/>
  <c r="BP87" i="14"/>
  <c r="BX87" i="14"/>
  <c r="BR87" i="14"/>
  <c r="CA83" i="14"/>
  <c r="CI83" i="14"/>
  <c r="BS83" i="14"/>
  <c r="BZ83" i="14"/>
  <c r="BR83" i="14"/>
  <c r="CH83" i="14"/>
  <c r="FN68" i="14"/>
  <c r="FV68" i="14"/>
  <c r="GD68" i="14"/>
  <c r="BY68" i="14"/>
  <c r="BZ68" i="14"/>
  <c r="CH68" i="14"/>
  <c r="CI68" i="14"/>
  <c r="BQ68" i="14"/>
  <c r="CG68" i="14"/>
  <c r="CA68" i="14"/>
  <c r="BS68" i="14"/>
  <c r="BR68" i="14"/>
  <c r="GB100" i="14"/>
  <c r="FT100" i="14"/>
  <c r="BX100" i="14"/>
  <c r="CI100" i="14"/>
  <c r="FL100" i="14"/>
  <c r="CF100" i="14"/>
  <c r="CA100" i="14"/>
  <c r="BS100" i="14"/>
  <c r="BP100" i="14"/>
  <c r="GB132" i="14"/>
  <c r="GC132" i="14"/>
  <c r="FU132" i="14"/>
  <c r="FT132" i="14"/>
  <c r="BY132" i="14"/>
  <c r="CG132" i="14"/>
  <c r="FL132" i="14"/>
  <c r="CF132" i="14"/>
  <c r="FM132" i="14"/>
  <c r="BX132" i="14"/>
  <c r="BQ132" i="14"/>
  <c r="BP132" i="14"/>
  <c r="GD69" i="14"/>
  <c r="FV69" i="14"/>
  <c r="FN69" i="14"/>
  <c r="CI69" i="14"/>
  <c r="BS69" i="14"/>
  <c r="CG69" i="14"/>
  <c r="CH69" i="14"/>
  <c r="BZ69" i="14"/>
  <c r="CA69" i="14"/>
  <c r="BY69" i="14"/>
  <c r="BR69" i="14"/>
  <c r="BQ69" i="14"/>
  <c r="GB101" i="14"/>
  <c r="FT101" i="14"/>
  <c r="FL101" i="14"/>
  <c r="BS101" i="14"/>
  <c r="BP101" i="14"/>
  <c r="CA101" i="14"/>
  <c r="BX101" i="14"/>
  <c r="CF101" i="14"/>
  <c r="CI101" i="14"/>
  <c r="FU133" i="14"/>
  <c r="GC133" i="14"/>
  <c r="CG133" i="14"/>
  <c r="FM133" i="14"/>
  <c r="BP133" i="14"/>
  <c r="GB133" i="14"/>
  <c r="FL133" i="14"/>
  <c r="BQ133" i="14"/>
  <c r="BX133" i="14"/>
  <c r="FT133" i="14"/>
  <c r="CF133" i="14"/>
  <c r="BY133" i="14"/>
  <c r="GC62" i="14"/>
  <c r="GD62" i="14"/>
  <c r="FU62" i="14"/>
  <c r="FM62" i="14"/>
  <c r="FN62" i="14"/>
  <c r="FV62" i="14"/>
  <c r="BY62" i="14"/>
  <c r="CA62" i="14"/>
  <c r="BS62" i="14"/>
  <c r="BR62" i="14"/>
  <c r="CG62" i="14"/>
  <c r="CH62" i="14"/>
  <c r="CI62" i="14"/>
  <c r="BQ62" i="14"/>
  <c r="BZ62" i="14"/>
  <c r="GB94" i="14"/>
  <c r="FT94" i="14"/>
  <c r="FL94" i="14"/>
  <c r="CF94" i="14"/>
  <c r="CA94" i="14"/>
  <c r="BS94" i="14"/>
  <c r="BX94" i="14"/>
  <c r="BZ94" i="14"/>
  <c r="BP94" i="14"/>
  <c r="BR94" i="14"/>
  <c r="CH94" i="14"/>
  <c r="CI94" i="14"/>
  <c r="GB126" i="14"/>
  <c r="GC126" i="14"/>
  <c r="FT126" i="14"/>
  <c r="FL126" i="14"/>
  <c r="FU126" i="14"/>
  <c r="BY126" i="14"/>
  <c r="CF126" i="14"/>
  <c r="BX126" i="14"/>
  <c r="FM126" i="14"/>
  <c r="CG126" i="14"/>
  <c r="BQ126" i="14"/>
  <c r="BP126" i="14"/>
  <c r="GB158" i="14"/>
  <c r="GC158" i="14"/>
  <c r="GD158" i="14"/>
  <c r="FT158" i="14"/>
  <c r="FL158" i="14"/>
  <c r="FU158" i="14"/>
  <c r="FV158" i="14"/>
  <c r="FN158" i="14"/>
  <c r="BY158" i="14"/>
  <c r="CF158" i="14"/>
  <c r="FM158" i="14"/>
  <c r="CH158" i="14"/>
  <c r="BQ158" i="14"/>
  <c r="BR158" i="14"/>
  <c r="CG158" i="14"/>
  <c r="BX158" i="14"/>
  <c r="BZ158" i="14"/>
  <c r="BP158" i="14"/>
  <c r="GD67" i="14"/>
  <c r="FV67" i="14"/>
  <c r="FN67" i="14"/>
  <c r="CH67" i="14"/>
  <c r="CA67" i="14"/>
  <c r="BY67" i="14"/>
  <c r="BQ67" i="14"/>
  <c r="BZ67" i="14"/>
  <c r="CG67" i="14"/>
  <c r="CI67" i="14"/>
  <c r="BS67" i="14"/>
  <c r="BR67" i="14"/>
  <c r="GC143" i="14"/>
  <c r="FU143" i="14"/>
  <c r="FM143" i="14"/>
  <c r="CG143" i="14"/>
  <c r="GB143" i="14"/>
  <c r="FT143" i="14"/>
  <c r="CF143" i="14"/>
  <c r="CH143" i="14"/>
  <c r="BX143" i="14"/>
  <c r="BZ143" i="14"/>
  <c r="FL143" i="14"/>
  <c r="BQ143" i="14"/>
  <c r="BP143" i="14"/>
  <c r="BY143" i="14"/>
  <c r="BR143" i="14"/>
  <c r="GD72" i="14"/>
  <c r="FV72" i="14"/>
  <c r="FN72" i="14"/>
  <c r="CG72" i="14"/>
  <c r="BY72" i="14"/>
  <c r="BZ72" i="14"/>
  <c r="CA72" i="14"/>
  <c r="CH72" i="14"/>
  <c r="BR72" i="14"/>
  <c r="CI72" i="14"/>
  <c r="BS72" i="14"/>
  <c r="BQ72" i="14"/>
  <c r="GB104" i="14"/>
  <c r="FT104" i="14"/>
  <c r="CI104" i="14"/>
  <c r="FL104" i="14"/>
  <c r="BX104" i="14"/>
  <c r="CF104" i="14"/>
  <c r="CA104" i="14"/>
  <c r="BP104" i="14"/>
  <c r="BS104" i="14"/>
  <c r="FT136" i="14"/>
  <c r="FU136" i="14"/>
  <c r="GB136" i="14"/>
  <c r="GC136" i="14"/>
  <c r="BY136" i="14"/>
  <c r="CG136" i="14"/>
  <c r="BR136" i="14"/>
  <c r="CH136" i="14"/>
  <c r="BX136" i="14"/>
  <c r="BP136" i="14"/>
  <c r="CF136" i="14"/>
  <c r="FL136" i="14"/>
  <c r="BZ136" i="14"/>
  <c r="FM136" i="14"/>
  <c r="BQ136" i="14"/>
  <c r="FN73" i="14"/>
  <c r="GD73" i="14"/>
  <c r="FV73" i="14"/>
  <c r="CH73" i="14"/>
  <c r="CI73" i="14"/>
  <c r="BR73" i="14"/>
  <c r="CG73" i="14"/>
  <c r="BS73" i="14"/>
  <c r="BY73" i="14"/>
  <c r="BZ73" i="14"/>
  <c r="CA73" i="14"/>
  <c r="BQ73" i="14"/>
  <c r="GB105" i="14"/>
  <c r="FT105" i="14"/>
  <c r="FL105" i="14"/>
  <c r="CF105" i="14"/>
  <c r="CI105" i="14"/>
  <c r="BX105" i="14"/>
  <c r="BP105" i="14"/>
  <c r="CA105" i="14"/>
  <c r="BS105" i="14"/>
  <c r="GB137" i="14"/>
  <c r="GC137" i="14"/>
  <c r="FT137" i="14"/>
  <c r="FU137" i="14"/>
  <c r="FM137" i="14"/>
  <c r="CG137" i="14"/>
  <c r="CF137" i="14"/>
  <c r="CH137" i="14"/>
  <c r="FL137" i="14"/>
  <c r="BR137" i="14"/>
  <c r="BY137" i="14"/>
  <c r="BQ137" i="14"/>
  <c r="BZ137" i="14"/>
  <c r="BP137" i="14"/>
  <c r="BX137" i="14"/>
  <c r="GD66" i="14"/>
  <c r="FN66" i="14"/>
  <c r="FV66" i="14"/>
  <c r="BY66" i="14"/>
  <c r="CH66" i="14"/>
  <c r="CI66" i="14"/>
  <c r="CG66" i="14"/>
  <c r="BS66" i="14"/>
  <c r="BQ66" i="14"/>
  <c r="BZ66" i="14"/>
  <c r="CA66" i="14"/>
  <c r="BR66" i="14"/>
  <c r="FT98" i="14"/>
  <c r="GB98" i="14"/>
  <c r="CF98" i="14"/>
  <c r="FL98" i="14"/>
  <c r="CH98" i="14"/>
  <c r="BX98" i="14"/>
  <c r="CI98" i="14"/>
  <c r="BS98" i="14"/>
  <c r="BZ98" i="14"/>
  <c r="BR98" i="14"/>
  <c r="CA98" i="14"/>
  <c r="BP98" i="14"/>
  <c r="GB130" i="14"/>
  <c r="FT130" i="14"/>
  <c r="GC130" i="14"/>
  <c r="FU130" i="14"/>
  <c r="BY130" i="14"/>
  <c r="CF130" i="14"/>
  <c r="CG130" i="14"/>
  <c r="FL130" i="14"/>
  <c r="FM130" i="14"/>
  <c r="BQ130" i="14"/>
  <c r="BP130" i="14"/>
  <c r="BX130" i="14"/>
  <c r="GB159" i="14"/>
  <c r="GC159" i="14"/>
  <c r="FT159" i="14"/>
  <c r="GD159" i="14"/>
  <c r="FU159" i="14"/>
  <c r="FV159" i="14"/>
  <c r="CG159" i="14"/>
  <c r="FL159" i="14"/>
  <c r="FM159" i="14"/>
  <c r="FN159" i="14"/>
  <c r="CF159" i="14"/>
  <c r="CH159" i="14"/>
  <c r="BX159" i="14"/>
  <c r="BY159" i="14"/>
  <c r="BZ159" i="14"/>
  <c r="BQ159" i="14"/>
  <c r="BR159" i="14"/>
  <c r="BP159" i="14"/>
  <c r="L91" i="14"/>
  <c r="GB91" i="14"/>
  <c r="FT91" i="14"/>
  <c r="FL91" i="14"/>
  <c r="CF91" i="14"/>
  <c r="CH91" i="14"/>
  <c r="BX91" i="14"/>
  <c r="CI91" i="14"/>
  <c r="BR91" i="14"/>
  <c r="BP91" i="14"/>
  <c r="BZ91" i="14"/>
  <c r="CA91" i="14"/>
  <c r="BS91" i="14"/>
  <c r="D73" i="6"/>
  <c r="D41" i="6"/>
  <c r="D87" i="6"/>
  <c r="D40" i="6"/>
  <c r="D102" i="6"/>
  <c r="D64" i="6"/>
  <c r="D120" i="6"/>
  <c r="D63" i="6"/>
  <c r="D111" i="6"/>
  <c r="D119" i="6"/>
  <c r="L135" i="14"/>
  <c r="L155" i="14"/>
  <c r="L123" i="14"/>
  <c r="L113" i="14"/>
  <c r="D80" i="6"/>
  <c r="D56" i="6"/>
  <c r="D65" i="6"/>
  <c r="D107" i="6"/>
  <c r="D96" i="6"/>
  <c r="D104" i="6"/>
  <c r="D113" i="6"/>
  <c r="D118" i="6"/>
  <c r="D114" i="6"/>
  <c r="D95" i="6"/>
  <c r="D117" i="15"/>
  <c r="L117" i="15"/>
  <c r="L82" i="15"/>
  <c r="D82" i="15"/>
  <c r="D146" i="15"/>
  <c r="L146" i="15"/>
  <c r="L79" i="15"/>
  <c r="D79" i="15"/>
  <c r="L101" i="15"/>
  <c r="D101" i="15"/>
  <c r="D141" i="15"/>
  <c r="L141" i="15"/>
  <c r="L78" i="15"/>
  <c r="D78" i="15"/>
  <c r="L110" i="15"/>
  <c r="D110" i="15"/>
  <c r="L142" i="15"/>
  <c r="D142" i="15"/>
  <c r="L75" i="15"/>
  <c r="D75" i="15"/>
  <c r="L107" i="15"/>
  <c r="D107" i="15"/>
  <c r="D139" i="15"/>
  <c r="L139" i="15"/>
  <c r="D113" i="15"/>
  <c r="L113" i="15"/>
  <c r="D72" i="15"/>
  <c r="L72" i="15"/>
  <c r="L104" i="15"/>
  <c r="D104" i="15"/>
  <c r="L136" i="15"/>
  <c r="D136" i="15"/>
  <c r="D76" i="15"/>
  <c r="L76" i="15"/>
  <c r="D105" i="6"/>
  <c r="L121" i="15"/>
  <c r="D121" i="15"/>
  <c r="L54" i="15"/>
  <c r="D54" i="15"/>
  <c r="L86" i="15"/>
  <c r="D86" i="15"/>
  <c r="L118" i="15"/>
  <c r="D118" i="15"/>
  <c r="L49" i="15"/>
  <c r="D49" i="15"/>
  <c r="L51" i="15"/>
  <c r="D51" i="15"/>
  <c r="D83" i="15"/>
  <c r="L83" i="15"/>
  <c r="L115" i="15"/>
  <c r="D115" i="15"/>
  <c r="L69" i="15"/>
  <c r="D69" i="15"/>
  <c r="L48" i="15"/>
  <c r="D48" i="15"/>
  <c r="L80" i="15"/>
  <c r="D80" i="15"/>
  <c r="L112" i="15"/>
  <c r="D112" i="15"/>
  <c r="L144" i="15"/>
  <c r="D144" i="15"/>
  <c r="L108" i="15"/>
  <c r="D108" i="15"/>
  <c r="L133" i="15"/>
  <c r="D133" i="15"/>
  <c r="D58" i="15"/>
  <c r="L58" i="15"/>
  <c r="L90" i="15"/>
  <c r="D90" i="15"/>
  <c r="D122" i="15"/>
  <c r="L122" i="15"/>
  <c r="L77" i="15"/>
  <c r="D77" i="15"/>
  <c r="L55" i="15"/>
  <c r="D55" i="15"/>
  <c r="L87" i="15"/>
  <c r="D87" i="15"/>
  <c r="L119" i="15"/>
  <c r="D119" i="15"/>
  <c r="L105" i="15"/>
  <c r="D105" i="15"/>
  <c r="L52" i="15"/>
  <c r="D52" i="15"/>
  <c r="L84" i="15"/>
  <c r="D84" i="15"/>
  <c r="L116" i="15"/>
  <c r="D116" i="15"/>
  <c r="D62" i="15"/>
  <c r="L62" i="15"/>
  <c r="L94" i="15"/>
  <c r="D94" i="15"/>
  <c r="D126" i="15"/>
  <c r="L126" i="15"/>
  <c r="L125" i="15"/>
  <c r="D125" i="15"/>
  <c r="L59" i="15"/>
  <c r="D59" i="15"/>
  <c r="L91" i="15"/>
  <c r="D91" i="15"/>
  <c r="L123" i="15"/>
  <c r="D123" i="15"/>
  <c r="D137" i="15"/>
  <c r="L137" i="15"/>
  <c r="D56" i="15"/>
  <c r="L56" i="15"/>
  <c r="L88" i="15"/>
  <c r="D88" i="15"/>
  <c r="L120" i="15"/>
  <c r="D120" i="15"/>
  <c r="L61" i="15"/>
  <c r="D61" i="15"/>
  <c r="L50" i="15"/>
  <c r="D50" i="15"/>
  <c r="L114" i="15"/>
  <c r="D114" i="15"/>
  <c r="L47" i="15"/>
  <c r="D47" i="15"/>
  <c r="L111" i="15"/>
  <c r="D111" i="15"/>
  <c r="D140" i="15"/>
  <c r="L140" i="15"/>
  <c r="D112" i="6"/>
  <c r="L66" i="15"/>
  <c r="D66" i="15"/>
  <c r="L98" i="15"/>
  <c r="D98" i="15"/>
  <c r="L130" i="15"/>
  <c r="D130" i="15"/>
  <c r="L57" i="15"/>
  <c r="D57" i="15"/>
  <c r="L63" i="15"/>
  <c r="D63" i="15"/>
  <c r="D95" i="15"/>
  <c r="L95" i="15"/>
  <c r="L127" i="15"/>
  <c r="D127" i="15"/>
  <c r="D60" i="15"/>
  <c r="L60" i="15"/>
  <c r="D92" i="15"/>
  <c r="L92" i="15"/>
  <c r="L124" i="15"/>
  <c r="D124" i="15"/>
  <c r="L81" i="15"/>
  <c r="D81" i="15"/>
  <c r="D145" i="15"/>
  <c r="L145" i="15"/>
  <c r="L53" i="15"/>
  <c r="D53" i="15"/>
  <c r="L70" i="15"/>
  <c r="D70" i="15"/>
  <c r="L102" i="15"/>
  <c r="D102" i="15"/>
  <c r="L134" i="15"/>
  <c r="D134" i="15"/>
  <c r="D85" i="15"/>
  <c r="L85" i="15"/>
  <c r="L67" i="15"/>
  <c r="D67" i="15"/>
  <c r="L99" i="15"/>
  <c r="D99" i="15"/>
  <c r="L131" i="15"/>
  <c r="D131" i="15"/>
  <c r="L65" i="15"/>
  <c r="D65" i="15"/>
  <c r="L64" i="15"/>
  <c r="D64" i="15"/>
  <c r="D96" i="15"/>
  <c r="L96" i="15"/>
  <c r="D128" i="15"/>
  <c r="L128" i="15"/>
  <c r="D97" i="15"/>
  <c r="L97" i="15"/>
  <c r="D143" i="15"/>
  <c r="L143" i="15"/>
  <c r="P37" i="1"/>
  <c r="L73" i="15"/>
  <c r="D73" i="15"/>
  <c r="L89" i="15"/>
  <c r="D89" i="15"/>
  <c r="L74" i="15"/>
  <c r="D74" i="15"/>
  <c r="L106" i="15"/>
  <c r="D106" i="15"/>
  <c r="L138" i="15"/>
  <c r="D138" i="15"/>
  <c r="L109" i="15"/>
  <c r="D109" i="15"/>
  <c r="L71" i="15"/>
  <c r="D71" i="15"/>
  <c r="L103" i="15"/>
  <c r="D103" i="15"/>
  <c r="D135" i="15"/>
  <c r="L135" i="15"/>
  <c r="L93" i="15"/>
  <c r="D93" i="15"/>
  <c r="D68" i="15"/>
  <c r="L68" i="15"/>
  <c r="L100" i="15"/>
  <c r="D100" i="15"/>
  <c r="L132" i="15"/>
  <c r="D132" i="15"/>
  <c r="L129" i="15"/>
  <c r="D129" i="15"/>
  <c r="D22" i="6"/>
  <c r="D57" i="6"/>
  <c r="D48" i="6"/>
  <c r="D21" i="6"/>
  <c r="D42" i="6"/>
  <c r="D49" i="6"/>
  <c r="D32" i="6"/>
  <c r="D24" i="6"/>
  <c r="D58" i="6"/>
  <c r="D39" i="6"/>
  <c r="D47" i="6"/>
  <c r="D33" i="6"/>
  <c r="D79" i="6"/>
  <c r="D72" i="6"/>
  <c r="D149" i="14"/>
  <c r="N149" i="14" s="1"/>
  <c r="L71" i="14"/>
  <c r="L80" i="14"/>
  <c r="L112" i="14"/>
  <c r="L144" i="14"/>
  <c r="L81" i="14"/>
  <c r="L145" i="14"/>
  <c r="L74" i="14"/>
  <c r="L106" i="14"/>
  <c r="L131" i="14"/>
  <c r="L119" i="14"/>
  <c r="D33" i="16" s="1"/>
  <c r="L140" i="14"/>
  <c r="L102" i="14"/>
  <c r="L139" i="14"/>
  <c r="D35" i="16" s="1"/>
  <c r="L84" i="14"/>
  <c r="L116" i="14"/>
  <c r="L148" i="14"/>
  <c r="L85" i="14"/>
  <c r="L117" i="14"/>
  <c r="L149" i="14"/>
  <c r="D36" i="16" s="1"/>
  <c r="L78" i="14"/>
  <c r="L110" i="14"/>
  <c r="L142" i="14"/>
  <c r="L99" i="14"/>
  <c r="D31" i="16" s="1"/>
  <c r="L87" i="14"/>
  <c r="L108" i="14"/>
  <c r="L147" i="14"/>
  <c r="L107" i="14"/>
  <c r="L88" i="14"/>
  <c r="L120" i="14"/>
  <c r="L152" i="14"/>
  <c r="L89" i="14"/>
  <c r="D30" i="16" s="1"/>
  <c r="L153" i="14"/>
  <c r="L67" i="14"/>
  <c r="L141" i="14"/>
  <c r="L159" i="14"/>
  <c r="L70" i="14"/>
  <c r="L151" i="14"/>
  <c r="L83" i="14"/>
  <c r="L64" i="14"/>
  <c r="L96" i="14"/>
  <c r="L128" i="14"/>
  <c r="L160" i="14"/>
  <c r="D37" i="16" s="1"/>
  <c r="L65" i="14"/>
  <c r="L97" i="14"/>
  <c r="L129" i="14"/>
  <c r="D34" i="16" s="1"/>
  <c r="L60" i="14"/>
  <c r="D91" i="14"/>
  <c r="N91" i="14" s="1"/>
  <c r="D123" i="14"/>
  <c r="N123" i="14" s="1"/>
  <c r="D155" i="14"/>
  <c r="N155" i="14" s="1"/>
  <c r="L127" i="14"/>
  <c r="L76" i="14"/>
  <c r="L109" i="14"/>
  <c r="D32" i="16" s="1"/>
  <c r="L143" i="14"/>
  <c r="L68" i="14"/>
  <c r="L100" i="14"/>
  <c r="L132" i="14"/>
  <c r="L69" i="14"/>
  <c r="D28" i="16" s="1"/>
  <c r="L101" i="14"/>
  <c r="L133" i="14"/>
  <c r="L62" i="14"/>
  <c r="L94" i="14"/>
  <c r="L126" i="14"/>
  <c r="L158" i="14"/>
  <c r="L95" i="14"/>
  <c r="L77" i="14"/>
  <c r="D135" i="14"/>
  <c r="N135" i="14" s="1"/>
  <c r="L72" i="14"/>
  <c r="L104" i="14"/>
  <c r="L136" i="14"/>
  <c r="L73" i="14"/>
  <c r="L105" i="14"/>
  <c r="L137" i="14"/>
  <c r="L66" i="14"/>
  <c r="L98" i="14"/>
  <c r="L130" i="14"/>
  <c r="L63" i="14"/>
  <c r="D85" i="14"/>
  <c r="N85" i="14" s="1"/>
  <c r="D79" i="14"/>
  <c r="N79" i="14" s="1"/>
  <c r="D117" i="14"/>
  <c r="N117" i="14" s="1"/>
  <c r="D113" i="14"/>
  <c r="N113" i="14" s="1"/>
  <c r="D103" i="14"/>
  <c r="N103" i="14" s="1"/>
  <c r="D81" i="14"/>
  <c r="N81" i="14" s="1"/>
  <c r="D141" i="14"/>
  <c r="N141" i="14" s="1"/>
  <c r="D137" i="14"/>
  <c r="N137" i="14" s="1"/>
  <c r="D78" i="6"/>
  <c r="D31" i="6"/>
  <c r="D139" i="14"/>
  <c r="N139" i="14" s="1"/>
  <c r="D108" i="6"/>
  <c r="D81" i="6"/>
  <c r="D131" i="14"/>
  <c r="N131" i="14" s="1"/>
  <c r="L134" i="14"/>
  <c r="D89" i="6"/>
  <c r="D75" i="6"/>
  <c r="D25" i="6"/>
  <c r="D55" i="6"/>
  <c r="L79" i="14"/>
  <c r="D29" i="16" s="1"/>
  <c r="D50" i="6"/>
  <c r="D71" i="6"/>
  <c r="L103" i="14"/>
  <c r="D142" i="14"/>
  <c r="N142" i="14" s="1"/>
  <c r="D78" i="14"/>
  <c r="N78" i="14" s="1"/>
  <c r="D71" i="14"/>
  <c r="N71" i="14" s="1"/>
  <c r="L138" i="14"/>
  <c r="D145" i="14"/>
  <c r="N145" i="14" s="1"/>
  <c r="D112" i="14"/>
  <c r="N112" i="14" s="1"/>
  <c r="D106" i="14"/>
  <c r="N106" i="14" s="1"/>
  <c r="D138" i="14"/>
  <c r="N138" i="14" s="1"/>
  <c r="D110" i="14"/>
  <c r="N110" i="14" s="1"/>
  <c r="D80" i="14"/>
  <c r="N80" i="14" s="1"/>
  <c r="D77" i="14"/>
  <c r="N77" i="14" s="1"/>
  <c r="D140" i="14"/>
  <c r="N140" i="14" s="1"/>
  <c r="D109" i="14"/>
  <c r="N109" i="14" s="1"/>
  <c r="D73" i="14"/>
  <c r="N73" i="14" s="1"/>
  <c r="D99" i="14"/>
  <c r="N99" i="14" s="1"/>
  <c r="L111" i="14"/>
  <c r="D136" i="14"/>
  <c r="N136" i="14" s="1"/>
  <c r="D72" i="14"/>
  <c r="N72" i="14" s="1"/>
  <c r="D74" i="14"/>
  <c r="N74" i="14" s="1"/>
  <c r="D105" i="14"/>
  <c r="N105" i="14" s="1"/>
  <c r="D111" i="14"/>
  <c r="N111" i="14" s="1"/>
  <c r="D104" i="14"/>
  <c r="N104" i="14" s="1"/>
  <c r="D70" i="14"/>
  <c r="N70" i="14" s="1"/>
  <c r="D102" i="14"/>
  <c r="N102" i="14" s="1"/>
  <c r="D143" i="14"/>
  <c r="N143" i="14" s="1"/>
  <c r="L154" i="14"/>
  <c r="L122" i="14"/>
  <c r="D98" i="14"/>
  <c r="N98" i="14" s="1"/>
  <c r="D69" i="14"/>
  <c r="N69" i="14" s="1"/>
  <c r="D132" i="14"/>
  <c r="N132" i="14" s="1"/>
  <c r="D63" i="14"/>
  <c r="N63" i="14" s="1"/>
  <c r="D83" i="14"/>
  <c r="N83" i="14" s="1"/>
  <c r="D114" i="14"/>
  <c r="N114" i="14" s="1"/>
  <c r="D146" i="14"/>
  <c r="N146" i="14" s="1"/>
  <c r="D128" i="14"/>
  <c r="N128" i="14" s="1"/>
  <c r="D127" i="14"/>
  <c r="N127" i="14" s="1"/>
  <c r="D129" i="14"/>
  <c r="N129" i="14" s="1"/>
  <c r="D68" i="14"/>
  <c r="N68" i="14" s="1"/>
  <c r="D130" i="14"/>
  <c r="N130" i="14" s="1"/>
  <c r="D121" i="14"/>
  <c r="N121" i="14" s="1"/>
  <c r="D84" i="14"/>
  <c r="N84" i="14" s="1"/>
  <c r="D96" i="14"/>
  <c r="N96" i="14" s="1"/>
  <c r="D144" i="14"/>
  <c r="N144" i="14" s="1"/>
  <c r="L90" i="14"/>
  <c r="D133" i="14"/>
  <c r="N133" i="14" s="1"/>
  <c r="D100" i="14"/>
  <c r="N100" i="14" s="1"/>
  <c r="D148" i="14"/>
  <c r="N148" i="14" s="1"/>
  <c r="L82" i="14"/>
  <c r="D66" i="14"/>
  <c r="N66" i="14" s="1"/>
  <c r="D95" i="14"/>
  <c r="N95" i="14" s="1"/>
  <c r="D134" i="14"/>
  <c r="N134" i="14" s="1"/>
  <c r="D101" i="14"/>
  <c r="N101" i="14" s="1"/>
  <c r="D64" i="14"/>
  <c r="N64" i="14" s="1"/>
  <c r="D67" i="14"/>
  <c r="N67" i="14" s="1"/>
  <c r="D147" i="14"/>
  <c r="N147" i="14" s="1"/>
  <c r="D152" i="14"/>
  <c r="N152" i="14" s="1"/>
  <c r="D82" i="14"/>
  <c r="N82" i="14" s="1"/>
  <c r="L121" i="14"/>
  <c r="D120" i="14"/>
  <c r="N120" i="14" s="1"/>
  <c r="D122" i="14"/>
  <c r="N122" i="14" s="1"/>
  <c r="L114" i="14"/>
  <c r="D88" i="14"/>
  <c r="N88" i="14" s="1"/>
  <c r="D107" i="14"/>
  <c r="N107" i="14" s="1"/>
  <c r="D154" i="14"/>
  <c r="N154" i="14" s="1"/>
  <c r="L146" i="14"/>
  <c r="D89" i="14"/>
  <c r="N89" i="14" s="1"/>
  <c r="D108" i="14"/>
  <c r="N108" i="14" s="1"/>
  <c r="D90" i="14"/>
  <c r="N90" i="14" s="1"/>
  <c r="D153" i="14"/>
  <c r="N153" i="14" s="1"/>
  <c r="D160" i="14"/>
  <c r="N160" i="14" s="1"/>
  <c r="D97" i="14"/>
  <c r="N97" i="14" s="1"/>
  <c r="D65" i="14"/>
  <c r="N65" i="14" s="1"/>
  <c r="L115" i="14"/>
  <c r="D116" i="14"/>
  <c r="N116" i="14" s="1"/>
  <c r="D115" i="14"/>
  <c r="N115" i="14" s="1"/>
  <c r="L75" i="14"/>
  <c r="D75" i="14"/>
  <c r="N75" i="14" s="1"/>
  <c r="D76" i="14"/>
  <c r="N76" i="14" s="1"/>
  <c r="L92" i="14"/>
  <c r="D92" i="14"/>
  <c r="N92" i="14" s="1"/>
  <c r="L124" i="14"/>
  <c r="D124" i="14"/>
  <c r="N124" i="14" s="1"/>
  <c r="L156" i="14"/>
  <c r="D156" i="14"/>
  <c r="N156" i="14" s="1"/>
  <c r="L61" i="14"/>
  <c r="D62" i="14"/>
  <c r="N62" i="14" s="1"/>
  <c r="D61" i="14"/>
  <c r="N61" i="14" s="1"/>
  <c r="L93" i="14"/>
  <c r="D94" i="14"/>
  <c r="D93" i="14"/>
  <c r="N93" i="14" s="1"/>
  <c r="L125" i="14"/>
  <c r="D126" i="14"/>
  <c r="N126" i="14" s="1"/>
  <c r="D125" i="14"/>
  <c r="L157" i="14"/>
  <c r="D158" i="14"/>
  <c r="N158" i="14" s="1"/>
  <c r="D157" i="14"/>
  <c r="N157" i="14" s="1"/>
  <c r="D86" i="14"/>
  <c r="N86" i="14" s="1"/>
  <c r="D87" i="14"/>
  <c r="L86" i="14"/>
  <c r="D119" i="14"/>
  <c r="D118" i="14"/>
  <c r="N118" i="14" s="1"/>
  <c r="L118" i="14"/>
  <c r="D150" i="14"/>
  <c r="N150" i="14" s="1"/>
  <c r="D151" i="14"/>
  <c r="N151" i="14" s="1"/>
  <c r="L150" i="14"/>
  <c r="D159" i="14"/>
  <c r="N159" i="14" s="1"/>
  <c r="D36" i="6"/>
  <c r="D43" i="6"/>
  <c r="D30" i="6"/>
  <c r="D94" i="6"/>
  <c r="D59" i="6"/>
  <c r="D115" i="6"/>
  <c r="D91" i="6"/>
  <c r="D117" i="6"/>
  <c r="D23" i="6"/>
  <c r="D67" i="6"/>
  <c r="D86" i="6"/>
  <c r="D69" i="6"/>
  <c r="D83" i="6"/>
  <c r="D77" i="6"/>
  <c r="D90" i="6"/>
  <c r="D51" i="6"/>
  <c r="D35" i="6"/>
  <c r="D66" i="6"/>
  <c r="D99" i="6"/>
  <c r="D54" i="6"/>
  <c r="D26" i="6"/>
  <c r="D84" i="6"/>
  <c r="D46" i="6"/>
  <c r="D109" i="6"/>
  <c r="D28" i="6"/>
  <c r="D92" i="6"/>
  <c r="D53" i="6"/>
  <c r="D29" i="6"/>
  <c r="D74" i="6"/>
  <c r="D82" i="6"/>
  <c r="D27" i="6"/>
  <c r="D100" i="6"/>
  <c r="D61" i="6"/>
  <c r="D44" i="6"/>
  <c r="D52" i="6"/>
  <c r="D38" i="6"/>
  <c r="D62" i="6"/>
  <c r="D70" i="6"/>
  <c r="D98" i="6"/>
  <c r="D106" i="6"/>
  <c r="D45" i="6"/>
  <c r="D85" i="6"/>
  <c r="D34" i="6"/>
  <c r="D60" i="6"/>
  <c r="D93" i="6"/>
  <c r="D68" i="6"/>
  <c r="D110" i="6"/>
  <c r="D76" i="6"/>
  <c r="D37" i="6"/>
  <c r="D101" i="6"/>
  <c r="AY67" i="43" l="1"/>
  <c r="D35" i="45" s="1"/>
  <c r="AY54" i="43"/>
  <c r="D22" i="45" s="1"/>
  <c r="AX66" i="43"/>
  <c r="E121" i="40"/>
  <c r="AY70" i="43"/>
  <c r="D38" i="45" s="1"/>
  <c r="AY58" i="43"/>
  <c r="D26" i="45" s="1"/>
  <c r="AY60" i="43"/>
  <c r="D28" i="45" s="1"/>
  <c r="AY62" i="43"/>
  <c r="D30" i="45" s="1"/>
  <c r="AY53" i="43"/>
  <c r="D21" i="45" s="1"/>
  <c r="AY64" i="43"/>
  <c r="D32" i="45" s="1"/>
  <c r="AY52" i="43"/>
  <c r="D20" i="45" s="1"/>
  <c r="AY57" i="43"/>
  <c r="D25" i="45" s="1"/>
  <c r="AY51" i="43"/>
  <c r="D19" i="45" s="1"/>
  <c r="AY50" i="43"/>
  <c r="D18" i="45" s="1"/>
  <c r="AY56" i="43"/>
  <c r="D24" i="45" s="1"/>
  <c r="AY68" i="43"/>
  <c r="D36" i="45" s="1"/>
  <c r="AY71" i="43"/>
  <c r="D39" i="45" s="1"/>
  <c r="AY59" i="43"/>
  <c r="D27" i="45" s="1"/>
  <c r="AY61" i="43"/>
  <c r="D29" i="45" s="1"/>
  <c r="AY63" i="43"/>
  <c r="D31" i="45" s="1"/>
  <c r="AY69" i="43"/>
  <c r="D37" i="45" s="1"/>
  <c r="AY65" i="43"/>
  <c r="D33" i="45" s="1"/>
  <c r="AY55" i="43"/>
  <c r="D23" i="45" s="1"/>
  <c r="BT100" i="14"/>
  <c r="N71" i="15"/>
  <c r="N74" i="15"/>
  <c r="N96" i="15"/>
  <c r="N140" i="15"/>
  <c r="N56" i="15"/>
  <c r="N62" i="15"/>
  <c r="N83" i="15"/>
  <c r="N136" i="15"/>
  <c r="N110" i="15"/>
  <c r="N79" i="15"/>
  <c r="N64" i="15"/>
  <c r="N98" i="15"/>
  <c r="N125" i="15"/>
  <c r="N108" i="15"/>
  <c r="N51" i="15"/>
  <c r="N129" i="15"/>
  <c r="N93" i="15"/>
  <c r="N109" i="15"/>
  <c r="N89" i="15"/>
  <c r="N143" i="15"/>
  <c r="N95" i="15"/>
  <c r="N137" i="15"/>
  <c r="N122" i="15"/>
  <c r="N104" i="15"/>
  <c r="N107" i="15"/>
  <c r="N78" i="15"/>
  <c r="N67" i="15"/>
  <c r="N48" i="15"/>
  <c r="N65" i="15"/>
  <c r="N53" i="15"/>
  <c r="N63" i="15"/>
  <c r="N66" i="15"/>
  <c r="N47" i="15"/>
  <c r="N120" i="15"/>
  <c r="N123" i="15"/>
  <c r="N84" i="15"/>
  <c r="N87" i="15"/>
  <c r="N90" i="15"/>
  <c r="N144" i="15"/>
  <c r="N69" i="15"/>
  <c r="N49" i="15"/>
  <c r="N121" i="15"/>
  <c r="N146" i="15"/>
  <c r="N68" i="15"/>
  <c r="N124" i="15"/>
  <c r="N119" i="15"/>
  <c r="C144" i="15"/>
  <c r="C140" i="15"/>
  <c r="C136" i="15"/>
  <c r="C132" i="15"/>
  <c r="C128" i="15"/>
  <c r="C124" i="15"/>
  <c r="C120" i="15"/>
  <c r="C116" i="15"/>
  <c r="C112" i="15"/>
  <c r="C108" i="15"/>
  <c r="C104" i="15"/>
  <c r="C100" i="15"/>
  <c r="C96" i="15"/>
  <c r="C92" i="15"/>
  <c r="C88" i="15"/>
  <c r="C84" i="15"/>
  <c r="C80" i="15"/>
  <c r="C76" i="15"/>
  <c r="C72" i="15"/>
  <c r="C68" i="15"/>
  <c r="C64" i="15"/>
  <c r="C60" i="15"/>
  <c r="C56" i="15"/>
  <c r="C52" i="15"/>
  <c r="C48" i="15"/>
  <c r="C143" i="15"/>
  <c r="C139" i="15"/>
  <c r="C135" i="15"/>
  <c r="C131" i="15"/>
  <c r="C127" i="15"/>
  <c r="C123" i="15"/>
  <c r="C119" i="15"/>
  <c r="C115" i="15"/>
  <c r="C111" i="15"/>
  <c r="C107" i="15"/>
  <c r="C103" i="15"/>
  <c r="C99" i="15"/>
  <c r="C95" i="15"/>
  <c r="C91" i="15"/>
  <c r="C87" i="15"/>
  <c r="C83" i="15"/>
  <c r="C79" i="15"/>
  <c r="C75" i="15"/>
  <c r="C71" i="15"/>
  <c r="C67" i="15"/>
  <c r="C63" i="15"/>
  <c r="C59" i="15"/>
  <c r="C55" i="15"/>
  <c r="C51" i="15"/>
  <c r="C47" i="15"/>
  <c r="C146" i="15"/>
  <c r="C142" i="15"/>
  <c r="C138" i="15"/>
  <c r="C134" i="15"/>
  <c r="C130" i="15"/>
  <c r="C126" i="15"/>
  <c r="C122" i="15"/>
  <c r="C118" i="15"/>
  <c r="C114" i="15"/>
  <c r="C110" i="15"/>
  <c r="C106" i="15"/>
  <c r="C102" i="15"/>
  <c r="C98" i="15"/>
  <c r="C94" i="15"/>
  <c r="C90" i="15"/>
  <c r="C86" i="15"/>
  <c r="C82" i="15"/>
  <c r="C78" i="15"/>
  <c r="C74" i="15"/>
  <c r="C70" i="15"/>
  <c r="C66" i="15"/>
  <c r="C62" i="15"/>
  <c r="C58" i="15"/>
  <c r="C54" i="15"/>
  <c r="C50" i="15"/>
  <c r="C145" i="15"/>
  <c r="C141" i="15"/>
  <c r="C137" i="15"/>
  <c r="C133" i="15"/>
  <c r="C129" i="15"/>
  <c r="C125" i="15"/>
  <c r="C121" i="15"/>
  <c r="C117" i="15"/>
  <c r="C113" i="15"/>
  <c r="C109" i="15"/>
  <c r="C105" i="15"/>
  <c r="C101" i="15"/>
  <c r="C97" i="15"/>
  <c r="C93" i="15"/>
  <c r="C89" i="15"/>
  <c r="C85" i="15"/>
  <c r="C81" i="15"/>
  <c r="C77" i="15"/>
  <c r="C73" i="15"/>
  <c r="C69" i="15"/>
  <c r="C65" i="15"/>
  <c r="C61" i="15"/>
  <c r="C57" i="15"/>
  <c r="C53" i="15"/>
  <c r="C49" i="15"/>
  <c r="C46" i="15"/>
  <c r="P38" i="1"/>
  <c r="N132" i="15"/>
  <c r="N138" i="15"/>
  <c r="N73" i="15"/>
  <c r="N97" i="15"/>
  <c r="N85" i="15"/>
  <c r="N92" i="15"/>
  <c r="N126" i="15"/>
  <c r="N75" i="15"/>
  <c r="N82" i="15"/>
  <c r="N111" i="15"/>
  <c r="N135" i="15"/>
  <c r="N131" i="15"/>
  <c r="N134" i="15"/>
  <c r="N57" i="15"/>
  <c r="N114" i="15"/>
  <c r="N88" i="15"/>
  <c r="N91" i="15"/>
  <c r="N94" i="15"/>
  <c r="N52" i="15"/>
  <c r="N55" i="15"/>
  <c r="N112" i="15"/>
  <c r="N115" i="15"/>
  <c r="N118" i="15"/>
  <c r="N72" i="15"/>
  <c r="N141" i="15"/>
  <c r="N70" i="15"/>
  <c r="N116" i="15"/>
  <c r="N139" i="15"/>
  <c r="P39" i="1"/>
  <c r="N100" i="15"/>
  <c r="N103" i="15"/>
  <c r="N106" i="15"/>
  <c r="N128" i="15"/>
  <c r="N145" i="15"/>
  <c r="N60" i="15"/>
  <c r="N58" i="15"/>
  <c r="N142" i="15"/>
  <c r="N101" i="15"/>
  <c r="N61" i="15"/>
  <c r="N54" i="15"/>
  <c r="N99" i="15"/>
  <c r="N102" i="15"/>
  <c r="N81" i="15"/>
  <c r="N127" i="15"/>
  <c r="N130" i="15"/>
  <c r="N50" i="15"/>
  <c r="N59" i="15"/>
  <c r="N105" i="15"/>
  <c r="N77" i="15"/>
  <c r="N133" i="15"/>
  <c r="N80" i="15"/>
  <c r="N86" i="15"/>
  <c r="N76" i="15"/>
  <c r="N113" i="15"/>
  <c r="N117" i="15"/>
  <c r="BT102" i="14"/>
  <c r="BT128" i="14"/>
  <c r="BT93" i="14"/>
  <c r="CB129" i="14"/>
  <c r="IP159" i="14"/>
  <c r="BT146" i="14"/>
  <c r="BT138" i="14"/>
  <c r="BT95" i="14"/>
  <c r="BT127" i="14"/>
  <c r="BT98" i="14"/>
  <c r="BT136" i="14"/>
  <c r="BT125" i="14"/>
  <c r="BT152" i="14"/>
  <c r="BT147" i="14"/>
  <c r="BT142" i="14"/>
  <c r="BT144" i="14"/>
  <c r="CB121" i="14"/>
  <c r="CB94" i="14"/>
  <c r="BT104" i="14"/>
  <c r="BT133" i="14"/>
  <c r="BT129" i="14"/>
  <c r="BT159" i="14"/>
  <c r="BT156" i="14"/>
  <c r="BT114" i="14"/>
  <c r="BT120" i="14"/>
  <c r="BT108" i="14"/>
  <c r="BT110" i="14"/>
  <c r="BT148" i="14"/>
  <c r="BT106" i="14"/>
  <c r="BT112" i="14"/>
  <c r="CB152" i="14"/>
  <c r="CB103" i="14"/>
  <c r="IP107" i="14"/>
  <c r="BT137" i="14"/>
  <c r="BT158" i="14"/>
  <c r="BT154" i="14"/>
  <c r="BT96" i="14"/>
  <c r="BT124" i="14"/>
  <c r="BT153" i="14"/>
  <c r="BT140" i="14"/>
  <c r="CB142" i="14"/>
  <c r="CB130" i="14"/>
  <c r="BT101" i="14"/>
  <c r="BT143" i="14"/>
  <c r="BT97" i="14"/>
  <c r="BT150" i="14"/>
  <c r="BT92" i="14"/>
  <c r="BT116" i="14"/>
  <c r="CB110" i="14"/>
  <c r="CB98" i="14"/>
  <c r="BT103" i="14"/>
  <c r="BT105" i="14"/>
  <c r="BT111" i="14"/>
  <c r="BT126" i="14"/>
  <c r="BT122" i="14"/>
  <c r="BT118" i="14"/>
  <c r="BT115" i="14"/>
  <c r="BT121" i="14"/>
  <c r="BT149" i="14"/>
  <c r="BT119" i="14"/>
  <c r="BT145" i="14"/>
  <c r="CB149" i="14"/>
  <c r="CB122" i="14"/>
  <c r="BT130" i="14"/>
  <c r="BT134" i="14"/>
  <c r="BT109" i="14"/>
  <c r="BT141" i="14"/>
  <c r="BT107" i="14"/>
  <c r="BT99" i="14"/>
  <c r="CB114" i="14"/>
  <c r="CB117" i="14"/>
  <c r="CJ117" i="14"/>
  <c r="BT94" i="14"/>
  <c r="BT132" i="14"/>
  <c r="BT90" i="14"/>
  <c r="BT160" i="14"/>
  <c r="BT151" i="14"/>
  <c r="BT157" i="14"/>
  <c r="BT117" i="14"/>
  <c r="BT139" i="14"/>
  <c r="BT131" i="14"/>
  <c r="CB153" i="14"/>
  <c r="CB106" i="14"/>
  <c r="HZ109" i="14"/>
  <c r="CB126" i="14"/>
  <c r="CB100" i="14"/>
  <c r="CB143" i="14"/>
  <c r="CB90" i="14"/>
  <c r="GF94" i="14"/>
  <c r="FX110" i="14"/>
  <c r="CB101" i="14"/>
  <c r="FP134" i="14"/>
  <c r="IH144" i="14"/>
  <c r="CB147" i="14"/>
  <c r="CB119" i="14"/>
  <c r="CB109" i="14"/>
  <c r="CB93" i="14"/>
  <c r="CB131" i="14"/>
  <c r="CB140" i="14"/>
  <c r="CJ121" i="14"/>
  <c r="BT113" i="14"/>
  <c r="CB146" i="14"/>
  <c r="CB133" i="14"/>
  <c r="CB138" i="14"/>
  <c r="CB108" i="14"/>
  <c r="CJ122" i="14"/>
  <c r="CB95" i="14"/>
  <c r="CB125" i="14"/>
  <c r="CJ153" i="14"/>
  <c r="CJ100" i="14"/>
  <c r="CJ149" i="14"/>
  <c r="CJ137" i="14"/>
  <c r="FX125" i="14"/>
  <c r="FX158" i="14"/>
  <c r="IH134" i="14"/>
  <c r="IP117" i="14"/>
  <c r="HZ128" i="14"/>
  <c r="IH106" i="14"/>
  <c r="IH142" i="14"/>
  <c r="IH107" i="14"/>
  <c r="HZ153" i="14"/>
  <c r="IH112" i="14"/>
  <c r="IP115" i="14"/>
  <c r="HZ124" i="14"/>
  <c r="IH125" i="14"/>
  <c r="IP118" i="14"/>
  <c r="HZ159" i="14"/>
  <c r="HZ160" i="14"/>
  <c r="IP90" i="14"/>
  <c r="HZ154" i="14"/>
  <c r="IH99" i="14"/>
  <c r="IP132" i="14"/>
  <c r="HZ133" i="14"/>
  <c r="IH158" i="14"/>
  <c r="IP145" i="14"/>
  <c r="HZ117" i="14"/>
  <c r="IH104" i="14"/>
  <c r="IP137" i="14"/>
  <c r="HZ130" i="14"/>
  <c r="IH138" i="14"/>
  <c r="HZ108" i="14"/>
  <c r="IH141" i="14"/>
  <c r="IP151" i="14"/>
  <c r="FX115" i="14"/>
  <c r="GF143" i="14"/>
  <c r="GF101" i="14"/>
  <c r="FX94" i="14"/>
  <c r="FX95" i="14"/>
  <c r="FX159" i="14"/>
  <c r="FP111" i="14"/>
  <c r="FX105" i="14"/>
  <c r="GF130" i="14"/>
  <c r="FP108" i="14"/>
  <c r="GF141" i="14"/>
  <c r="GF151" i="14"/>
  <c r="FP125" i="14"/>
  <c r="FX97" i="14"/>
  <c r="GF144" i="14"/>
  <c r="FP145" i="14"/>
  <c r="GF131" i="14"/>
  <c r="GF116" i="14"/>
  <c r="FP117" i="14"/>
  <c r="FP142" i="14"/>
  <c r="GF92" i="14"/>
  <c r="FX128" i="14"/>
  <c r="GF147" i="14"/>
  <c r="GF120" i="14"/>
  <c r="FX114" i="14"/>
  <c r="CJ92" i="14"/>
  <c r="CJ150" i="14"/>
  <c r="CJ130" i="14"/>
  <c r="CJ140" i="14"/>
  <c r="CJ113" i="14"/>
  <c r="CJ143" i="14"/>
  <c r="HZ142" i="14"/>
  <c r="IP114" i="14"/>
  <c r="HZ112" i="14"/>
  <c r="IH115" i="14"/>
  <c r="IP156" i="14"/>
  <c r="HZ125" i="14"/>
  <c r="IH118" i="14"/>
  <c r="IP96" i="14"/>
  <c r="IH160" i="14"/>
  <c r="IH90" i="14"/>
  <c r="IP127" i="14"/>
  <c r="HZ99" i="14"/>
  <c r="IH132" i="14"/>
  <c r="IP94" i="14"/>
  <c r="HZ158" i="14"/>
  <c r="IH145" i="14"/>
  <c r="IP110" i="14"/>
  <c r="HZ104" i="14"/>
  <c r="IH137" i="14"/>
  <c r="IP103" i="14"/>
  <c r="HZ138" i="14"/>
  <c r="IP140" i="14"/>
  <c r="HZ141" i="14"/>
  <c r="IH151" i="14"/>
  <c r="GF115" i="14"/>
  <c r="GF96" i="14"/>
  <c r="FP143" i="14"/>
  <c r="FX101" i="14"/>
  <c r="GF126" i="14"/>
  <c r="FP95" i="14"/>
  <c r="GF159" i="14"/>
  <c r="GF104" i="14"/>
  <c r="FP105" i="14"/>
  <c r="FX130" i="14"/>
  <c r="GF140" i="14"/>
  <c r="FP141" i="14"/>
  <c r="FX151" i="14"/>
  <c r="GF150" i="14"/>
  <c r="FP97" i="14"/>
  <c r="FP144" i="14"/>
  <c r="GF106" i="14"/>
  <c r="FP131" i="14"/>
  <c r="FP116" i="14"/>
  <c r="FX149" i="14"/>
  <c r="FX142" i="14"/>
  <c r="FX92" i="14"/>
  <c r="FX129" i="14"/>
  <c r="FP147" i="14"/>
  <c r="FX120" i="14"/>
  <c r="FX121" i="14"/>
  <c r="FP114" i="14"/>
  <c r="CJ124" i="14"/>
  <c r="CJ159" i="14"/>
  <c r="CJ103" i="14"/>
  <c r="CJ109" i="14"/>
  <c r="CJ145" i="14"/>
  <c r="CJ132" i="14"/>
  <c r="IH114" i="14"/>
  <c r="IP119" i="14"/>
  <c r="HZ115" i="14"/>
  <c r="IH156" i="14"/>
  <c r="IP157" i="14"/>
  <c r="HZ118" i="14"/>
  <c r="IH96" i="14"/>
  <c r="IP97" i="14"/>
  <c r="HZ90" i="14"/>
  <c r="IH127" i="14"/>
  <c r="IP143" i="14"/>
  <c r="HZ132" i="14"/>
  <c r="IH94" i="14"/>
  <c r="IP95" i="14"/>
  <c r="HZ145" i="14"/>
  <c r="IH110" i="14"/>
  <c r="IP136" i="14"/>
  <c r="HZ137" i="14"/>
  <c r="IH103" i="14"/>
  <c r="IH140" i="14"/>
  <c r="IP102" i="14"/>
  <c r="HZ151" i="14"/>
  <c r="FP115" i="14"/>
  <c r="FP96" i="14"/>
  <c r="GF100" i="14"/>
  <c r="FP101" i="14"/>
  <c r="FP126" i="14"/>
  <c r="GF157" i="14"/>
  <c r="FP159" i="14"/>
  <c r="FX104" i="14"/>
  <c r="FX137" i="14"/>
  <c r="FP130" i="14"/>
  <c r="FX140" i="14"/>
  <c r="GF102" i="14"/>
  <c r="FP151" i="14"/>
  <c r="FP150" i="14"/>
  <c r="GF90" i="14"/>
  <c r="FX144" i="14"/>
  <c r="FP106" i="14"/>
  <c r="FX119" i="14"/>
  <c r="FX116" i="14"/>
  <c r="GF149" i="14"/>
  <c r="GF99" i="14"/>
  <c r="FP92" i="14"/>
  <c r="GF129" i="14"/>
  <c r="FX107" i="14"/>
  <c r="FP120" i="14"/>
  <c r="GF121" i="14"/>
  <c r="GF146" i="14"/>
  <c r="CJ156" i="14"/>
  <c r="CJ111" i="14"/>
  <c r="CJ96" i="14"/>
  <c r="CJ141" i="14"/>
  <c r="CJ106" i="14"/>
  <c r="CJ133" i="14"/>
  <c r="IP120" i="14"/>
  <c r="IP121" i="14"/>
  <c r="HZ114" i="14"/>
  <c r="IH119" i="14"/>
  <c r="IP92" i="14"/>
  <c r="HZ156" i="14"/>
  <c r="IH157" i="14"/>
  <c r="IP150" i="14"/>
  <c r="HZ96" i="14"/>
  <c r="IH97" i="14"/>
  <c r="IP122" i="14"/>
  <c r="HZ127" i="14"/>
  <c r="IH143" i="14"/>
  <c r="IP101" i="14"/>
  <c r="HZ94" i="14"/>
  <c r="HZ95" i="14"/>
  <c r="IP116" i="14"/>
  <c r="HZ110" i="14"/>
  <c r="IH136" i="14"/>
  <c r="IP98" i="14"/>
  <c r="HZ103" i="14"/>
  <c r="IP148" i="14"/>
  <c r="HZ140" i="14"/>
  <c r="IH102" i="14"/>
  <c r="GF124" i="14"/>
  <c r="FX96" i="14"/>
  <c r="FP100" i="14"/>
  <c r="FX133" i="14"/>
  <c r="FX126" i="14"/>
  <c r="FX157" i="14"/>
  <c r="FX127" i="14"/>
  <c r="FP104" i="14"/>
  <c r="GF137" i="14"/>
  <c r="GF103" i="14"/>
  <c r="FP140" i="14"/>
  <c r="FP102" i="14"/>
  <c r="GF156" i="14"/>
  <c r="FX150" i="14"/>
  <c r="FP90" i="14"/>
  <c r="FX113" i="14"/>
  <c r="FX106" i="14"/>
  <c r="FP119" i="14"/>
  <c r="GF148" i="14"/>
  <c r="FP149" i="14"/>
  <c r="FX99" i="14"/>
  <c r="GF93" i="14"/>
  <c r="FP129" i="14"/>
  <c r="GF107" i="14"/>
  <c r="GF152" i="14"/>
  <c r="FP121" i="14"/>
  <c r="FX146" i="14"/>
  <c r="CJ93" i="14"/>
  <c r="CJ104" i="14"/>
  <c r="CJ97" i="14"/>
  <c r="CJ102" i="14"/>
  <c r="CJ138" i="14"/>
  <c r="CJ158" i="14"/>
  <c r="IH147" i="14"/>
  <c r="IH120" i="14"/>
  <c r="IH121" i="14"/>
  <c r="IP146" i="14"/>
  <c r="HZ119" i="14"/>
  <c r="IH92" i="14"/>
  <c r="IP93" i="14"/>
  <c r="HZ157" i="14"/>
  <c r="HZ150" i="14"/>
  <c r="IP128" i="14"/>
  <c r="HZ97" i="14"/>
  <c r="IH122" i="14"/>
  <c r="IP131" i="14"/>
  <c r="HZ143" i="14"/>
  <c r="IH101" i="14"/>
  <c r="IP126" i="14"/>
  <c r="IH95" i="14"/>
  <c r="IH116" i="14"/>
  <c r="IP111" i="14"/>
  <c r="HZ136" i="14"/>
  <c r="IH98" i="14"/>
  <c r="IP113" i="14"/>
  <c r="IH148" i="14"/>
  <c r="IP109" i="14"/>
  <c r="HZ102" i="14"/>
  <c r="FX124" i="14"/>
  <c r="GF122" i="14"/>
  <c r="FX100" i="14"/>
  <c r="GF133" i="14"/>
  <c r="GF158" i="14"/>
  <c r="FP157" i="14"/>
  <c r="GF127" i="14"/>
  <c r="GF136" i="14"/>
  <c r="FP137" i="14"/>
  <c r="FX103" i="14"/>
  <c r="FX109" i="14"/>
  <c r="FX102" i="14"/>
  <c r="FX156" i="14"/>
  <c r="GF160" i="14"/>
  <c r="FX90" i="14"/>
  <c r="GF113" i="14"/>
  <c r="GF138" i="14"/>
  <c r="GF119" i="14"/>
  <c r="FP148" i="14"/>
  <c r="GF110" i="14"/>
  <c r="FP99" i="14"/>
  <c r="FX93" i="14"/>
  <c r="GF154" i="14"/>
  <c r="FP107" i="14"/>
  <c r="FX152" i="14"/>
  <c r="FX153" i="14"/>
  <c r="FP146" i="14"/>
  <c r="CJ125" i="14"/>
  <c r="CJ136" i="14"/>
  <c r="CJ127" i="14"/>
  <c r="CJ134" i="14"/>
  <c r="CJ131" i="14"/>
  <c r="CJ95" i="14"/>
  <c r="IH139" i="14"/>
  <c r="HZ147" i="14"/>
  <c r="HZ120" i="14"/>
  <c r="HZ121" i="14"/>
  <c r="IH146" i="14"/>
  <c r="IP149" i="14"/>
  <c r="HZ92" i="14"/>
  <c r="IH93" i="14"/>
  <c r="IH150" i="14"/>
  <c r="IH128" i="14"/>
  <c r="IP129" i="14"/>
  <c r="HZ122" i="14"/>
  <c r="IH131" i="14"/>
  <c r="IP100" i="14"/>
  <c r="HZ101" i="14"/>
  <c r="IH126" i="14"/>
  <c r="IP144" i="14"/>
  <c r="HZ116" i="14"/>
  <c r="IH111" i="14"/>
  <c r="IP105" i="14"/>
  <c r="HZ98" i="14"/>
  <c r="IH113" i="14"/>
  <c r="HZ148" i="14"/>
  <c r="IH109" i="14"/>
  <c r="IP134" i="14"/>
  <c r="FP124" i="14"/>
  <c r="FP122" i="14"/>
  <c r="GF132" i="14"/>
  <c r="FP133" i="14"/>
  <c r="FP158" i="14"/>
  <c r="GF118" i="14"/>
  <c r="FP127" i="14"/>
  <c r="FX136" i="14"/>
  <c r="GF98" i="14"/>
  <c r="FP103" i="14"/>
  <c r="GF109" i="14"/>
  <c r="GF134" i="14"/>
  <c r="FP156" i="14"/>
  <c r="FX160" i="14"/>
  <c r="GF112" i="14"/>
  <c r="FP113" i="14"/>
  <c r="FP138" i="14"/>
  <c r="FX139" i="14"/>
  <c r="FX148" i="14"/>
  <c r="FP110" i="14"/>
  <c r="FP93" i="14"/>
  <c r="FP154" i="14"/>
  <c r="FP152" i="14"/>
  <c r="GF153" i="14"/>
  <c r="CJ90" i="14"/>
  <c r="CJ157" i="14"/>
  <c r="CJ105" i="14"/>
  <c r="CJ101" i="14"/>
  <c r="CJ151" i="14"/>
  <c r="CJ119" i="14"/>
  <c r="IP142" i="14"/>
  <c r="HZ107" i="14"/>
  <c r="HZ152" i="14"/>
  <c r="IP153" i="14"/>
  <c r="IP112" i="14"/>
  <c r="HZ149" i="14"/>
  <c r="IH124" i="14"/>
  <c r="IP125" i="14"/>
  <c r="IH159" i="14"/>
  <c r="IP160" i="14"/>
  <c r="HZ129" i="14"/>
  <c r="IH154" i="14"/>
  <c r="IP99" i="14"/>
  <c r="HZ100" i="14"/>
  <c r="IH133" i="14"/>
  <c r="IP158" i="14"/>
  <c r="HZ144" i="14"/>
  <c r="IH117" i="14"/>
  <c r="IP104" i="14"/>
  <c r="HZ105" i="14"/>
  <c r="IH130" i="14"/>
  <c r="IP138" i="14"/>
  <c r="IH108" i="14"/>
  <c r="IP141" i="14"/>
  <c r="HZ134" i="14"/>
  <c r="FX143" i="14"/>
  <c r="FX132" i="14"/>
  <c r="FP94" i="14"/>
  <c r="GF95" i="14"/>
  <c r="FX118" i="14"/>
  <c r="FX111" i="14"/>
  <c r="GF105" i="14"/>
  <c r="FP98" i="14"/>
  <c r="FX108" i="14"/>
  <c r="FX141" i="14"/>
  <c r="FX134" i="14"/>
  <c r="GF125" i="14"/>
  <c r="GF97" i="14"/>
  <c r="FX112" i="14"/>
  <c r="GF145" i="14"/>
  <c r="FX131" i="14"/>
  <c r="FP139" i="14"/>
  <c r="GF117" i="14"/>
  <c r="GF142" i="14"/>
  <c r="FP128" i="14"/>
  <c r="FX147" i="14"/>
  <c r="GF114" i="14"/>
  <c r="CJ115" i="14"/>
  <c r="CJ118" i="14"/>
  <c r="CJ98" i="14"/>
  <c r="CJ108" i="14"/>
  <c r="CJ144" i="14"/>
  <c r="CJ154" i="14"/>
  <c r="CB96" i="14"/>
  <c r="CB156" i="14"/>
  <c r="CJ129" i="14"/>
  <c r="CJ148" i="14"/>
  <c r="CJ94" i="14"/>
  <c r="FX117" i="14"/>
  <c r="FP109" i="14"/>
  <c r="FP132" i="14"/>
  <c r="IP108" i="14"/>
  <c r="HZ126" i="14"/>
  <c r="HZ139" i="14"/>
  <c r="CB137" i="14"/>
  <c r="CB159" i="14"/>
  <c r="CB124" i="14"/>
  <c r="CJ152" i="14"/>
  <c r="CJ128" i="14"/>
  <c r="CJ116" i="14"/>
  <c r="FP153" i="14"/>
  <c r="GF139" i="14"/>
  <c r="GF108" i="14"/>
  <c r="FX122" i="14"/>
  <c r="IP133" i="14"/>
  <c r="HZ93" i="14"/>
  <c r="CB127" i="14"/>
  <c r="CB148" i="14"/>
  <c r="CB145" i="14"/>
  <c r="CB151" i="14"/>
  <c r="CB132" i="14"/>
  <c r="CB105" i="14"/>
  <c r="CB150" i="14"/>
  <c r="CB92" i="14"/>
  <c r="CJ120" i="14"/>
  <c r="CJ139" i="14"/>
  <c r="FX138" i="14"/>
  <c r="FX98" i="14"/>
  <c r="HZ113" i="14"/>
  <c r="IH100" i="14"/>
  <c r="IP124" i="14"/>
  <c r="CB120" i="14"/>
  <c r="CB128" i="14"/>
  <c r="CB116" i="14"/>
  <c r="CB113" i="14"/>
  <c r="CB134" i="14"/>
  <c r="CB154" i="14"/>
  <c r="CB136" i="14"/>
  <c r="CB118" i="14"/>
  <c r="CB115" i="14"/>
  <c r="CJ99" i="14"/>
  <c r="CJ160" i="14"/>
  <c r="FX145" i="14"/>
  <c r="FP136" i="14"/>
  <c r="IP130" i="14"/>
  <c r="HZ131" i="14"/>
  <c r="IH149" i="14"/>
  <c r="CB139" i="14"/>
  <c r="CB144" i="14"/>
  <c r="CB102" i="14"/>
  <c r="CB97" i="14"/>
  <c r="CB104" i="14"/>
  <c r="CJ146" i="14"/>
  <c r="CJ107" i="14"/>
  <c r="CJ142" i="14"/>
  <c r="CJ112" i="14"/>
  <c r="FX154" i="14"/>
  <c r="FP112" i="14"/>
  <c r="GF111" i="14"/>
  <c r="IH105" i="14"/>
  <c r="IP154" i="14"/>
  <c r="HZ146" i="14"/>
  <c r="CB107" i="14"/>
  <c r="CB99" i="14"/>
  <c r="CB158" i="14"/>
  <c r="CB112" i="14"/>
  <c r="CB141" i="14"/>
  <c r="CB160" i="14"/>
  <c r="CB111" i="14"/>
  <c r="CB157" i="14"/>
  <c r="CJ114" i="14"/>
  <c r="CJ147" i="14"/>
  <c r="CJ110" i="14"/>
  <c r="CJ126" i="14"/>
  <c r="GF128" i="14"/>
  <c r="FP160" i="14"/>
  <c r="FP118" i="14"/>
  <c r="HZ111" i="14"/>
  <c r="IH129" i="14"/>
  <c r="IH153" i="14"/>
  <c r="T160" i="14"/>
  <c r="IP147" i="14"/>
  <c r="IP139" i="14"/>
  <c r="IH152" i="14"/>
  <c r="C22" i="16"/>
  <c r="E21" i="16"/>
  <c r="D14" i="16"/>
  <c r="C8" i="16"/>
  <c r="C15" i="16" s="1"/>
  <c r="E7" i="16"/>
  <c r="E14" i="16" s="1"/>
  <c r="C55" i="16"/>
  <c r="E54" i="16"/>
  <c r="IP135" i="14"/>
  <c r="HZ135" i="14"/>
  <c r="FP135" i="14"/>
  <c r="CB135" i="14"/>
  <c r="BT155" i="14"/>
  <c r="IP91" i="14"/>
  <c r="HZ123" i="14"/>
  <c r="FP91" i="14"/>
  <c r="FP123" i="14"/>
  <c r="FP155" i="14"/>
  <c r="IH155" i="14"/>
  <c r="GF135" i="14"/>
  <c r="CJ155" i="14"/>
  <c r="BT91" i="14"/>
  <c r="IP123" i="14"/>
  <c r="HZ155" i="14"/>
  <c r="FX135" i="14"/>
  <c r="GF91" i="14"/>
  <c r="CJ123" i="14"/>
  <c r="CB155" i="14"/>
  <c r="BT135" i="14"/>
  <c r="IP155" i="14"/>
  <c r="FX91" i="14"/>
  <c r="FX155" i="14"/>
  <c r="CB91" i="14"/>
  <c r="BT123" i="14"/>
  <c r="FX123" i="14"/>
  <c r="CJ135" i="14"/>
  <c r="IH135" i="14"/>
  <c r="GF155" i="14"/>
  <c r="IH91" i="14"/>
  <c r="GF123" i="14"/>
  <c r="CJ91" i="14"/>
  <c r="CB123" i="14"/>
  <c r="HZ91" i="14"/>
  <c r="IH123" i="14"/>
  <c r="HZ106" i="14"/>
  <c r="IP106" i="14"/>
  <c r="C29" i="16"/>
  <c r="E28" i="16"/>
  <c r="D41" i="16"/>
  <c r="D47" i="16"/>
  <c r="C35" i="16"/>
  <c r="C31" i="16"/>
  <c r="D43" i="16"/>
  <c r="D44" i="16"/>
  <c r="C32" i="16"/>
  <c r="C37" i="16"/>
  <c r="D49" i="16"/>
  <c r="C36" i="16"/>
  <c r="D48" i="16"/>
  <c r="C30" i="16"/>
  <c r="D42" i="16"/>
  <c r="C33" i="16"/>
  <c r="D45" i="16"/>
  <c r="D50" i="16"/>
  <c r="C34" i="16"/>
  <c r="D46" i="16"/>
  <c r="N87" i="14"/>
  <c r="N94" i="14"/>
  <c r="N125" i="14"/>
  <c r="C158" i="14"/>
  <c r="C154" i="14"/>
  <c r="C150" i="14"/>
  <c r="C146" i="14"/>
  <c r="C142" i="14"/>
  <c r="C138" i="14"/>
  <c r="C134" i="14"/>
  <c r="C130" i="14"/>
  <c r="C126" i="14"/>
  <c r="C122" i="14"/>
  <c r="C118" i="14"/>
  <c r="M118" i="14" s="1"/>
  <c r="C114" i="14"/>
  <c r="C110" i="14"/>
  <c r="C106" i="14"/>
  <c r="C102" i="14"/>
  <c r="C98" i="14"/>
  <c r="C94" i="14"/>
  <c r="C90" i="14"/>
  <c r="C86" i="14"/>
  <c r="M86" i="14" s="1"/>
  <c r="C82" i="14"/>
  <c r="C78" i="14"/>
  <c r="C74" i="14"/>
  <c r="M74" i="14" s="1"/>
  <c r="C70" i="14"/>
  <c r="C66" i="14"/>
  <c r="C62" i="14"/>
  <c r="C157" i="14"/>
  <c r="C153" i="14"/>
  <c r="C149" i="14"/>
  <c r="C145" i="14"/>
  <c r="C141" i="14"/>
  <c r="C137" i="14"/>
  <c r="C133" i="14"/>
  <c r="C129" i="14"/>
  <c r="C125" i="14"/>
  <c r="C121" i="14"/>
  <c r="C117" i="14"/>
  <c r="C113" i="14"/>
  <c r="C109" i="14"/>
  <c r="C105" i="14"/>
  <c r="C101" i="14"/>
  <c r="C97" i="14"/>
  <c r="C93" i="14"/>
  <c r="M93" i="14" s="1"/>
  <c r="C89" i="14"/>
  <c r="C85" i="14"/>
  <c r="C81" i="14"/>
  <c r="C77" i="14"/>
  <c r="C73" i="14"/>
  <c r="C69" i="14"/>
  <c r="C65" i="14"/>
  <c r="C61" i="14"/>
  <c r="C160" i="14"/>
  <c r="M160" i="14" s="1"/>
  <c r="C156" i="14"/>
  <c r="C152" i="14"/>
  <c r="C148" i="14"/>
  <c r="C144" i="14"/>
  <c r="C140" i="14"/>
  <c r="C136" i="14"/>
  <c r="C132" i="14"/>
  <c r="C128" i="14"/>
  <c r="C124" i="14"/>
  <c r="M124" i="14" s="1"/>
  <c r="C120" i="14"/>
  <c r="C116" i="14"/>
  <c r="C112" i="14"/>
  <c r="C108" i="14"/>
  <c r="C104" i="14"/>
  <c r="C100" i="14"/>
  <c r="C96" i="14"/>
  <c r="C92" i="14"/>
  <c r="C88" i="14"/>
  <c r="C84" i="14"/>
  <c r="C80" i="14"/>
  <c r="C76" i="14"/>
  <c r="C72" i="14"/>
  <c r="C68" i="14"/>
  <c r="C64" i="14"/>
  <c r="C60" i="14"/>
  <c r="M60" i="14" s="1"/>
  <c r="C159" i="14"/>
  <c r="C155" i="14"/>
  <c r="C151" i="14"/>
  <c r="C147" i="14"/>
  <c r="C143" i="14"/>
  <c r="C139" i="14"/>
  <c r="C135" i="14"/>
  <c r="C131" i="14"/>
  <c r="C127" i="14"/>
  <c r="C123" i="14"/>
  <c r="C119" i="14"/>
  <c r="C115" i="14"/>
  <c r="C111" i="14"/>
  <c r="C107" i="14"/>
  <c r="C103" i="14"/>
  <c r="C99" i="14"/>
  <c r="C95" i="14"/>
  <c r="C91" i="14"/>
  <c r="C87" i="14"/>
  <c r="C83" i="14"/>
  <c r="C79" i="14"/>
  <c r="C75" i="14"/>
  <c r="C71" i="14"/>
  <c r="C67" i="14"/>
  <c r="C63" i="14"/>
  <c r="N119" i="14"/>
  <c r="C22" i="6"/>
  <c r="AL47" i="40" s="1"/>
  <c r="AF47" i="40" s="1"/>
  <c r="C30" i="6"/>
  <c r="AL55" i="40" s="1"/>
  <c r="AF55" i="40" s="1"/>
  <c r="C38" i="6"/>
  <c r="AL63" i="40" s="1"/>
  <c r="AF63" i="40" s="1"/>
  <c r="C46" i="6"/>
  <c r="AL71" i="40" s="1"/>
  <c r="AF71" i="40" s="1"/>
  <c r="C54" i="6"/>
  <c r="AL79" i="40" s="1"/>
  <c r="AF79" i="40" s="1"/>
  <c r="C62" i="6"/>
  <c r="AL87" i="40" s="1"/>
  <c r="AF87" i="40" s="1"/>
  <c r="C70" i="6"/>
  <c r="AL95" i="40" s="1"/>
  <c r="AF95" i="40" s="1"/>
  <c r="C78" i="6"/>
  <c r="AL103" i="40" s="1"/>
  <c r="AF103" i="40" s="1"/>
  <c r="C86" i="6"/>
  <c r="AL111" i="40" s="1"/>
  <c r="AF111" i="40" s="1"/>
  <c r="C94" i="6"/>
  <c r="AL119" i="40" s="1"/>
  <c r="AF119" i="40" s="1"/>
  <c r="C102" i="6"/>
  <c r="AL127" i="40" s="1"/>
  <c r="AF127" i="40" s="1"/>
  <c r="C110" i="6"/>
  <c r="AL135" i="40" s="1"/>
  <c r="AF135" i="40" s="1"/>
  <c r="C118" i="6"/>
  <c r="AL143" i="40" s="1"/>
  <c r="AF143" i="40" s="1"/>
  <c r="C43" i="6"/>
  <c r="AL68" i="40" s="1"/>
  <c r="AF68" i="40" s="1"/>
  <c r="C83" i="6"/>
  <c r="AL108" i="40" s="1"/>
  <c r="AF108" i="40" s="1"/>
  <c r="C107" i="6"/>
  <c r="AL132" i="40" s="1"/>
  <c r="AF132" i="40" s="1"/>
  <c r="C36" i="6"/>
  <c r="AL61" i="40" s="1"/>
  <c r="AF61" i="40" s="1"/>
  <c r="C68" i="6"/>
  <c r="AL93" i="40" s="1"/>
  <c r="AF93" i="40" s="1"/>
  <c r="C84" i="6"/>
  <c r="AL109" i="40" s="1"/>
  <c r="AF109" i="40" s="1"/>
  <c r="C100" i="6"/>
  <c r="AL125" i="40" s="1"/>
  <c r="AF125" i="40" s="1"/>
  <c r="C23" i="6"/>
  <c r="AL48" i="40" s="1"/>
  <c r="AF48" i="40" s="1"/>
  <c r="C31" i="6"/>
  <c r="AL56" i="40" s="1"/>
  <c r="AF56" i="40" s="1"/>
  <c r="C39" i="6"/>
  <c r="AL64" i="40" s="1"/>
  <c r="AF64" i="40" s="1"/>
  <c r="C47" i="6"/>
  <c r="AL72" i="40" s="1"/>
  <c r="AF72" i="40" s="1"/>
  <c r="C55" i="6"/>
  <c r="AL80" i="40" s="1"/>
  <c r="AF80" i="40" s="1"/>
  <c r="C63" i="6"/>
  <c r="AL88" i="40" s="1"/>
  <c r="AF88" i="40" s="1"/>
  <c r="C71" i="6"/>
  <c r="AL96" i="40" s="1"/>
  <c r="AF96" i="40" s="1"/>
  <c r="C79" i="6"/>
  <c r="AL104" i="40" s="1"/>
  <c r="AF104" i="40" s="1"/>
  <c r="C87" i="6"/>
  <c r="AL112" i="40" s="1"/>
  <c r="AF112" i="40" s="1"/>
  <c r="C95" i="6"/>
  <c r="AL120" i="40" s="1"/>
  <c r="AF120" i="40" s="1"/>
  <c r="C103" i="6"/>
  <c r="AL128" i="40" s="1"/>
  <c r="AF128" i="40" s="1"/>
  <c r="C111" i="6"/>
  <c r="AL136" i="40" s="1"/>
  <c r="AF136" i="40" s="1"/>
  <c r="C119" i="6"/>
  <c r="AL144" i="40" s="1"/>
  <c r="AF144" i="40" s="1"/>
  <c r="C51" i="6"/>
  <c r="AL76" i="40" s="1"/>
  <c r="AF76" i="40" s="1"/>
  <c r="C28" i="6"/>
  <c r="AL53" i="40" s="1"/>
  <c r="AF53" i="40" s="1"/>
  <c r="C24" i="6"/>
  <c r="AL49" i="40" s="1"/>
  <c r="AF49" i="40" s="1"/>
  <c r="C32" i="6"/>
  <c r="AL57" i="40" s="1"/>
  <c r="AF57" i="40" s="1"/>
  <c r="C40" i="6"/>
  <c r="AL65" i="40" s="1"/>
  <c r="AF65" i="40" s="1"/>
  <c r="C48" i="6"/>
  <c r="AL73" i="40" s="1"/>
  <c r="AF73" i="40" s="1"/>
  <c r="C56" i="6"/>
  <c r="AL81" i="40" s="1"/>
  <c r="AF81" i="40" s="1"/>
  <c r="C64" i="6"/>
  <c r="AL89" i="40" s="1"/>
  <c r="AF89" i="40" s="1"/>
  <c r="C72" i="6"/>
  <c r="AL97" i="40" s="1"/>
  <c r="AF97" i="40" s="1"/>
  <c r="C80" i="6"/>
  <c r="AL105" i="40" s="1"/>
  <c r="AF105" i="40" s="1"/>
  <c r="C88" i="6"/>
  <c r="AL113" i="40" s="1"/>
  <c r="AF113" i="40" s="1"/>
  <c r="C96" i="6"/>
  <c r="AL121" i="40" s="1"/>
  <c r="AF121" i="40" s="1"/>
  <c r="C104" i="6"/>
  <c r="AL129" i="40" s="1"/>
  <c r="AF129" i="40" s="1"/>
  <c r="C112" i="6"/>
  <c r="AL137" i="40" s="1"/>
  <c r="AF137" i="40" s="1"/>
  <c r="C120" i="6"/>
  <c r="AL145" i="40" s="1"/>
  <c r="AF145" i="40" s="1"/>
  <c r="C27" i="6"/>
  <c r="AL52" i="40" s="1"/>
  <c r="AF52" i="40" s="1"/>
  <c r="C59" i="6"/>
  <c r="AL84" i="40" s="1"/>
  <c r="AF84" i="40" s="1"/>
  <c r="C99" i="6"/>
  <c r="AL124" i="40" s="1"/>
  <c r="AF124" i="40" s="1"/>
  <c r="C60" i="6"/>
  <c r="AL85" i="40" s="1"/>
  <c r="AF85" i="40" s="1"/>
  <c r="C92" i="6"/>
  <c r="AL117" i="40" s="1"/>
  <c r="AF117" i="40" s="1"/>
  <c r="C25" i="6"/>
  <c r="AL50" i="40" s="1"/>
  <c r="AF50" i="40" s="1"/>
  <c r="C33" i="6"/>
  <c r="AL58" i="40" s="1"/>
  <c r="AF58" i="40" s="1"/>
  <c r="C41" i="6"/>
  <c r="AL66" i="40" s="1"/>
  <c r="AF66" i="40" s="1"/>
  <c r="C49" i="6"/>
  <c r="AL74" i="40" s="1"/>
  <c r="AF74" i="40" s="1"/>
  <c r="C57" i="6"/>
  <c r="AL82" i="40" s="1"/>
  <c r="AF82" i="40" s="1"/>
  <c r="C65" i="6"/>
  <c r="AL90" i="40" s="1"/>
  <c r="AF90" i="40" s="1"/>
  <c r="C73" i="6"/>
  <c r="AL98" i="40" s="1"/>
  <c r="AF98" i="40" s="1"/>
  <c r="C81" i="6"/>
  <c r="AL106" i="40" s="1"/>
  <c r="AF106" i="40" s="1"/>
  <c r="C89" i="6"/>
  <c r="AL114" i="40" s="1"/>
  <c r="AF114" i="40" s="1"/>
  <c r="C97" i="6"/>
  <c r="AL122" i="40" s="1"/>
  <c r="AF122" i="40" s="1"/>
  <c r="C105" i="6"/>
  <c r="AL130" i="40" s="1"/>
  <c r="AF130" i="40" s="1"/>
  <c r="C113" i="6"/>
  <c r="AL138" i="40" s="1"/>
  <c r="AF138" i="40" s="1"/>
  <c r="C35" i="6"/>
  <c r="AL60" i="40" s="1"/>
  <c r="AF60" i="40" s="1"/>
  <c r="C67" i="6"/>
  <c r="AL92" i="40" s="1"/>
  <c r="AF92" i="40" s="1"/>
  <c r="C91" i="6"/>
  <c r="AL116" i="40" s="1"/>
  <c r="AF116" i="40" s="1"/>
  <c r="C76" i="6"/>
  <c r="AL101" i="40" s="1"/>
  <c r="AF101" i="40" s="1"/>
  <c r="C108" i="6"/>
  <c r="AL133" i="40" s="1"/>
  <c r="AF133" i="40" s="1"/>
  <c r="C26" i="6"/>
  <c r="AL51" i="40" s="1"/>
  <c r="AF51" i="40" s="1"/>
  <c r="C34" i="6"/>
  <c r="AL59" i="40" s="1"/>
  <c r="AF59" i="40" s="1"/>
  <c r="C42" i="6"/>
  <c r="AL67" i="40" s="1"/>
  <c r="AF67" i="40" s="1"/>
  <c r="C50" i="6"/>
  <c r="AL75" i="40" s="1"/>
  <c r="AF75" i="40" s="1"/>
  <c r="C58" i="6"/>
  <c r="AL83" i="40" s="1"/>
  <c r="AF83" i="40" s="1"/>
  <c r="C66" i="6"/>
  <c r="AL91" i="40" s="1"/>
  <c r="AF91" i="40" s="1"/>
  <c r="C74" i="6"/>
  <c r="AL99" i="40" s="1"/>
  <c r="AF99" i="40" s="1"/>
  <c r="C82" i="6"/>
  <c r="AL107" i="40" s="1"/>
  <c r="AF107" i="40" s="1"/>
  <c r="C90" i="6"/>
  <c r="AL115" i="40" s="1"/>
  <c r="AF115" i="40" s="1"/>
  <c r="C98" i="6"/>
  <c r="AL123" i="40" s="1"/>
  <c r="AF123" i="40" s="1"/>
  <c r="C106" i="6"/>
  <c r="AL131" i="40" s="1"/>
  <c r="AF131" i="40" s="1"/>
  <c r="C114" i="6"/>
  <c r="AL139" i="40" s="1"/>
  <c r="AF139" i="40" s="1"/>
  <c r="C115" i="6"/>
  <c r="AL140" i="40" s="1"/>
  <c r="AF140" i="40" s="1"/>
  <c r="C44" i="6"/>
  <c r="AL69" i="40" s="1"/>
  <c r="AF69" i="40" s="1"/>
  <c r="C21" i="6"/>
  <c r="AL46" i="40" s="1"/>
  <c r="AF46" i="40" s="1"/>
  <c r="C29" i="6"/>
  <c r="AL54" i="40" s="1"/>
  <c r="AF54" i="40" s="1"/>
  <c r="C37" i="6"/>
  <c r="AL62" i="40" s="1"/>
  <c r="AF62" i="40" s="1"/>
  <c r="C45" i="6"/>
  <c r="AL70" i="40" s="1"/>
  <c r="AF70" i="40" s="1"/>
  <c r="C53" i="6"/>
  <c r="AL78" i="40" s="1"/>
  <c r="AF78" i="40" s="1"/>
  <c r="C61" i="6"/>
  <c r="AL86" i="40" s="1"/>
  <c r="AF86" i="40" s="1"/>
  <c r="C69" i="6"/>
  <c r="AL94" i="40" s="1"/>
  <c r="AF94" i="40" s="1"/>
  <c r="C77" i="6"/>
  <c r="AL102" i="40" s="1"/>
  <c r="AF102" i="40" s="1"/>
  <c r="C85" i="6"/>
  <c r="AL110" i="40" s="1"/>
  <c r="AF110" i="40" s="1"/>
  <c r="C93" i="6"/>
  <c r="AL118" i="40" s="1"/>
  <c r="AF118" i="40" s="1"/>
  <c r="C101" i="6"/>
  <c r="AL126" i="40" s="1"/>
  <c r="AF126" i="40" s="1"/>
  <c r="C109" i="6"/>
  <c r="AL134" i="40" s="1"/>
  <c r="AF134" i="40" s="1"/>
  <c r="C117" i="6"/>
  <c r="AL142" i="40" s="1"/>
  <c r="AF142" i="40" s="1"/>
  <c r="C75" i="6"/>
  <c r="AL100" i="40" s="1"/>
  <c r="AF100" i="40" s="1"/>
  <c r="C52" i="6"/>
  <c r="AL77" i="40" s="1"/>
  <c r="AF77" i="40" s="1"/>
  <c r="C116" i="6"/>
  <c r="AL141" i="40" s="1"/>
  <c r="AF141" i="40" s="1"/>
  <c r="AV66" i="43" l="1"/>
  <c r="A34" i="45" s="1"/>
  <c r="C34" i="45"/>
  <c r="AV71" i="43"/>
  <c r="A39" i="45" s="1"/>
  <c r="AV68" i="43"/>
  <c r="A36" i="45" s="1"/>
  <c r="AV51" i="43"/>
  <c r="A19" i="45" s="1"/>
  <c r="AV62" i="43"/>
  <c r="A30" i="45" s="1"/>
  <c r="AV56" i="43"/>
  <c r="A24" i="45" s="1"/>
  <c r="AV63" i="43"/>
  <c r="A31" i="45" s="1"/>
  <c r="AV61" i="43"/>
  <c r="A29" i="45" s="1"/>
  <c r="AV57" i="43"/>
  <c r="A25" i="45" s="1"/>
  <c r="AV59" i="43"/>
  <c r="A27" i="45" s="1"/>
  <c r="AV50" i="43"/>
  <c r="A18" i="45" s="1"/>
  <c r="AV65" i="43"/>
  <c r="A33" i="45" s="1"/>
  <c r="AV52" i="43"/>
  <c r="A20" i="45" s="1"/>
  <c r="AV53" i="43"/>
  <c r="A21" i="45" s="1"/>
  <c r="CF62" i="43"/>
  <c r="AK30" i="45" s="1"/>
  <c r="CF65" i="43"/>
  <c r="AK33" i="45" s="1"/>
  <c r="CF51" i="43"/>
  <c r="AK19" i="45" s="1"/>
  <c r="CF67" i="43"/>
  <c r="AK35" i="45" s="1"/>
  <c r="CF69" i="43"/>
  <c r="AK37" i="45" s="1"/>
  <c r="CF52" i="43"/>
  <c r="AK20" i="45" s="1"/>
  <c r="CF59" i="43"/>
  <c r="AK27" i="45" s="1"/>
  <c r="CF63" i="43"/>
  <c r="AK31" i="45" s="1"/>
  <c r="CF60" i="43"/>
  <c r="AK28" i="45" s="1"/>
  <c r="CF70" i="43"/>
  <c r="AK38" i="45" s="1"/>
  <c r="CF61" i="43"/>
  <c r="AK29" i="45" s="1"/>
  <c r="CF58" i="43"/>
  <c r="AK26" i="45" s="1"/>
  <c r="CF57" i="43"/>
  <c r="AK25" i="45" s="1"/>
  <c r="CF64" i="43"/>
  <c r="AK32" i="45" s="1"/>
  <c r="CF66" i="43"/>
  <c r="AK34" i="45" s="1"/>
  <c r="CF53" i="43"/>
  <c r="AK21" i="45" s="1"/>
  <c r="CF68" i="43"/>
  <c r="AK36" i="45" s="1"/>
  <c r="CF71" i="43"/>
  <c r="AK39" i="45" s="1"/>
  <c r="CF55" i="43"/>
  <c r="AK23" i="45" s="1"/>
  <c r="CF56" i="43"/>
  <c r="AK24" i="45" s="1"/>
  <c r="CF54" i="43"/>
  <c r="AK22" i="45" s="1"/>
  <c r="AY66" i="43"/>
  <c r="D34" i="45" s="1"/>
  <c r="AV60" i="43"/>
  <c r="A28" i="45" s="1"/>
  <c r="AV69" i="43"/>
  <c r="A37" i="45" s="1"/>
  <c r="AV54" i="43"/>
  <c r="A22" i="45" s="1"/>
  <c r="AV55" i="43"/>
  <c r="A23" i="45" s="1"/>
  <c r="AV67" i="43"/>
  <c r="A35" i="45" s="1"/>
  <c r="AV64" i="43"/>
  <c r="A32" i="45" s="1"/>
  <c r="AV58" i="43"/>
  <c r="A26" i="45" s="1"/>
  <c r="AV70" i="43"/>
  <c r="A38" i="45" s="1"/>
  <c r="AG54" i="40"/>
  <c r="AG65" i="40"/>
  <c r="M90" i="15"/>
  <c r="R90" i="15" s="1"/>
  <c r="BR90" i="15"/>
  <c r="BP90" i="15"/>
  <c r="BL90" i="15"/>
  <c r="BQ90" i="15"/>
  <c r="BM90" i="15"/>
  <c r="BN90" i="15"/>
  <c r="BK90" i="15"/>
  <c r="BO90" i="15"/>
  <c r="M48" i="15"/>
  <c r="P48" i="15" s="1"/>
  <c r="BP48" i="15"/>
  <c r="BQ48" i="15"/>
  <c r="BR48" i="15"/>
  <c r="BM48" i="15"/>
  <c r="BN48" i="15"/>
  <c r="BK48" i="15"/>
  <c r="BO48" i="15"/>
  <c r="BL48" i="15"/>
  <c r="AG117" i="40"/>
  <c r="AG143" i="40"/>
  <c r="M97" i="15"/>
  <c r="BP97" i="15"/>
  <c r="BQ97" i="15"/>
  <c r="BR97" i="15"/>
  <c r="BM97" i="15"/>
  <c r="BN97" i="15"/>
  <c r="BO97" i="15"/>
  <c r="BK97" i="15"/>
  <c r="BL97" i="15"/>
  <c r="M126" i="15"/>
  <c r="P126" i="15" s="1"/>
  <c r="BP126" i="15"/>
  <c r="BQ126" i="15"/>
  <c r="BR126" i="15"/>
  <c r="BL126" i="15"/>
  <c r="BM126" i="15"/>
  <c r="BN126" i="15"/>
  <c r="BK126" i="15"/>
  <c r="BO126" i="15"/>
  <c r="M119" i="15"/>
  <c r="P119" i="15" s="1"/>
  <c r="BP119" i="15"/>
  <c r="BR119" i="15"/>
  <c r="BO119" i="15"/>
  <c r="BK119" i="15"/>
  <c r="BL119" i="15"/>
  <c r="BM119" i="15"/>
  <c r="BN119" i="15"/>
  <c r="BQ119" i="15"/>
  <c r="AG102" i="40"/>
  <c r="AG69" i="40"/>
  <c r="AG91" i="40"/>
  <c r="AG116" i="40"/>
  <c r="AG98" i="40"/>
  <c r="AG85" i="40"/>
  <c r="AG113" i="40"/>
  <c r="AG49" i="40"/>
  <c r="AG104" i="40"/>
  <c r="AG125" i="40"/>
  <c r="AG135" i="40"/>
  <c r="AG71" i="40"/>
  <c r="M69" i="15"/>
  <c r="BQ69" i="15"/>
  <c r="BR69" i="15"/>
  <c r="BP69" i="15"/>
  <c r="BM69" i="15"/>
  <c r="BN69" i="15"/>
  <c r="BO69" i="15"/>
  <c r="BK69" i="15"/>
  <c r="BL69" i="15"/>
  <c r="M101" i="15"/>
  <c r="BQ101" i="15"/>
  <c r="BR101" i="15"/>
  <c r="BP101" i="15"/>
  <c r="BM101" i="15"/>
  <c r="BK101" i="15"/>
  <c r="BN101" i="15"/>
  <c r="BL101" i="15"/>
  <c r="BO101" i="15"/>
  <c r="M133" i="15"/>
  <c r="BQ133" i="15"/>
  <c r="BR133" i="15"/>
  <c r="BP133" i="15"/>
  <c r="BM133" i="15"/>
  <c r="BN133" i="15"/>
  <c r="BO133" i="15"/>
  <c r="BK133" i="15"/>
  <c r="BL133" i="15"/>
  <c r="M66" i="15"/>
  <c r="P66" i="15" s="1"/>
  <c r="BR66" i="15"/>
  <c r="BQ66" i="15"/>
  <c r="BL66" i="15"/>
  <c r="BM66" i="15"/>
  <c r="BN66" i="15"/>
  <c r="BO66" i="15"/>
  <c r="BK66" i="15"/>
  <c r="BP66" i="15"/>
  <c r="M98" i="15"/>
  <c r="P98" i="15" s="1"/>
  <c r="BR98" i="15"/>
  <c r="BQ98" i="15"/>
  <c r="BL98" i="15"/>
  <c r="BM98" i="15"/>
  <c r="BN98" i="15"/>
  <c r="BO98" i="15"/>
  <c r="BP98" i="15"/>
  <c r="BK98" i="15"/>
  <c r="M130" i="15"/>
  <c r="P130" i="15" s="1"/>
  <c r="BR130" i="15"/>
  <c r="BM130" i="15"/>
  <c r="BL130" i="15"/>
  <c r="BN130" i="15"/>
  <c r="BO130" i="15"/>
  <c r="BP130" i="15"/>
  <c r="BQ130" i="15"/>
  <c r="BK130" i="15"/>
  <c r="M59" i="15"/>
  <c r="R59" i="15" s="1"/>
  <c r="BP59" i="15"/>
  <c r="BQ59" i="15"/>
  <c r="BR59" i="15"/>
  <c r="BK59" i="15"/>
  <c r="BL59" i="15"/>
  <c r="BM59" i="15"/>
  <c r="BN59" i="15"/>
  <c r="BO59" i="15"/>
  <c r="M91" i="15"/>
  <c r="R91" i="15" s="1"/>
  <c r="BP91" i="15"/>
  <c r="BQ91" i="15"/>
  <c r="BR91" i="15"/>
  <c r="BO91" i="15"/>
  <c r="BK91" i="15"/>
  <c r="BL91" i="15"/>
  <c r="BM91" i="15"/>
  <c r="BN91" i="15"/>
  <c r="M123" i="15"/>
  <c r="BP123" i="15"/>
  <c r="BQ123" i="15"/>
  <c r="BR123" i="15"/>
  <c r="BK123" i="15"/>
  <c r="BM123" i="15"/>
  <c r="BL123" i="15"/>
  <c r="BN123" i="15"/>
  <c r="BO123" i="15"/>
  <c r="M56" i="15"/>
  <c r="BP56" i="15"/>
  <c r="BQ56" i="15"/>
  <c r="BR56" i="15"/>
  <c r="BM56" i="15"/>
  <c r="BN56" i="15"/>
  <c r="BK56" i="15"/>
  <c r="BO56" i="15"/>
  <c r="BL56" i="15"/>
  <c r="M88" i="15"/>
  <c r="BP88" i="15"/>
  <c r="BQ88" i="15"/>
  <c r="BR88" i="15"/>
  <c r="BK88" i="15"/>
  <c r="BL88" i="15"/>
  <c r="BO88" i="15"/>
  <c r="BM88" i="15"/>
  <c r="BN88" i="15"/>
  <c r="M120" i="15"/>
  <c r="R120" i="15" s="1"/>
  <c r="BP120" i="15"/>
  <c r="BQ120" i="15"/>
  <c r="BR120" i="15"/>
  <c r="BM120" i="15"/>
  <c r="BN120" i="15"/>
  <c r="BO120" i="15"/>
  <c r="BK120" i="15"/>
  <c r="BL120" i="15"/>
  <c r="AG133" i="40"/>
  <c r="AG68" i="40"/>
  <c r="M61" i="15"/>
  <c r="R61" i="15" s="1"/>
  <c r="BQ61" i="15"/>
  <c r="BR61" i="15"/>
  <c r="BM61" i="15"/>
  <c r="BN61" i="15"/>
  <c r="BP61" i="15"/>
  <c r="BO61" i="15"/>
  <c r="BK61" i="15"/>
  <c r="BL61" i="15"/>
  <c r="M122" i="15"/>
  <c r="P122" i="15" s="1"/>
  <c r="BR122" i="15"/>
  <c r="BP122" i="15"/>
  <c r="BN122" i="15"/>
  <c r="BL122" i="15"/>
  <c r="BQ122" i="15"/>
  <c r="BO122" i="15"/>
  <c r="BK122" i="15"/>
  <c r="BM122" i="15"/>
  <c r="M115" i="15"/>
  <c r="BP115" i="15"/>
  <c r="BQ115" i="15"/>
  <c r="BR115" i="15"/>
  <c r="BM115" i="15"/>
  <c r="BK115" i="15"/>
  <c r="BN115" i="15"/>
  <c r="BL115" i="15"/>
  <c r="BO115" i="15"/>
  <c r="AG99" i="40"/>
  <c r="AG57" i="40"/>
  <c r="M65" i="15"/>
  <c r="P65" i="15" s="1"/>
  <c r="BP65" i="15"/>
  <c r="BQ65" i="15"/>
  <c r="BR65" i="15"/>
  <c r="BO65" i="15"/>
  <c r="BK65" i="15"/>
  <c r="BL65" i="15"/>
  <c r="BM65" i="15"/>
  <c r="BN65" i="15"/>
  <c r="M94" i="15"/>
  <c r="R94" i="15" s="1"/>
  <c r="BP94" i="15"/>
  <c r="BQ94" i="15"/>
  <c r="BR94" i="15"/>
  <c r="BM94" i="15"/>
  <c r="BL94" i="15"/>
  <c r="BN94" i="15"/>
  <c r="BO94" i="15"/>
  <c r="BK94" i="15"/>
  <c r="M87" i="15"/>
  <c r="R87" i="15" s="1"/>
  <c r="BP87" i="15"/>
  <c r="BR87" i="15"/>
  <c r="BK87" i="15"/>
  <c r="BM87" i="15"/>
  <c r="BL87" i="15"/>
  <c r="BN87" i="15"/>
  <c r="BO87" i="15"/>
  <c r="BQ87" i="15"/>
  <c r="M84" i="15"/>
  <c r="BP84" i="15"/>
  <c r="BQ84" i="15"/>
  <c r="BM84" i="15"/>
  <c r="BN84" i="15"/>
  <c r="BO84" i="15"/>
  <c r="BK84" i="15"/>
  <c r="BR84" i="15"/>
  <c r="BL84" i="15"/>
  <c r="M116" i="15"/>
  <c r="R116" i="15" s="1"/>
  <c r="BP116" i="15"/>
  <c r="BQ116" i="15"/>
  <c r="BK116" i="15"/>
  <c r="BR116" i="15"/>
  <c r="BM116" i="15"/>
  <c r="BL116" i="15"/>
  <c r="BO116" i="15"/>
  <c r="BN116" i="15"/>
  <c r="AG77" i="40"/>
  <c r="AG140" i="40"/>
  <c r="AG83" i="40"/>
  <c r="AG92" i="40"/>
  <c r="AG90" i="40"/>
  <c r="AG124" i="40"/>
  <c r="AG105" i="40"/>
  <c r="AG53" i="40"/>
  <c r="AG96" i="40"/>
  <c r="AG109" i="40"/>
  <c r="AG127" i="40"/>
  <c r="AG63" i="40"/>
  <c r="M73" i="15"/>
  <c r="R73" i="15" s="1"/>
  <c r="BP73" i="15"/>
  <c r="BQ73" i="15"/>
  <c r="BR73" i="15"/>
  <c r="BN73" i="15"/>
  <c r="BO73" i="15"/>
  <c r="BK73" i="15"/>
  <c r="BM73" i="15"/>
  <c r="BL73" i="15"/>
  <c r="M105" i="15"/>
  <c r="R105" i="15" s="1"/>
  <c r="BP105" i="15"/>
  <c r="BQ105" i="15"/>
  <c r="BR105" i="15"/>
  <c r="BM105" i="15"/>
  <c r="BN105" i="15"/>
  <c r="BO105" i="15"/>
  <c r="BL105" i="15"/>
  <c r="BK105" i="15"/>
  <c r="M137" i="15"/>
  <c r="BP137" i="15"/>
  <c r="BQ137" i="15"/>
  <c r="BR137" i="15"/>
  <c r="BO137" i="15"/>
  <c r="BL137" i="15"/>
  <c r="BN137" i="15"/>
  <c r="BK137" i="15"/>
  <c r="BM137" i="15"/>
  <c r="M70" i="15"/>
  <c r="P70" i="15" s="1"/>
  <c r="BP70" i="15"/>
  <c r="BQ70" i="15"/>
  <c r="BR70" i="15"/>
  <c r="BO70" i="15"/>
  <c r="BL70" i="15"/>
  <c r="BM70" i="15"/>
  <c r="BN70" i="15"/>
  <c r="BK70" i="15"/>
  <c r="M102" i="15"/>
  <c r="BP102" i="15"/>
  <c r="BQ102" i="15"/>
  <c r="BR102" i="15"/>
  <c r="BL102" i="15"/>
  <c r="BM102" i="15"/>
  <c r="BN102" i="15"/>
  <c r="BO102" i="15"/>
  <c r="BK102" i="15"/>
  <c r="M134" i="15"/>
  <c r="BP134" i="15"/>
  <c r="BQ134" i="15"/>
  <c r="BR134" i="15"/>
  <c r="BL134" i="15"/>
  <c r="BM134" i="15"/>
  <c r="BN134" i="15"/>
  <c r="BO134" i="15"/>
  <c r="BK134" i="15"/>
  <c r="M63" i="15"/>
  <c r="BP63" i="15"/>
  <c r="BM63" i="15"/>
  <c r="BN63" i="15"/>
  <c r="BK63" i="15"/>
  <c r="BO63" i="15"/>
  <c r="BL63" i="15"/>
  <c r="BQ63" i="15"/>
  <c r="BR63" i="15"/>
  <c r="M95" i="15"/>
  <c r="P95" i="15" s="1"/>
  <c r="BP95" i="15"/>
  <c r="BK95" i="15"/>
  <c r="BL95" i="15"/>
  <c r="BM95" i="15"/>
  <c r="BQ95" i="15"/>
  <c r="BN95" i="15"/>
  <c r="BR95" i="15"/>
  <c r="BO95" i="15"/>
  <c r="M127" i="15"/>
  <c r="P127" i="15" s="1"/>
  <c r="BP127" i="15"/>
  <c r="BN127" i="15"/>
  <c r="BO127" i="15"/>
  <c r="BK127" i="15"/>
  <c r="BL127" i="15"/>
  <c r="BQ127" i="15"/>
  <c r="BR127" i="15"/>
  <c r="BM127" i="15"/>
  <c r="M60" i="15"/>
  <c r="R60" i="15" s="1"/>
  <c r="BP60" i="15"/>
  <c r="BQ60" i="15"/>
  <c r="BO60" i="15"/>
  <c r="BR60" i="15"/>
  <c r="BK60" i="15"/>
  <c r="BL60" i="15"/>
  <c r="BM60" i="15"/>
  <c r="BN60" i="15"/>
  <c r="M92" i="15"/>
  <c r="P92" i="15" s="1"/>
  <c r="BP92" i="15"/>
  <c r="BQ92" i="15"/>
  <c r="BM92" i="15"/>
  <c r="BR92" i="15"/>
  <c r="BN92" i="15"/>
  <c r="BO92" i="15"/>
  <c r="BK92" i="15"/>
  <c r="BL92" i="15"/>
  <c r="M124" i="15"/>
  <c r="R124" i="15" s="1"/>
  <c r="BP124" i="15"/>
  <c r="BQ124" i="15"/>
  <c r="BR124" i="15"/>
  <c r="BK124" i="15"/>
  <c r="BL124" i="15"/>
  <c r="BO124" i="15"/>
  <c r="BN124" i="15"/>
  <c r="BM124" i="15"/>
  <c r="AG118" i="40"/>
  <c r="AG114" i="40"/>
  <c r="AG120" i="40"/>
  <c r="M125" i="15"/>
  <c r="R125" i="15" s="1"/>
  <c r="BQ125" i="15"/>
  <c r="BR125" i="15"/>
  <c r="BM125" i="15"/>
  <c r="BN125" i="15"/>
  <c r="BO125" i="15"/>
  <c r="BP125" i="15"/>
  <c r="BK125" i="15"/>
  <c r="BL125" i="15"/>
  <c r="M83" i="15"/>
  <c r="R83" i="15" s="1"/>
  <c r="BP83" i="15"/>
  <c r="BQ83" i="15"/>
  <c r="BR83" i="15"/>
  <c r="BK83" i="15"/>
  <c r="BL83" i="15"/>
  <c r="BO83" i="15"/>
  <c r="BN83" i="15"/>
  <c r="BM83" i="15"/>
  <c r="AG101" i="40"/>
  <c r="AG112" i="40"/>
  <c r="M62" i="15"/>
  <c r="P62" i="15" s="1"/>
  <c r="BP62" i="15"/>
  <c r="BQ62" i="15"/>
  <c r="BR62" i="15"/>
  <c r="BL62" i="15"/>
  <c r="BO62" i="15"/>
  <c r="BK62" i="15"/>
  <c r="BM62" i="15"/>
  <c r="BN62" i="15"/>
  <c r="M55" i="15"/>
  <c r="P55" i="15" s="1"/>
  <c r="BP55" i="15"/>
  <c r="BR55" i="15"/>
  <c r="BN55" i="15"/>
  <c r="BO55" i="15"/>
  <c r="BK55" i="15"/>
  <c r="BL55" i="15"/>
  <c r="BQ55" i="15"/>
  <c r="BM55" i="15"/>
  <c r="M52" i="15"/>
  <c r="P52" i="15" s="1"/>
  <c r="BP52" i="15"/>
  <c r="BQ52" i="15"/>
  <c r="BO52" i="15"/>
  <c r="BK52" i="15"/>
  <c r="BR52" i="15"/>
  <c r="BL52" i="15"/>
  <c r="BM52" i="15"/>
  <c r="BN52" i="15"/>
  <c r="AG141" i="40"/>
  <c r="AG94" i="40"/>
  <c r="AG100" i="40"/>
  <c r="AG86" i="40"/>
  <c r="AG139" i="40"/>
  <c r="AG75" i="40"/>
  <c r="AG60" i="40"/>
  <c r="AG82" i="40"/>
  <c r="AG84" i="40"/>
  <c r="AG97" i="40"/>
  <c r="AG76" i="40"/>
  <c r="AG88" i="40"/>
  <c r="AG93" i="40"/>
  <c r="AG119" i="40"/>
  <c r="AG55" i="40"/>
  <c r="M46" i="15"/>
  <c r="P46" i="15" s="1"/>
  <c r="BQ46" i="15"/>
  <c r="BP46" i="15"/>
  <c r="BL46" i="15"/>
  <c r="BK46" i="15"/>
  <c r="BO46" i="15"/>
  <c r="BN46" i="15"/>
  <c r="BM46" i="15"/>
  <c r="BR46" i="15"/>
  <c r="M77" i="15"/>
  <c r="P77" i="15" s="1"/>
  <c r="BQ77" i="15"/>
  <c r="BR77" i="15"/>
  <c r="BP77" i="15"/>
  <c r="BM77" i="15"/>
  <c r="BN77" i="15"/>
  <c r="BO77" i="15"/>
  <c r="BK77" i="15"/>
  <c r="BL77" i="15"/>
  <c r="M109" i="15"/>
  <c r="R109" i="15" s="1"/>
  <c r="BQ109" i="15"/>
  <c r="BR109" i="15"/>
  <c r="BP109" i="15"/>
  <c r="BO109" i="15"/>
  <c r="BK109" i="15"/>
  <c r="BL109" i="15"/>
  <c r="BN109" i="15"/>
  <c r="BM109" i="15"/>
  <c r="M141" i="15"/>
  <c r="P141" i="15" s="1"/>
  <c r="BQ141" i="15"/>
  <c r="BR141" i="15"/>
  <c r="BM141" i="15"/>
  <c r="BN141" i="15"/>
  <c r="BO141" i="15"/>
  <c r="BK141" i="15"/>
  <c r="BL141" i="15"/>
  <c r="BP141" i="15"/>
  <c r="M74" i="15"/>
  <c r="R74" i="15" s="1"/>
  <c r="BR74" i="15"/>
  <c r="BL74" i="15"/>
  <c r="BM74" i="15"/>
  <c r="BN74" i="15"/>
  <c r="BP74" i="15"/>
  <c r="BO74" i="15"/>
  <c r="BK74" i="15"/>
  <c r="BQ74" i="15"/>
  <c r="M106" i="15"/>
  <c r="BR106" i="15"/>
  <c r="BL106" i="15"/>
  <c r="BP106" i="15"/>
  <c r="BK106" i="15"/>
  <c r="BM106" i="15"/>
  <c r="BN106" i="15"/>
  <c r="BQ106" i="15"/>
  <c r="BO106" i="15"/>
  <c r="M138" i="15"/>
  <c r="R138" i="15" s="1"/>
  <c r="BR138" i="15"/>
  <c r="BL138" i="15"/>
  <c r="BM138" i="15"/>
  <c r="BN138" i="15"/>
  <c r="BO138" i="15"/>
  <c r="BP138" i="15"/>
  <c r="BK138" i="15"/>
  <c r="BQ138" i="15"/>
  <c r="M67" i="15"/>
  <c r="BP67" i="15"/>
  <c r="BQ67" i="15"/>
  <c r="BR67" i="15"/>
  <c r="BK67" i="15"/>
  <c r="BL67" i="15"/>
  <c r="BM67" i="15"/>
  <c r="BN67" i="15"/>
  <c r="BO67" i="15"/>
  <c r="M99" i="15"/>
  <c r="P99" i="15" s="1"/>
  <c r="BP99" i="15"/>
  <c r="BQ99" i="15"/>
  <c r="BR99" i="15"/>
  <c r="BN99" i="15"/>
  <c r="BO99" i="15"/>
  <c r="BK99" i="15"/>
  <c r="BL99" i="15"/>
  <c r="BM99" i="15"/>
  <c r="M131" i="15"/>
  <c r="R131" i="15" s="1"/>
  <c r="BP131" i="15"/>
  <c r="BQ131" i="15"/>
  <c r="BR131" i="15"/>
  <c r="BK131" i="15"/>
  <c r="BL131" i="15"/>
  <c r="BM131" i="15"/>
  <c r="BN131" i="15"/>
  <c r="BO131" i="15"/>
  <c r="M64" i="15"/>
  <c r="R64" i="15" s="1"/>
  <c r="BP64" i="15"/>
  <c r="BQ64" i="15"/>
  <c r="BR64" i="15"/>
  <c r="BM64" i="15"/>
  <c r="BK64" i="15"/>
  <c r="BN64" i="15"/>
  <c r="BL64" i="15"/>
  <c r="BO64" i="15"/>
  <c r="M96" i="15"/>
  <c r="R96" i="15" s="1"/>
  <c r="BP96" i="15"/>
  <c r="BQ96" i="15"/>
  <c r="BR96" i="15"/>
  <c r="BO96" i="15"/>
  <c r="BK96" i="15"/>
  <c r="BL96" i="15"/>
  <c r="BN96" i="15"/>
  <c r="BM96" i="15"/>
  <c r="M128" i="15"/>
  <c r="R128" i="15" s="1"/>
  <c r="BP128" i="15"/>
  <c r="BQ128" i="15"/>
  <c r="BR128" i="15"/>
  <c r="BM128" i="15"/>
  <c r="BN128" i="15"/>
  <c r="BK128" i="15"/>
  <c r="BO128" i="15"/>
  <c r="BL128" i="15"/>
  <c r="AG129" i="40"/>
  <c r="M144" i="15"/>
  <c r="R144" i="15" s="1"/>
  <c r="BP144" i="15"/>
  <c r="BQ144" i="15"/>
  <c r="BR144" i="15"/>
  <c r="BK144" i="15"/>
  <c r="BM144" i="15"/>
  <c r="BL144" i="15"/>
  <c r="BN144" i="15"/>
  <c r="BO144" i="15"/>
  <c r="AG106" i="40"/>
  <c r="AG47" i="40"/>
  <c r="M49" i="15"/>
  <c r="P49" i="15" s="1"/>
  <c r="BP49" i="15"/>
  <c r="BQ49" i="15"/>
  <c r="BR49" i="15"/>
  <c r="BN49" i="15"/>
  <c r="BO49" i="15"/>
  <c r="BM49" i="15"/>
  <c r="BK49" i="15"/>
  <c r="BL49" i="15"/>
  <c r="M81" i="15"/>
  <c r="P81" i="15" s="1"/>
  <c r="BP81" i="15"/>
  <c r="BQ81" i="15"/>
  <c r="BR81" i="15"/>
  <c r="BN81" i="15"/>
  <c r="BO81" i="15"/>
  <c r="BK81" i="15"/>
  <c r="BM81" i="15"/>
  <c r="BL81" i="15"/>
  <c r="M113" i="15"/>
  <c r="R113" i="15" s="1"/>
  <c r="BP113" i="15"/>
  <c r="BQ113" i="15"/>
  <c r="BR113" i="15"/>
  <c r="BM113" i="15"/>
  <c r="BN113" i="15"/>
  <c r="BO113" i="15"/>
  <c r="BK113" i="15"/>
  <c r="BL113" i="15"/>
  <c r="M145" i="15"/>
  <c r="P145" i="15" s="1"/>
  <c r="BP145" i="15"/>
  <c r="BR145" i="15"/>
  <c r="BN145" i="15"/>
  <c r="BO145" i="15"/>
  <c r="BQ145" i="15"/>
  <c r="BM145" i="15"/>
  <c r="BK145" i="15"/>
  <c r="BL145" i="15"/>
  <c r="M78" i="15"/>
  <c r="P78" i="15" s="1"/>
  <c r="BP78" i="15"/>
  <c r="BQ78" i="15"/>
  <c r="BR78" i="15"/>
  <c r="BO78" i="15"/>
  <c r="BL78" i="15"/>
  <c r="BM78" i="15"/>
  <c r="BN78" i="15"/>
  <c r="BK78" i="15"/>
  <c r="M110" i="15"/>
  <c r="R110" i="15" s="1"/>
  <c r="BP110" i="15"/>
  <c r="BQ110" i="15"/>
  <c r="BR110" i="15"/>
  <c r="BL110" i="15"/>
  <c r="BM110" i="15"/>
  <c r="BN110" i="15"/>
  <c r="BO110" i="15"/>
  <c r="BK110" i="15"/>
  <c r="M142" i="15"/>
  <c r="P142" i="15" s="1"/>
  <c r="BP142" i="15"/>
  <c r="BQ142" i="15"/>
  <c r="BR142" i="15"/>
  <c r="BO142" i="15"/>
  <c r="BL142" i="15"/>
  <c r="BK142" i="15"/>
  <c r="BM142" i="15"/>
  <c r="BN142" i="15"/>
  <c r="M71" i="15"/>
  <c r="BP71" i="15"/>
  <c r="BM71" i="15"/>
  <c r="BK71" i="15"/>
  <c r="BQ71" i="15"/>
  <c r="BN71" i="15"/>
  <c r="BL71" i="15"/>
  <c r="BR71" i="15"/>
  <c r="BO71" i="15"/>
  <c r="M103" i="15"/>
  <c r="R103" i="15" s="1"/>
  <c r="BP103" i="15"/>
  <c r="BK103" i="15"/>
  <c r="BQ103" i="15"/>
  <c r="BL103" i="15"/>
  <c r="BR103" i="15"/>
  <c r="BM103" i="15"/>
  <c r="BN103" i="15"/>
  <c r="BO103" i="15"/>
  <c r="M135" i="15"/>
  <c r="R135" i="15" s="1"/>
  <c r="BP135" i="15"/>
  <c r="BM135" i="15"/>
  <c r="BN135" i="15"/>
  <c r="BK135" i="15"/>
  <c r="BQ135" i="15"/>
  <c r="BO135" i="15"/>
  <c r="BL135" i="15"/>
  <c r="BR135" i="15"/>
  <c r="M68" i="15"/>
  <c r="R68" i="15" s="1"/>
  <c r="BP68" i="15"/>
  <c r="BQ68" i="15"/>
  <c r="BR68" i="15"/>
  <c r="BN68" i="15"/>
  <c r="BO68" i="15"/>
  <c r="BK68" i="15"/>
  <c r="BL68" i="15"/>
  <c r="BM68" i="15"/>
  <c r="M100" i="15"/>
  <c r="P100" i="15" s="1"/>
  <c r="BP100" i="15"/>
  <c r="BQ100" i="15"/>
  <c r="BR100" i="15"/>
  <c r="BM100" i="15"/>
  <c r="BN100" i="15"/>
  <c r="BK100" i="15"/>
  <c r="BO100" i="15"/>
  <c r="BL100" i="15"/>
  <c r="M132" i="15"/>
  <c r="P132" i="15" s="1"/>
  <c r="BP132" i="15"/>
  <c r="BQ132" i="15"/>
  <c r="BR132" i="15"/>
  <c r="BO132" i="15"/>
  <c r="BK132" i="15"/>
  <c r="BL132" i="15"/>
  <c r="BM132" i="15"/>
  <c r="BN132" i="15"/>
  <c r="AG50" i="40"/>
  <c r="AG87" i="40"/>
  <c r="M58" i="15"/>
  <c r="R58" i="15" s="1"/>
  <c r="BR58" i="15"/>
  <c r="BP58" i="15"/>
  <c r="BM58" i="15"/>
  <c r="BL58" i="15"/>
  <c r="BQ58" i="15"/>
  <c r="BN58" i="15"/>
  <c r="BO58" i="15"/>
  <c r="BK58" i="15"/>
  <c r="M112" i="15"/>
  <c r="R112" i="15" s="1"/>
  <c r="BP112" i="15"/>
  <c r="BQ112" i="15"/>
  <c r="BR112" i="15"/>
  <c r="BM112" i="15"/>
  <c r="BN112" i="15"/>
  <c r="BO112" i="15"/>
  <c r="BK112" i="15"/>
  <c r="BL112" i="15"/>
  <c r="AG46" i="40"/>
  <c r="AG48" i="40"/>
  <c r="M129" i="15"/>
  <c r="P129" i="15" s="1"/>
  <c r="BP129" i="15"/>
  <c r="BQ129" i="15"/>
  <c r="BR129" i="15"/>
  <c r="BK129" i="15"/>
  <c r="BL129" i="15"/>
  <c r="BO129" i="15"/>
  <c r="BM129" i="15"/>
  <c r="BN129" i="15"/>
  <c r="AG78" i="40"/>
  <c r="AG67" i="40"/>
  <c r="AG74" i="40"/>
  <c r="AG89" i="40"/>
  <c r="AG80" i="40"/>
  <c r="AG61" i="40"/>
  <c r="AG70" i="40"/>
  <c r="AG123" i="40"/>
  <c r="AG59" i="40"/>
  <c r="AG130" i="40"/>
  <c r="AG66" i="40"/>
  <c r="AG145" i="40"/>
  <c r="AG81" i="40"/>
  <c r="AG136" i="40"/>
  <c r="AG72" i="40"/>
  <c r="AG132" i="40"/>
  <c r="AG103" i="40"/>
  <c r="M53" i="15"/>
  <c r="R53" i="15" s="1"/>
  <c r="BQ53" i="15"/>
  <c r="BR53" i="15"/>
  <c r="BM53" i="15"/>
  <c r="BN53" i="15"/>
  <c r="BO53" i="15"/>
  <c r="BL53" i="15"/>
  <c r="BP53" i="15"/>
  <c r="BK53" i="15"/>
  <c r="M85" i="15"/>
  <c r="P85" i="15" s="1"/>
  <c r="BQ85" i="15"/>
  <c r="BR85" i="15"/>
  <c r="BM85" i="15"/>
  <c r="BN85" i="15"/>
  <c r="BL85" i="15"/>
  <c r="BP85" i="15"/>
  <c r="BO85" i="15"/>
  <c r="BK85" i="15"/>
  <c r="M117" i="15"/>
  <c r="BQ117" i="15"/>
  <c r="BR117" i="15"/>
  <c r="BN117" i="15"/>
  <c r="BO117" i="15"/>
  <c r="BL117" i="15"/>
  <c r="BK117" i="15"/>
  <c r="BP117" i="15"/>
  <c r="BM117" i="15"/>
  <c r="M50" i="15"/>
  <c r="R50" i="15" s="1"/>
  <c r="BR50" i="15"/>
  <c r="BM50" i="15"/>
  <c r="BL50" i="15"/>
  <c r="BN50" i="15"/>
  <c r="BP50" i="15"/>
  <c r="BO50" i="15"/>
  <c r="BQ50" i="15"/>
  <c r="BK50" i="15"/>
  <c r="M82" i="15"/>
  <c r="R82" i="15" s="1"/>
  <c r="BR82" i="15"/>
  <c r="BL82" i="15"/>
  <c r="BP82" i="15"/>
  <c r="BM82" i="15"/>
  <c r="BQ82" i="15"/>
  <c r="BN82" i="15"/>
  <c r="BO82" i="15"/>
  <c r="BK82" i="15"/>
  <c r="M114" i="15"/>
  <c r="R114" i="15" s="1"/>
  <c r="BR114" i="15"/>
  <c r="BO114" i="15"/>
  <c r="BL114" i="15"/>
  <c r="BP114" i="15"/>
  <c r="BQ114" i="15"/>
  <c r="BM114" i="15"/>
  <c r="BK114" i="15"/>
  <c r="BN114" i="15"/>
  <c r="M146" i="15"/>
  <c r="P146" i="15" s="1"/>
  <c r="BL146" i="15"/>
  <c r="BM146" i="15"/>
  <c r="BN146" i="15"/>
  <c r="BP146" i="15"/>
  <c r="BO146" i="15"/>
  <c r="BK146" i="15"/>
  <c r="BR146" i="15"/>
  <c r="BQ146" i="15"/>
  <c r="M75" i="15"/>
  <c r="P75" i="15" s="1"/>
  <c r="BP75" i="15"/>
  <c r="BQ75" i="15"/>
  <c r="BR75" i="15"/>
  <c r="BK75" i="15"/>
  <c r="BL75" i="15"/>
  <c r="BO75" i="15"/>
  <c r="BN75" i="15"/>
  <c r="BM75" i="15"/>
  <c r="M107" i="15"/>
  <c r="R107" i="15" s="1"/>
  <c r="BP107" i="15"/>
  <c r="BQ107" i="15"/>
  <c r="BR107" i="15"/>
  <c r="BM107" i="15"/>
  <c r="BN107" i="15"/>
  <c r="BK107" i="15"/>
  <c r="BO107" i="15"/>
  <c r="BL107" i="15"/>
  <c r="M139" i="15"/>
  <c r="P139" i="15" s="1"/>
  <c r="BP139" i="15"/>
  <c r="BQ139" i="15"/>
  <c r="BR139" i="15"/>
  <c r="BK139" i="15"/>
  <c r="BL139" i="15"/>
  <c r="BM139" i="15"/>
  <c r="BN139" i="15"/>
  <c r="BO139" i="15"/>
  <c r="M72" i="15"/>
  <c r="BP72" i="15"/>
  <c r="BQ72" i="15"/>
  <c r="BR72" i="15"/>
  <c r="BK72" i="15"/>
  <c r="BM72" i="15"/>
  <c r="BL72" i="15"/>
  <c r="BN72" i="15"/>
  <c r="BO72" i="15"/>
  <c r="M104" i="15"/>
  <c r="R104" i="15" s="1"/>
  <c r="BP104" i="15"/>
  <c r="BQ104" i="15"/>
  <c r="BR104" i="15"/>
  <c r="BN104" i="15"/>
  <c r="BO104" i="15"/>
  <c r="BK104" i="15"/>
  <c r="BL104" i="15"/>
  <c r="BM104" i="15"/>
  <c r="M136" i="15"/>
  <c r="R136" i="15" s="1"/>
  <c r="BP136" i="15"/>
  <c r="BQ136" i="15"/>
  <c r="BR136" i="15"/>
  <c r="BM136" i="15"/>
  <c r="BK136" i="15"/>
  <c r="BN136" i="15"/>
  <c r="BL136" i="15"/>
  <c r="BO136" i="15"/>
  <c r="AG107" i="40"/>
  <c r="AG56" i="40"/>
  <c r="M93" i="15"/>
  <c r="R93" i="15" s="1"/>
  <c r="BQ93" i="15"/>
  <c r="BR93" i="15"/>
  <c r="BP93" i="15"/>
  <c r="BM93" i="15"/>
  <c r="BN93" i="15"/>
  <c r="BO93" i="15"/>
  <c r="BL93" i="15"/>
  <c r="BK93" i="15"/>
  <c r="M51" i="15"/>
  <c r="P51" i="15" s="1"/>
  <c r="BP51" i="15"/>
  <c r="BQ51" i="15"/>
  <c r="BR51" i="15"/>
  <c r="BK51" i="15"/>
  <c r="BL51" i="15"/>
  <c r="BM51" i="15"/>
  <c r="BN51" i="15"/>
  <c r="BO51" i="15"/>
  <c r="M80" i="15"/>
  <c r="P80" i="15" s="1"/>
  <c r="BP80" i="15"/>
  <c r="BQ80" i="15"/>
  <c r="BR80" i="15"/>
  <c r="BK80" i="15"/>
  <c r="BM80" i="15"/>
  <c r="BL80" i="15"/>
  <c r="BN80" i="15"/>
  <c r="BO80" i="15"/>
  <c r="AG110" i="40"/>
  <c r="AG121" i="40"/>
  <c r="AG79" i="40"/>
  <c r="AG142" i="40"/>
  <c r="AG131" i="40"/>
  <c r="AG138" i="40"/>
  <c r="AG52" i="40"/>
  <c r="AG144" i="40"/>
  <c r="AG111" i="40"/>
  <c r="AG134" i="40"/>
  <c r="AG126" i="40"/>
  <c r="AG62" i="40"/>
  <c r="AG115" i="40"/>
  <c r="AG51" i="40"/>
  <c r="AG122" i="40"/>
  <c r="AG58" i="40"/>
  <c r="AG137" i="40"/>
  <c r="AG73" i="40"/>
  <c r="AG128" i="40"/>
  <c r="AG64" i="40"/>
  <c r="AG108" i="40"/>
  <c r="AG95" i="40"/>
  <c r="M57" i="15"/>
  <c r="R57" i="15" s="1"/>
  <c r="BP57" i="15"/>
  <c r="BQ57" i="15"/>
  <c r="BR57" i="15"/>
  <c r="BM57" i="15"/>
  <c r="BN57" i="15"/>
  <c r="BO57" i="15"/>
  <c r="BK57" i="15"/>
  <c r="BL57" i="15"/>
  <c r="M89" i="15"/>
  <c r="P89" i="15" s="1"/>
  <c r="BP89" i="15"/>
  <c r="BQ89" i="15"/>
  <c r="BR89" i="15"/>
  <c r="BM89" i="15"/>
  <c r="BN89" i="15"/>
  <c r="BO89" i="15"/>
  <c r="BK89" i="15"/>
  <c r="BL89" i="15"/>
  <c r="M121" i="15"/>
  <c r="BP121" i="15"/>
  <c r="BQ121" i="15"/>
  <c r="BR121" i="15"/>
  <c r="BM121" i="15"/>
  <c r="BK121" i="15"/>
  <c r="BN121" i="15"/>
  <c r="BL121" i="15"/>
  <c r="BO121" i="15"/>
  <c r="M54" i="15"/>
  <c r="P54" i="15" s="1"/>
  <c r="BP54" i="15"/>
  <c r="BQ54" i="15"/>
  <c r="BR54" i="15"/>
  <c r="BL54" i="15"/>
  <c r="BM54" i="15"/>
  <c r="BK54" i="15"/>
  <c r="BO54" i="15"/>
  <c r="BN54" i="15"/>
  <c r="M86" i="15"/>
  <c r="R86" i="15" s="1"/>
  <c r="BP86" i="15"/>
  <c r="BQ86" i="15"/>
  <c r="BR86" i="15"/>
  <c r="BN86" i="15"/>
  <c r="BL86" i="15"/>
  <c r="BO86" i="15"/>
  <c r="BK86" i="15"/>
  <c r="BM86" i="15"/>
  <c r="M118" i="15"/>
  <c r="R118" i="15" s="1"/>
  <c r="BP118" i="15"/>
  <c r="BQ118" i="15"/>
  <c r="BR118" i="15"/>
  <c r="BL118" i="15"/>
  <c r="BM118" i="15"/>
  <c r="BN118" i="15"/>
  <c r="BO118" i="15"/>
  <c r="BK118" i="15"/>
  <c r="M47" i="15"/>
  <c r="P47" i="15" s="1"/>
  <c r="BP47" i="15"/>
  <c r="BQ47" i="15"/>
  <c r="BN47" i="15"/>
  <c r="BR47" i="15"/>
  <c r="BO47" i="15"/>
  <c r="BK47" i="15"/>
  <c r="BL47" i="15"/>
  <c r="BM47" i="15"/>
  <c r="M79" i="15"/>
  <c r="P79" i="15" s="1"/>
  <c r="BP79" i="15"/>
  <c r="BQ79" i="15"/>
  <c r="BR79" i="15"/>
  <c r="BM79" i="15"/>
  <c r="BK79" i="15"/>
  <c r="BN79" i="15"/>
  <c r="BL79" i="15"/>
  <c r="BO79" i="15"/>
  <c r="M111" i="15"/>
  <c r="R111" i="15" s="1"/>
  <c r="BP111" i="15"/>
  <c r="BQ111" i="15"/>
  <c r="BR111" i="15"/>
  <c r="BK111" i="15"/>
  <c r="BL111" i="15"/>
  <c r="BN111" i="15"/>
  <c r="BM111" i="15"/>
  <c r="BO111" i="15"/>
  <c r="M143" i="15"/>
  <c r="R143" i="15" s="1"/>
  <c r="BP143" i="15"/>
  <c r="BQ143" i="15"/>
  <c r="BR143" i="15"/>
  <c r="BM143" i="15"/>
  <c r="BK143" i="15"/>
  <c r="BN143" i="15"/>
  <c r="BL143" i="15"/>
  <c r="BO143" i="15"/>
  <c r="M76" i="15"/>
  <c r="BP76" i="15"/>
  <c r="BQ76" i="15"/>
  <c r="BM76" i="15"/>
  <c r="BN76" i="15"/>
  <c r="BO76" i="15"/>
  <c r="BK76" i="15"/>
  <c r="BL76" i="15"/>
  <c r="BR76" i="15"/>
  <c r="M108" i="15"/>
  <c r="R108" i="15" s="1"/>
  <c r="BP108" i="15"/>
  <c r="BQ108" i="15"/>
  <c r="BM108" i="15"/>
  <c r="BK108" i="15"/>
  <c r="BN108" i="15"/>
  <c r="BL108" i="15"/>
  <c r="BR108" i="15"/>
  <c r="BO108" i="15"/>
  <c r="M140" i="15"/>
  <c r="P140" i="15" s="1"/>
  <c r="BP140" i="15"/>
  <c r="BQ140" i="15"/>
  <c r="BN140" i="15"/>
  <c r="BO140" i="15"/>
  <c r="BK140" i="15"/>
  <c r="BL140" i="15"/>
  <c r="BM140" i="15"/>
  <c r="BR140" i="15"/>
  <c r="E59" i="6"/>
  <c r="U60" i="14"/>
  <c r="EN60" i="14" s="1"/>
  <c r="Y60" i="14"/>
  <c r="E83" i="6"/>
  <c r="E115" i="15"/>
  <c r="O115" i="15" s="1"/>
  <c r="E75" i="14"/>
  <c r="O75" i="14" s="1"/>
  <c r="E91" i="15"/>
  <c r="O91" i="15" s="1"/>
  <c r="E80" i="15"/>
  <c r="O80" i="15" s="1"/>
  <c r="E112" i="15"/>
  <c r="O112" i="15" s="1"/>
  <c r="E76" i="15"/>
  <c r="O76" i="15" s="1"/>
  <c r="E86" i="15"/>
  <c r="O86" i="15" s="1"/>
  <c r="E59" i="15"/>
  <c r="O59" i="15" s="1"/>
  <c r="E52" i="15"/>
  <c r="O52" i="15" s="1"/>
  <c r="E111" i="15"/>
  <c r="O111" i="15" s="1"/>
  <c r="E105" i="15"/>
  <c r="O105" i="15" s="1"/>
  <c r="E99" i="15"/>
  <c r="O99" i="15" s="1"/>
  <c r="E54" i="15"/>
  <c r="O54" i="15" s="1"/>
  <c r="E106" i="15"/>
  <c r="O106" i="15" s="1"/>
  <c r="E57" i="15"/>
  <c r="O57" i="15" s="1"/>
  <c r="E102" i="15"/>
  <c r="O102" i="15" s="1"/>
  <c r="E139" i="15"/>
  <c r="O139" i="15" s="1"/>
  <c r="E73" i="15"/>
  <c r="O73" i="15" s="1"/>
  <c r="E60" i="15"/>
  <c r="O60" i="15" s="1"/>
  <c r="E134" i="15"/>
  <c r="O134" i="15" s="1"/>
  <c r="E75" i="15"/>
  <c r="O75" i="15" s="1"/>
  <c r="E77" i="15"/>
  <c r="O77" i="15" s="1"/>
  <c r="E61" i="15"/>
  <c r="O61" i="15" s="1"/>
  <c r="E128" i="15"/>
  <c r="O128" i="15" s="1"/>
  <c r="E131" i="15"/>
  <c r="O131" i="15" s="1"/>
  <c r="E92" i="15"/>
  <c r="O92" i="15" s="1"/>
  <c r="E94" i="15"/>
  <c r="O94" i="15" s="1"/>
  <c r="E116" i="15"/>
  <c r="O116" i="15" s="1"/>
  <c r="E97" i="15"/>
  <c r="O97" i="15" s="1"/>
  <c r="E117" i="15"/>
  <c r="O117" i="15" s="1"/>
  <c r="E98" i="15"/>
  <c r="O98" i="15" s="1"/>
  <c r="E130" i="15"/>
  <c r="O130" i="15" s="1"/>
  <c r="E70" i="15"/>
  <c r="O70" i="15" s="1"/>
  <c r="E88" i="15"/>
  <c r="O88" i="15" s="1"/>
  <c r="E138" i="15"/>
  <c r="O138" i="15" s="1"/>
  <c r="E129" i="15"/>
  <c r="O129" i="15" s="1"/>
  <c r="E127" i="15"/>
  <c r="O127" i="15" s="1"/>
  <c r="E141" i="15"/>
  <c r="O141" i="15" s="1"/>
  <c r="E85" i="15"/>
  <c r="O85" i="15" s="1"/>
  <c r="E69" i="15"/>
  <c r="O69" i="15" s="1"/>
  <c r="E142" i="15"/>
  <c r="O142" i="15" s="1"/>
  <c r="P117" i="15"/>
  <c r="R117" i="15"/>
  <c r="R72" i="15"/>
  <c r="P72" i="15"/>
  <c r="E84" i="15"/>
  <c r="O84" i="15" s="1"/>
  <c r="E66" i="15"/>
  <c r="O66" i="15" s="1"/>
  <c r="E48" i="15"/>
  <c r="O48" i="15" s="1"/>
  <c r="E136" i="15"/>
  <c r="O136" i="15" s="1"/>
  <c r="E140" i="15"/>
  <c r="O140" i="15" s="1"/>
  <c r="E82" i="15"/>
  <c r="O82" i="15" s="1"/>
  <c r="P121" i="15"/>
  <c r="R121" i="15"/>
  <c r="R76" i="15"/>
  <c r="P76" i="15"/>
  <c r="E146" i="15"/>
  <c r="O146" i="15" s="1"/>
  <c r="E144" i="15"/>
  <c r="O144" i="15" s="1"/>
  <c r="E123" i="15"/>
  <c r="O123" i="15" s="1"/>
  <c r="E63" i="15"/>
  <c r="O63" i="15" s="1"/>
  <c r="E122" i="15"/>
  <c r="O122" i="15" s="1"/>
  <c r="E89" i="15"/>
  <c r="O89" i="15" s="1"/>
  <c r="E64" i="15"/>
  <c r="O64" i="15" s="1"/>
  <c r="E83" i="15"/>
  <c r="O83" i="15" s="1"/>
  <c r="E96" i="15"/>
  <c r="O96" i="15" s="1"/>
  <c r="E58" i="15"/>
  <c r="O58" i="15" s="1"/>
  <c r="E132" i="15"/>
  <c r="O132" i="15" s="1"/>
  <c r="P61" i="15"/>
  <c r="R115" i="15"/>
  <c r="P115" i="15"/>
  <c r="R48" i="15"/>
  <c r="R80" i="15"/>
  <c r="E67" i="15"/>
  <c r="O67" i="15" s="1"/>
  <c r="E51" i="15"/>
  <c r="O51" i="15" s="1"/>
  <c r="E72" i="15"/>
  <c r="O72" i="15" s="1"/>
  <c r="R97" i="15"/>
  <c r="P97" i="15"/>
  <c r="R84" i="15"/>
  <c r="P84" i="15"/>
  <c r="P116" i="15"/>
  <c r="E119" i="15"/>
  <c r="O119" i="15" s="1"/>
  <c r="E121" i="15"/>
  <c r="O121" i="15" s="1"/>
  <c r="E90" i="15"/>
  <c r="O90" i="15" s="1"/>
  <c r="E78" i="15"/>
  <c r="O78" i="15" s="1"/>
  <c r="E108" i="15"/>
  <c r="O108" i="15" s="1"/>
  <c r="E79" i="15"/>
  <c r="O79" i="15" s="1"/>
  <c r="E62" i="15"/>
  <c r="O62" i="15" s="1"/>
  <c r="E74" i="15"/>
  <c r="O74" i="15" s="1"/>
  <c r="R71" i="15"/>
  <c r="P71" i="15"/>
  <c r="E68" i="15"/>
  <c r="O68" i="15" s="1"/>
  <c r="E104" i="15"/>
  <c r="O104" i="15" s="1"/>
  <c r="E81" i="15"/>
  <c r="O81" i="15" s="1"/>
  <c r="E55" i="15"/>
  <c r="O55" i="15" s="1"/>
  <c r="P69" i="15"/>
  <c r="R69" i="15"/>
  <c r="P101" i="15"/>
  <c r="R101" i="15"/>
  <c r="P133" i="15"/>
  <c r="R133" i="15"/>
  <c r="R123" i="15"/>
  <c r="P123" i="15"/>
  <c r="P56" i="15"/>
  <c r="R56" i="15"/>
  <c r="R88" i="15"/>
  <c r="P88" i="15"/>
  <c r="E120" i="15"/>
  <c r="O120" i="15" s="1"/>
  <c r="E53" i="15"/>
  <c r="O53" i="15" s="1"/>
  <c r="E137" i="15"/>
  <c r="O137" i="15" s="1"/>
  <c r="E109" i="15"/>
  <c r="O109" i="15" s="1"/>
  <c r="E103" i="15"/>
  <c r="O103" i="15" s="1"/>
  <c r="E118" i="15"/>
  <c r="O118" i="15" s="1"/>
  <c r="E114" i="15"/>
  <c r="O114" i="15" s="1"/>
  <c r="P137" i="15"/>
  <c r="R137" i="15"/>
  <c r="P102" i="15"/>
  <c r="R102" i="15"/>
  <c r="P134" i="15"/>
  <c r="R134" i="15"/>
  <c r="P63" i="15"/>
  <c r="R63" i="15"/>
  <c r="E49" i="15"/>
  <c r="O49" i="15" s="1"/>
  <c r="E87" i="15"/>
  <c r="O87" i="15" s="1"/>
  <c r="E65" i="15"/>
  <c r="O65" i="15" s="1"/>
  <c r="E107" i="15"/>
  <c r="O107" i="15" s="1"/>
  <c r="E95" i="15"/>
  <c r="O95" i="15" s="1"/>
  <c r="E93" i="15"/>
  <c r="O93" i="15" s="1"/>
  <c r="E110" i="15"/>
  <c r="O110" i="15" s="1"/>
  <c r="E71" i="15"/>
  <c r="O71" i="15" s="1"/>
  <c r="E143" i="15"/>
  <c r="O143" i="15" s="1"/>
  <c r="E113" i="15"/>
  <c r="O113" i="15" s="1"/>
  <c r="E133" i="15"/>
  <c r="O133" i="15" s="1"/>
  <c r="E50" i="15"/>
  <c r="O50" i="15" s="1"/>
  <c r="E101" i="15"/>
  <c r="O101" i="15" s="1"/>
  <c r="E145" i="15"/>
  <c r="O145" i="15" s="1"/>
  <c r="E100" i="15"/>
  <c r="O100" i="15" s="1"/>
  <c r="E135" i="15"/>
  <c r="O135" i="15" s="1"/>
  <c r="E126" i="15"/>
  <c r="O126" i="15" s="1"/>
  <c r="R46" i="15"/>
  <c r="P106" i="15"/>
  <c r="R106" i="15"/>
  <c r="P67" i="15"/>
  <c r="R67" i="15"/>
  <c r="R99" i="15"/>
  <c r="P131" i="15"/>
  <c r="E124" i="15"/>
  <c r="O124" i="15" s="1"/>
  <c r="E47" i="15"/>
  <c r="O47" i="15" s="1"/>
  <c r="E125" i="15"/>
  <c r="O125" i="15" s="1"/>
  <c r="E56" i="15"/>
  <c r="O56" i="15" s="1"/>
  <c r="E110" i="6"/>
  <c r="E46" i="6"/>
  <c r="C45" i="16"/>
  <c r="C42" i="16"/>
  <c r="C43" i="16"/>
  <c r="C44" i="16"/>
  <c r="C46" i="16"/>
  <c r="C48" i="16"/>
  <c r="C47" i="16"/>
  <c r="C49" i="16"/>
  <c r="E32" i="16"/>
  <c r="C50" i="16"/>
  <c r="E41" i="16"/>
  <c r="IJ155" i="14"/>
  <c r="FZ155" i="14"/>
  <c r="IR155" i="14"/>
  <c r="CD155" i="14"/>
  <c r="IB155" i="14"/>
  <c r="FR155" i="14"/>
  <c r="CL155" i="14"/>
  <c r="GH155" i="14"/>
  <c r="BV155" i="14"/>
  <c r="IB152" i="14"/>
  <c r="IJ67" i="14"/>
  <c r="IB156" i="14"/>
  <c r="IJ78" i="14"/>
  <c r="IR158" i="14"/>
  <c r="IJ73" i="14"/>
  <c r="IJ66" i="14"/>
  <c r="IJ63" i="14"/>
  <c r="IR76" i="14"/>
  <c r="IJ77" i="14"/>
  <c r="IJ61" i="14"/>
  <c r="IR65" i="14"/>
  <c r="IJ60" i="14"/>
  <c r="IJ68" i="14"/>
  <c r="IR79" i="14"/>
  <c r="IB77" i="14"/>
  <c r="IJ153" i="14"/>
  <c r="IB74" i="14"/>
  <c r="IR75" i="14"/>
  <c r="IB61" i="14"/>
  <c r="IR157" i="14"/>
  <c r="IB159" i="14"/>
  <c r="IB78" i="14"/>
  <c r="IJ64" i="14"/>
  <c r="IR154" i="14"/>
  <c r="IJ158" i="14"/>
  <c r="IJ72" i="14"/>
  <c r="IJ157" i="14"/>
  <c r="IR150" i="14"/>
  <c r="IR160" i="14"/>
  <c r="IB60" i="14"/>
  <c r="IR69" i="14"/>
  <c r="IB62" i="14"/>
  <c r="IR63" i="14"/>
  <c r="IB79" i="14"/>
  <c r="IJ76" i="14"/>
  <c r="IR152" i="14"/>
  <c r="IR67" i="14"/>
  <c r="IR74" i="14"/>
  <c r="IB75" i="14"/>
  <c r="IR156" i="14"/>
  <c r="IR159" i="14"/>
  <c r="IJ65" i="14"/>
  <c r="IJ154" i="14"/>
  <c r="IR62" i="14"/>
  <c r="IR73" i="14"/>
  <c r="IB66" i="14"/>
  <c r="IB67" i="14"/>
  <c r="IJ74" i="14"/>
  <c r="IB150" i="14"/>
  <c r="IJ159" i="14"/>
  <c r="IR64" i="14"/>
  <c r="IB160" i="14"/>
  <c r="IJ69" i="14"/>
  <c r="IJ62" i="14"/>
  <c r="IR72" i="14"/>
  <c r="IR61" i="14"/>
  <c r="IB76" i="14"/>
  <c r="IJ150" i="14"/>
  <c r="IB64" i="14"/>
  <c r="IR71" i="14"/>
  <c r="IR151" i="14"/>
  <c r="IJ152" i="14"/>
  <c r="IB153" i="14"/>
  <c r="IR68" i="14"/>
  <c r="IB70" i="14"/>
  <c r="IR78" i="14"/>
  <c r="IB65" i="14"/>
  <c r="IB68" i="14"/>
  <c r="IB73" i="14"/>
  <c r="IR77" i="14"/>
  <c r="IJ71" i="14"/>
  <c r="IJ156" i="14"/>
  <c r="IB154" i="14"/>
  <c r="IB158" i="14"/>
  <c r="IB63" i="14"/>
  <c r="IR70" i="14"/>
  <c r="IJ151" i="14"/>
  <c r="IB69" i="14"/>
  <c r="IR66" i="14"/>
  <c r="IB71" i="14"/>
  <c r="FZ158" i="14"/>
  <c r="FR157" i="14"/>
  <c r="FZ69" i="14"/>
  <c r="FZ66" i="14"/>
  <c r="IR153" i="14"/>
  <c r="IB157" i="14"/>
  <c r="FR62" i="14"/>
  <c r="GH75" i="14"/>
  <c r="FR159" i="14"/>
  <c r="FR64" i="14"/>
  <c r="IJ160" i="14"/>
  <c r="IJ79" i="14"/>
  <c r="GH65" i="14"/>
  <c r="FR68" i="14"/>
  <c r="GH62" i="14"/>
  <c r="FR158" i="14"/>
  <c r="FZ75" i="14"/>
  <c r="GH157" i="14"/>
  <c r="GH73" i="14"/>
  <c r="IJ75" i="14"/>
  <c r="FZ68" i="14"/>
  <c r="GH69" i="14"/>
  <c r="GH64" i="14"/>
  <c r="FR66" i="14"/>
  <c r="IR60" i="14"/>
  <c r="FR65" i="14"/>
  <c r="FZ62" i="14"/>
  <c r="GH158" i="14"/>
  <c r="FZ64" i="14"/>
  <c r="GH72" i="14"/>
  <c r="FR73" i="14"/>
  <c r="IB151" i="14"/>
  <c r="FZ159" i="14"/>
  <c r="GH63" i="14"/>
  <c r="GH78" i="14"/>
  <c r="GH152" i="14"/>
  <c r="FR153" i="14"/>
  <c r="GH67" i="14"/>
  <c r="CL61" i="14"/>
  <c r="CL157" i="14"/>
  <c r="CL65" i="14"/>
  <c r="FR69" i="14"/>
  <c r="GH159" i="14"/>
  <c r="FZ73" i="14"/>
  <c r="FZ76" i="14"/>
  <c r="FZ77" i="14"/>
  <c r="GH156" i="14"/>
  <c r="GH150" i="14"/>
  <c r="FR160" i="14"/>
  <c r="GH153" i="14"/>
  <c r="FZ67" i="14"/>
  <c r="FZ63" i="14"/>
  <c r="FR60" i="14"/>
  <c r="GH79" i="14"/>
  <c r="FR70" i="14"/>
  <c r="FR71" i="14"/>
  <c r="GH151" i="14"/>
  <c r="FZ160" i="14"/>
  <c r="FR74" i="14"/>
  <c r="CL64" i="14"/>
  <c r="FR75" i="14"/>
  <c r="GH66" i="14"/>
  <c r="FZ61" i="14"/>
  <c r="GH70" i="14"/>
  <c r="GH71" i="14"/>
  <c r="FZ151" i="14"/>
  <c r="FZ74" i="14"/>
  <c r="GH154" i="14"/>
  <c r="FR67" i="14"/>
  <c r="CL69" i="14"/>
  <c r="CL150" i="14"/>
  <c r="FR63" i="14"/>
  <c r="FZ60" i="14"/>
  <c r="FR76" i="14"/>
  <c r="GH77" i="14"/>
  <c r="FZ150" i="14"/>
  <c r="GH160" i="14"/>
  <c r="GH74" i="14"/>
  <c r="FZ78" i="14"/>
  <c r="FZ154" i="14"/>
  <c r="CL75" i="14"/>
  <c r="CL159" i="14"/>
  <c r="FZ65" i="14"/>
  <c r="GH60" i="14"/>
  <c r="FZ79" i="14"/>
  <c r="GH76" i="14"/>
  <c r="FR77" i="14"/>
  <c r="FZ152" i="14"/>
  <c r="CL60" i="14"/>
  <c r="CL158" i="14"/>
  <c r="IB72" i="14"/>
  <c r="FZ72" i="14"/>
  <c r="FR78" i="14"/>
  <c r="FZ153" i="14"/>
  <c r="CL70" i="14"/>
  <c r="CL71" i="14"/>
  <c r="CL74" i="14"/>
  <c r="CL160" i="14"/>
  <c r="CL78" i="14"/>
  <c r="CL67" i="14"/>
  <c r="CD156" i="14"/>
  <c r="CD72" i="14"/>
  <c r="CD73" i="14"/>
  <c r="CD70" i="14"/>
  <c r="CD71" i="14"/>
  <c r="CD153" i="14"/>
  <c r="BV71" i="14"/>
  <c r="FR72" i="14"/>
  <c r="FZ71" i="14"/>
  <c r="FZ156" i="14"/>
  <c r="CL68" i="14"/>
  <c r="CD61" i="14"/>
  <c r="CD66" i="14"/>
  <c r="CD154" i="14"/>
  <c r="CD69" i="14"/>
  <c r="BV78" i="14"/>
  <c r="BV152" i="14"/>
  <c r="BV67" i="14"/>
  <c r="GH68" i="14"/>
  <c r="FZ157" i="14"/>
  <c r="FR79" i="14"/>
  <c r="FR156" i="14"/>
  <c r="FR150" i="14"/>
  <c r="FR154" i="14"/>
  <c r="CL156" i="14"/>
  <c r="CL72" i="14"/>
  <c r="CL79" i="14"/>
  <c r="CL151" i="14"/>
  <c r="CD157" i="14"/>
  <c r="CD74" i="14"/>
  <c r="CD158" i="14"/>
  <c r="CD78" i="14"/>
  <c r="FR152" i="14"/>
  <c r="CL66" i="14"/>
  <c r="CL154" i="14"/>
  <c r="CL62" i="14"/>
  <c r="CL153" i="14"/>
  <c r="CD150" i="14"/>
  <c r="CD68" i="14"/>
  <c r="CD79" i="14"/>
  <c r="CD60" i="14"/>
  <c r="CD67" i="14"/>
  <c r="BV74" i="14"/>
  <c r="BV75" i="14"/>
  <c r="IJ70" i="14"/>
  <c r="CL152" i="14"/>
  <c r="CD160" i="14"/>
  <c r="CD151" i="14"/>
  <c r="BV153" i="14"/>
  <c r="GH61" i="14"/>
  <c r="CL73" i="14"/>
  <c r="CL76" i="14"/>
  <c r="CD62" i="14"/>
  <c r="CD76" i="14"/>
  <c r="CD152" i="14"/>
  <c r="BV61" i="14"/>
  <c r="BV68" i="14"/>
  <c r="BV63" i="14"/>
  <c r="FR61" i="14"/>
  <c r="FZ70" i="14"/>
  <c r="CD159" i="14"/>
  <c r="CD75" i="14"/>
  <c r="BV159" i="14"/>
  <c r="BV151" i="14"/>
  <c r="BV158" i="14"/>
  <c r="BV79" i="14"/>
  <c r="BV72" i="14"/>
  <c r="BV66" i="14"/>
  <c r="BV69" i="14"/>
  <c r="FR151" i="14"/>
  <c r="CD65" i="14"/>
  <c r="CD77" i="14"/>
  <c r="BV64" i="14"/>
  <c r="BV65" i="14"/>
  <c r="BV154" i="14"/>
  <c r="BV76" i="14"/>
  <c r="CL77" i="14"/>
  <c r="BV157" i="14"/>
  <c r="BV160" i="14"/>
  <c r="BV62" i="14"/>
  <c r="BV70" i="14"/>
  <c r="BV77" i="14"/>
  <c r="BV156" i="14"/>
  <c r="BV150" i="14"/>
  <c r="BV60" i="14"/>
  <c r="CD64" i="14"/>
  <c r="BV73" i="14"/>
  <c r="CL63" i="14"/>
  <c r="CD63" i="14"/>
  <c r="C56" i="16"/>
  <c r="E56" i="16" s="1"/>
  <c r="E55" i="16"/>
  <c r="C23" i="16"/>
  <c r="E23" i="16" s="1"/>
  <c r="E22" i="16"/>
  <c r="C9" i="16"/>
  <c r="C16" i="16" s="1"/>
  <c r="D15" i="16"/>
  <c r="E8" i="16"/>
  <c r="E15" i="16" s="1"/>
  <c r="C24" i="16"/>
  <c r="E24" i="16" s="1"/>
  <c r="C10" i="16"/>
  <c r="D16" i="16"/>
  <c r="C57" i="16"/>
  <c r="E57" i="16" s="1"/>
  <c r="E29" i="16"/>
  <c r="CC123" i="14"/>
  <c r="FY123" i="14"/>
  <c r="CK135" i="14"/>
  <c r="BU155" i="14"/>
  <c r="IA155" i="14"/>
  <c r="GG135" i="14"/>
  <c r="CC135" i="14"/>
  <c r="BU123" i="14"/>
  <c r="BU135" i="14"/>
  <c r="GG155" i="14"/>
  <c r="IA123" i="14"/>
  <c r="FQ123" i="14"/>
  <c r="FQ155" i="14"/>
  <c r="IQ135" i="14"/>
  <c r="FY135" i="14"/>
  <c r="GG123" i="14"/>
  <c r="CK123" i="14"/>
  <c r="CC155" i="14"/>
  <c r="II135" i="14"/>
  <c r="IQ123" i="14"/>
  <c r="IQ155" i="14"/>
  <c r="FY155" i="14"/>
  <c r="IA135" i="14"/>
  <c r="II123" i="14"/>
  <c r="II155" i="14"/>
  <c r="FQ135" i="14"/>
  <c r="CK155" i="14"/>
  <c r="IA139" i="14"/>
  <c r="II153" i="14"/>
  <c r="IA61" i="14"/>
  <c r="IQ125" i="14"/>
  <c r="IA159" i="14"/>
  <c r="II129" i="14"/>
  <c r="IQ122" i="14"/>
  <c r="IQ132" i="14"/>
  <c r="IA145" i="14"/>
  <c r="II137" i="14"/>
  <c r="II148" i="14"/>
  <c r="IQ153" i="14"/>
  <c r="IQ146" i="14"/>
  <c r="II149" i="14"/>
  <c r="II157" i="14"/>
  <c r="II64" i="14"/>
  <c r="IQ128" i="14"/>
  <c r="IQ154" i="14"/>
  <c r="IA127" i="14"/>
  <c r="IA131" i="14"/>
  <c r="II143" i="14"/>
  <c r="II126" i="14"/>
  <c r="II158" i="14"/>
  <c r="IQ144" i="14"/>
  <c r="II145" i="14"/>
  <c r="IQ136" i="14"/>
  <c r="IA138" i="14"/>
  <c r="IA142" i="14"/>
  <c r="II147" i="14"/>
  <c r="IQ120" i="14"/>
  <c r="IA121" i="14"/>
  <c r="IQ124" i="14"/>
  <c r="II125" i="14"/>
  <c r="IQ150" i="14"/>
  <c r="IQ160" i="14"/>
  <c r="IQ129" i="14"/>
  <c r="IA133" i="14"/>
  <c r="IA62" i="14"/>
  <c r="II130" i="14"/>
  <c r="IQ63" i="14"/>
  <c r="IA148" i="14"/>
  <c r="IQ140" i="14"/>
  <c r="IQ139" i="14"/>
  <c r="IQ152" i="14"/>
  <c r="II121" i="14"/>
  <c r="II146" i="14"/>
  <c r="IQ156" i="14"/>
  <c r="IQ159" i="14"/>
  <c r="II122" i="14"/>
  <c r="II154" i="14"/>
  <c r="II132" i="14"/>
  <c r="IQ62" i="14"/>
  <c r="IA126" i="14"/>
  <c r="IA137" i="14"/>
  <c r="IA153" i="14"/>
  <c r="IA149" i="14"/>
  <c r="IA125" i="14"/>
  <c r="II150" i="14"/>
  <c r="IA64" i="14"/>
  <c r="II128" i="14"/>
  <c r="II160" i="14"/>
  <c r="IA129" i="14"/>
  <c r="IA60" i="14"/>
  <c r="IQ127" i="14"/>
  <c r="IQ131" i="14"/>
  <c r="IA143" i="14"/>
  <c r="IA158" i="14"/>
  <c r="II144" i="14"/>
  <c r="IQ145" i="14"/>
  <c r="II136" i="14"/>
  <c r="IA130" i="14"/>
  <c r="IA63" i="14"/>
  <c r="IQ138" i="14"/>
  <c r="II140" i="14"/>
  <c r="II142" i="14"/>
  <c r="IQ147" i="14"/>
  <c r="IA120" i="14"/>
  <c r="IA152" i="14"/>
  <c r="IQ121" i="14"/>
  <c r="IA156" i="14"/>
  <c r="II61" i="14"/>
  <c r="IQ157" i="14"/>
  <c r="IQ60" i="14"/>
  <c r="II131" i="14"/>
  <c r="IQ143" i="14"/>
  <c r="II133" i="14"/>
  <c r="IQ158" i="14"/>
  <c r="IQ130" i="14"/>
  <c r="II63" i="14"/>
  <c r="II138" i="14"/>
  <c r="IQ141" i="14"/>
  <c r="IA124" i="14"/>
  <c r="IQ64" i="14"/>
  <c r="II60" i="14"/>
  <c r="II62" i="14"/>
  <c r="IA136" i="14"/>
  <c r="IQ151" i="14"/>
  <c r="IA147" i="14"/>
  <c r="II152" i="14"/>
  <c r="II127" i="14"/>
  <c r="IA140" i="14"/>
  <c r="II134" i="14"/>
  <c r="IA150" i="14"/>
  <c r="IA128" i="14"/>
  <c r="IA132" i="14"/>
  <c r="IQ137" i="14"/>
  <c r="IQ148" i="14"/>
  <c r="IA141" i="14"/>
  <c r="IA134" i="14"/>
  <c r="II156" i="14"/>
  <c r="IA154" i="14"/>
  <c r="II151" i="14"/>
  <c r="IQ142" i="14"/>
  <c r="IA146" i="14"/>
  <c r="IQ133" i="14"/>
  <c r="II139" i="14"/>
  <c r="II120" i="14"/>
  <c r="IA157" i="14"/>
  <c r="IA144" i="14"/>
  <c r="FQ64" i="14"/>
  <c r="II141" i="14"/>
  <c r="FQ133" i="14"/>
  <c r="FY62" i="14"/>
  <c r="GG157" i="14"/>
  <c r="FQ159" i="14"/>
  <c r="GG136" i="14"/>
  <c r="II124" i="14"/>
  <c r="IQ126" i="14"/>
  <c r="FY122" i="14"/>
  <c r="GG62" i="14"/>
  <c r="FQ126" i="14"/>
  <c r="FQ158" i="14"/>
  <c r="FQ137" i="14"/>
  <c r="IQ134" i="14"/>
  <c r="FY124" i="14"/>
  <c r="GG122" i="14"/>
  <c r="FQ143" i="14"/>
  <c r="FQ132" i="14"/>
  <c r="FY133" i="14"/>
  <c r="FY159" i="14"/>
  <c r="GG64" i="14"/>
  <c r="FY64" i="14"/>
  <c r="IA160" i="14"/>
  <c r="GG143" i="14"/>
  <c r="FY132" i="14"/>
  <c r="FY126" i="14"/>
  <c r="FY157" i="14"/>
  <c r="FQ127" i="14"/>
  <c r="IQ61" i="14"/>
  <c r="II159" i="14"/>
  <c r="GG124" i="14"/>
  <c r="FQ122" i="14"/>
  <c r="GG132" i="14"/>
  <c r="GG159" i="14"/>
  <c r="FY127" i="14"/>
  <c r="FQ136" i="14"/>
  <c r="GG137" i="14"/>
  <c r="GG130" i="14"/>
  <c r="IQ149" i="14"/>
  <c r="FQ157" i="14"/>
  <c r="FY136" i="14"/>
  <c r="FY137" i="14"/>
  <c r="FQ60" i="14"/>
  <c r="FY134" i="14"/>
  <c r="GG151" i="14"/>
  <c r="GG156" i="14"/>
  <c r="FQ125" i="14"/>
  <c r="FQ160" i="14"/>
  <c r="GG144" i="14"/>
  <c r="FQ139" i="14"/>
  <c r="FY148" i="14"/>
  <c r="GG128" i="14"/>
  <c r="FQ129" i="14"/>
  <c r="IA151" i="14"/>
  <c r="FY63" i="14"/>
  <c r="FQ61" i="14"/>
  <c r="FQ141" i="14"/>
  <c r="FY151" i="14"/>
  <c r="FY131" i="14"/>
  <c r="GG139" i="14"/>
  <c r="FY142" i="14"/>
  <c r="FY154" i="14"/>
  <c r="FQ147" i="14"/>
  <c r="FQ153" i="14"/>
  <c r="FY146" i="14"/>
  <c r="CK64" i="14"/>
  <c r="IA122" i="14"/>
  <c r="GG133" i="14"/>
  <c r="GG158" i="14"/>
  <c r="FY61" i="14"/>
  <c r="FQ134" i="14"/>
  <c r="FY125" i="14"/>
  <c r="GG150" i="14"/>
  <c r="FQ145" i="14"/>
  <c r="FQ138" i="14"/>
  <c r="GG149" i="14"/>
  <c r="GG142" i="14"/>
  <c r="FY129" i="14"/>
  <c r="GG154" i="14"/>
  <c r="GG147" i="14"/>
  <c r="FY121" i="14"/>
  <c r="CK157" i="14"/>
  <c r="CK150" i="14"/>
  <c r="FQ124" i="14"/>
  <c r="FY140" i="14"/>
  <c r="FY141" i="14"/>
  <c r="FY150" i="14"/>
  <c r="GG160" i="14"/>
  <c r="FY139" i="14"/>
  <c r="FY120" i="14"/>
  <c r="FY152" i="14"/>
  <c r="FY153" i="14"/>
  <c r="FQ146" i="14"/>
  <c r="CK124" i="14"/>
  <c r="FY143" i="14"/>
  <c r="FY130" i="14"/>
  <c r="GG61" i="14"/>
  <c r="FY156" i="14"/>
  <c r="GG125" i="14"/>
  <c r="FQ144" i="14"/>
  <c r="FY145" i="14"/>
  <c r="GG148" i="14"/>
  <c r="FQ149" i="14"/>
  <c r="FQ128" i="14"/>
  <c r="GG129" i="14"/>
  <c r="FQ120" i="14"/>
  <c r="FQ152" i="14"/>
  <c r="GG121" i="14"/>
  <c r="CK60" i="14"/>
  <c r="GG126" i="14"/>
  <c r="FY158" i="14"/>
  <c r="GG127" i="14"/>
  <c r="FQ140" i="14"/>
  <c r="GG141" i="14"/>
  <c r="GG134" i="14"/>
  <c r="FQ151" i="14"/>
  <c r="FQ156" i="14"/>
  <c r="FY138" i="14"/>
  <c r="FY147" i="14"/>
  <c r="GG153" i="14"/>
  <c r="GG146" i="14"/>
  <c r="CK156" i="14"/>
  <c r="CK136" i="14"/>
  <c r="CK137" i="14"/>
  <c r="GG60" i="14"/>
  <c r="FY160" i="14"/>
  <c r="CK130" i="14"/>
  <c r="CK160" i="14"/>
  <c r="CK147" i="14"/>
  <c r="CC156" i="14"/>
  <c r="CC125" i="14"/>
  <c r="CC62" i="14"/>
  <c r="CC130" i="14"/>
  <c r="CC64" i="14"/>
  <c r="CC145" i="14"/>
  <c r="CC142" i="14"/>
  <c r="CC152" i="14"/>
  <c r="CC153" i="14"/>
  <c r="BU61" i="14"/>
  <c r="FY60" i="14"/>
  <c r="GG138" i="14"/>
  <c r="GG152" i="14"/>
  <c r="CK126" i="14"/>
  <c r="CK132" i="14"/>
  <c r="CK142" i="14"/>
  <c r="CK128" i="14"/>
  <c r="CC159" i="14"/>
  <c r="CC122" i="14"/>
  <c r="CC154" i="14"/>
  <c r="CC138" i="14"/>
  <c r="CC128" i="14"/>
  <c r="CC126" i="14"/>
  <c r="CC146" i="14"/>
  <c r="BU152" i="14"/>
  <c r="BU121" i="14"/>
  <c r="FQ62" i="14"/>
  <c r="FQ150" i="14"/>
  <c r="FQ131" i="14"/>
  <c r="FQ142" i="14"/>
  <c r="FY128" i="14"/>
  <c r="FQ154" i="14"/>
  <c r="CK131" i="14"/>
  <c r="CK120" i="14"/>
  <c r="CK121" i="14"/>
  <c r="CC129" i="14"/>
  <c r="CC158" i="14"/>
  <c r="CC143" i="14"/>
  <c r="BU138" i="14"/>
  <c r="BU148" i="14"/>
  <c r="BU147" i="14"/>
  <c r="CK154" i="14"/>
  <c r="CC147" i="14"/>
  <c r="BU142" i="14"/>
  <c r="GG63" i="14"/>
  <c r="GG140" i="14"/>
  <c r="FY144" i="14"/>
  <c r="FQ148" i="14"/>
  <c r="FY149" i="14"/>
  <c r="GG120" i="14"/>
  <c r="CK61" i="14"/>
  <c r="CK133" i="14"/>
  <c r="CK129" i="14"/>
  <c r="CK152" i="14"/>
  <c r="CC61" i="14"/>
  <c r="CC160" i="14"/>
  <c r="CC140" i="14"/>
  <c r="CC141" i="14"/>
  <c r="CC151" i="14"/>
  <c r="CC131" i="14"/>
  <c r="CC120" i="14"/>
  <c r="BU144" i="14"/>
  <c r="BU153" i="14"/>
  <c r="FQ63" i="14"/>
  <c r="FQ121" i="14"/>
  <c r="CK63" i="14"/>
  <c r="CK140" i="14"/>
  <c r="CK141" i="14"/>
  <c r="CK151" i="14"/>
  <c r="CK144" i="14"/>
  <c r="CK139" i="14"/>
  <c r="CK153" i="14"/>
  <c r="CC124" i="14"/>
  <c r="CC157" i="14"/>
  <c r="CC134" i="14"/>
  <c r="CC139" i="14"/>
  <c r="CC60" i="14"/>
  <c r="CC133" i="14"/>
  <c r="CC121" i="14"/>
  <c r="BU131" i="14"/>
  <c r="CC150" i="14"/>
  <c r="CC144" i="14"/>
  <c r="CC148" i="14"/>
  <c r="BU157" i="14"/>
  <c r="BU150" i="14"/>
  <c r="BU60" i="14"/>
  <c r="BU127" i="14"/>
  <c r="BU132" i="14"/>
  <c r="BU62" i="14"/>
  <c r="BU126" i="14"/>
  <c r="BU136" i="14"/>
  <c r="BU130" i="14"/>
  <c r="BU63" i="14"/>
  <c r="CK143" i="14"/>
  <c r="CK149" i="14"/>
  <c r="CC137" i="14"/>
  <c r="BU149" i="14"/>
  <c r="BU120" i="14"/>
  <c r="BU154" i="14"/>
  <c r="FQ130" i="14"/>
  <c r="CK159" i="14"/>
  <c r="CK138" i="14"/>
  <c r="CC149" i="14"/>
  <c r="BU139" i="14"/>
  <c r="BU124" i="14"/>
  <c r="BU151" i="14"/>
  <c r="BU64" i="14"/>
  <c r="BU128" i="14"/>
  <c r="BU129" i="14"/>
  <c r="BU143" i="14"/>
  <c r="BU134" i="14"/>
  <c r="CK127" i="14"/>
  <c r="CK134" i="14"/>
  <c r="BU159" i="14"/>
  <c r="BU133" i="14"/>
  <c r="BU158" i="14"/>
  <c r="CK125" i="14"/>
  <c r="CK122" i="14"/>
  <c r="CC127" i="14"/>
  <c r="BU141" i="14"/>
  <c r="BU156" i="14"/>
  <c r="BU125" i="14"/>
  <c r="BU137" i="14"/>
  <c r="BU145" i="14"/>
  <c r="BU122" i="14"/>
  <c r="GG145" i="14"/>
  <c r="BU146" i="14"/>
  <c r="CC63" i="14"/>
  <c r="CK145" i="14"/>
  <c r="CK146" i="14"/>
  <c r="CK148" i="14"/>
  <c r="CK158" i="14"/>
  <c r="CC132" i="14"/>
  <c r="BU140" i="14"/>
  <c r="GG131" i="14"/>
  <c r="CK62" i="14"/>
  <c r="CC136" i="14"/>
  <c r="BU160" i="14"/>
  <c r="E34" i="16"/>
  <c r="E33" i="16"/>
  <c r="E36" i="16"/>
  <c r="E31" i="16"/>
  <c r="E37" i="16"/>
  <c r="E35" i="16"/>
  <c r="E30" i="16"/>
  <c r="E70" i="6"/>
  <c r="V60" i="14"/>
  <c r="V124" i="14"/>
  <c r="V160" i="14"/>
  <c r="V74" i="14"/>
  <c r="V93" i="14"/>
  <c r="V86" i="14"/>
  <c r="V118" i="14"/>
  <c r="U93" i="14"/>
  <c r="W93" i="14"/>
  <c r="Y93" i="14"/>
  <c r="X93" i="14"/>
  <c r="R77" i="38" s="1"/>
  <c r="E36" i="6"/>
  <c r="M79" i="14"/>
  <c r="E80" i="14"/>
  <c r="O80" i="14" s="1"/>
  <c r="M111" i="14"/>
  <c r="E112" i="14"/>
  <c r="O112" i="14" s="1"/>
  <c r="M143" i="14"/>
  <c r="E144" i="14"/>
  <c r="O144" i="14" s="1"/>
  <c r="M68" i="14"/>
  <c r="E69" i="14"/>
  <c r="O69" i="14" s="1"/>
  <c r="M100" i="14"/>
  <c r="E101" i="14"/>
  <c r="O101" i="14" s="1"/>
  <c r="M132" i="14"/>
  <c r="E133" i="14"/>
  <c r="O133" i="14" s="1"/>
  <c r="M89" i="14"/>
  <c r="E90" i="14"/>
  <c r="O90" i="14" s="1"/>
  <c r="M121" i="14"/>
  <c r="E122" i="14"/>
  <c r="O122" i="14" s="1"/>
  <c r="M153" i="14"/>
  <c r="E154" i="14"/>
  <c r="O154" i="14" s="1"/>
  <c r="M78" i="14"/>
  <c r="E79" i="14"/>
  <c r="O79" i="14" s="1"/>
  <c r="M110" i="14"/>
  <c r="E111" i="14"/>
  <c r="O111" i="14" s="1"/>
  <c r="M142" i="14"/>
  <c r="E143" i="14"/>
  <c r="O143" i="14" s="1"/>
  <c r="E61" i="14"/>
  <c r="O61" i="14" s="1"/>
  <c r="M147" i="14"/>
  <c r="E148" i="14"/>
  <c r="O148" i="14" s="1"/>
  <c r="M87" i="14"/>
  <c r="E88" i="14"/>
  <c r="O88" i="14" s="1"/>
  <c r="M119" i="14"/>
  <c r="E120" i="14"/>
  <c r="O120" i="14" s="1"/>
  <c r="M151" i="14"/>
  <c r="E152" i="14"/>
  <c r="O152" i="14" s="1"/>
  <c r="M76" i="14"/>
  <c r="E77" i="14"/>
  <c r="O77" i="14" s="1"/>
  <c r="M108" i="14"/>
  <c r="E109" i="14"/>
  <c r="O109" i="14" s="1"/>
  <c r="M140" i="14"/>
  <c r="E141" i="14"/>
  <c r="O141" i="14" s="1"/>
  <c r="M65" i="14"/>
  <c r="E66" i="14"/>
  <c r="O66" i="14" s="1"/>
  <c r="M97" i="14"/>
  <c r="E98" i="14"/>
  <c r="O98" i="14" s="1"/>
  <c r="M129" i="14"/>
  <c r="E130" i="14"/>
  <c r="O130" i="14" s="1"/>
  <c r="X86" i="14"/>
  <c r="R70" i="38" s="1"/>
  <c r="U86" i="14"/>
  <c r="Y86" i="14"/>
  <c r="W86" i="14"/>
  <c r="Y118" i="14"/>
  <c r="W118" i="14"/>
  <c r="AB118" i="14" s="1"/>
  <c r="X118" i="14"/>
  <c r="R102" i="38" s="1"/>
  <c r="U118" i="14"/>
  <c r="M150" i="14"/>
  <c r="E151" i="14"/>
  <c r="O151" i="14" s="1"/>
  <c r="M136" i="14"/>
  <c r="E137" i="14"/>
  <c r="O137" i="14" s="1"/>
  <c r="M125" i="14"/>
  <c r="E126" i="14"/>
  <c r="O126" i="14" s="1"/>
  <c r="M157" i="14"/>
  <c r="E158" i="14"/>
  <c r="O158" i="14" s="1"/>
  <c r="M114" i="14"/>
  <c r="E115" i="14"/>
  <c r="O115" i="14" s="1"/>
  <c r="M91" i="14"/>
  <c r="E92" i="14"/>
  <c r="O92" i="14" s="1"/>
  <c r="M123" i="14"/>
  <c r="E124" i="14"/>
  <c r="O124" i="14" s="1"/>
  <c r="M155" i="14"/>
  <c r="E156" i="14"/>
  <c r="O156" i="14" s="1"/>
  <c r="M80" i="14"/>
  <c r="E81" i="14"/>
  <c r="O81" i="14" s="1"/>
  <c r="M112" i="14"/>
  <c r="E113" i="14"/>
  <c r="O113" i="14" s="1"/>
  <c r="M144" i="14"/>
  <c r="E145" i="14"/>
  <c r="O145" i="14" s="1"/>
  <c r="M69" i="14"/>
  <c r="E70" i="14"/>
  <c r="O70" i="14" s="1"/>
  <c r="M101" i="14"/>
  <c r="E102" i="14"/>
  <c r="O102" i="14" s="1"/>
  <c r="M133" i="14"/>
  <c r="E134" i="14"/>
  <c r="O134" i="14" s="1"/>
  <c r="M90" i="14"/>
  <c r="E91" i="14"/>
  <c r="O91" i="14" s="1"/>
  <c r="M122" i="14"/>
  <c r="E123" i="14"/>
  <c r="O123" i="14" s="1"/>
  <c r="M154" i="14"/>
  <c r="E155" i="14"/>
  <c r="O155" i="14" s="1"/>
  <c r="M83" i="14"/>
  <c r="E84" i="14"/>
  <c r="O84" i="14" s="1"/>
  <c r="M63" i="14"/>
  <c r="E64" i="14"/>
  <c r="O64" i="14" s="1"/>
  <c r="M95" i="14"/>
  <c r="E96" i="14"/>
  <c r="O96" i="14" s="1"/>
  <c r="M127" i="14"/>
  <c r="E128" i="14"/>
  <c r="O128" i="14" s="1"/>
  <c r="M159" i="14"/>
  <c r="E160" i="14"/>
  <c r="O160" i="14" s="1"/>
  <c r="M84" i="14"/>
  <c r="E85" i="14"/>
  <c r="O85" i="14" s="1"/>
  <c r="M116" i="14"/>
  <c r="E117" i="14"/>
  <c r="O117" i="14" s="1"/>
  <c r="M148" i="14"/>
  <c r="E149" i="14"/>
  <c r="O149" i="14" s="1"/>
  <c r="M73" i="14"/>
  <c r="E74" i="14"/>
  <c r="O74" i="14" s="1"/>
  <c r="M105" i="14"/>
  <c r="E106" i="14"/>
  <c r="O106" i="14" s="1"/>
  <c r="M137" i="14"/>
  <c r="E138" i="14"/>
  <c r="O138" i="14" s="1"/>
  <c r="M62" i="14"/>
  <c r="E63" i="14"/>
  <c r="O63" i="14" s="1"/>
  <c r="M94" i="14"/>
  <c r="E95" i="14"/>
  <c r="O95" i="14" s="1"/>
  <c r="M126" i="14"/>
  <c r="E127" i="14"/>
  <c r="O127" i="14" s="1"/>
  <c r="M158" i="14"/>
  <c r="E159" i="14"/>
  <c r="O159" i="14" s="1"/>
  <c r="M72" i="14"/>
  <c r="E73" i="14"/>
  <c r="O73" i="14" s="1"/>
  <c r="M67" i="14"/>
  <c r="E68" i="14"/>
  <c r="O68" i="14" s="1"/>
  <c r="M99" i="14"/>
  <c r="E100" i="14"/>
  <c r="O100" i="14" s="1"/>
  <c r="M131" i="14"/>
  <c r="E132" i="14"/>
  <c r="O132" i="14" s="1"/>
  <c r="M88" i="14"/>
  <c r="E89" i="14"/>
  <c r="O89" i="14" s="1"/>
  <c r="M120" i="14"/>
  <c r="E121" i="14"/>
  <c r="O121" i="14" s="1"/>
  <c r="M152" i="14"/>
  <c r="E153" i="14"/>
  <c r="O153" i="14" s="1"/>
  <c r="M77" i="14"/>
  <c r="E78" i="14"/>
  <c r="O78" i="14" s="1"/>
  <c r="M109" i="14"/>
  <c r="E110" i="14"/>
  <c r="O110" i="14" s="1"/>
  <c r="M141" i="14"/>
  <c r="E142" i="14"/>
  <c r="O142" i="14" s="1"/>
  <c r="M66" i="14"/>
  <c r="E67" i="14"/>
  <c r="O67" i="14" s="1"/>
  <c r="M98" i="14"/>
  <c r="E99" i="14"/>
  <c r="O99" i="14" s="1"/>
  <c r="M130" i="14"/>
  <c r="E131" i="14"/>
  <c r="O131" i="14" s="1"/>
  <c r="E87" i="14"/>
  <c r="O87" i="14" s="1"/>
  <c r="M115" i="14"/>
  <c r="E116" i="14"/>
  <c r="O116" i="14" s="1"/>
  <c r="M146" i="14"/>
  <c r="E147" i="14"/>
  <c r="O147" i="14" s="1"/>
  <c r="M71" i="14"/>
  <c r="E72" i="14"/>
  <c r="O72" i="14" s="1"/>
  <c r="M103" i="14"/>
  <c r="E104" i="14"/>
  <c r="O104" i="14" s="1"/>
  <c r="M135" i="14"/>
  <c r="E136" i="14"/>
  <c r="O136" i="14" s="1"/>
  <c r="X60" i="14"/>
  <c r="R44" i="38" s="1"/>
  <c r="W60" i="14"/>
  <c r="M92" i="14"/>
  <c r="E93" i="14"/>
  <c r="O93" i="14" s="1"/>
  <c r="X124" i="14"/>
  <c r="R108" i="38" s="1"/>
  <c r="Y124" i="14"/>
  <c r="U124" i="14"/>
  <c r="W124" i="14"/>
  <c r="M156" i="14"/>
  <c r="E157" i="14"/>
  <c r="O157" i="14" s="1"/>
  <c r="M81" i="14"/>
  <c r="E82" i="14"/>
  <c r="O82" i="14" s="1"/>
  <c r="M113" i="14"/>
  <c r="E114" i="14"/>
  <c r="O114" i="14" s="1"/>
  <c r="M145" i="14"/>
  <c r="E146" i="14"/>
  <c r="O146" i="14" s="1"/>
  <c r="M70" i="14"/>
  <c r="E71" i="14"/>
  <c r="O71" i="14" s="1"/>
  <c r="M102" i="14"/>
  <c r="E103" i="14"/>
  <c r="O103" i="14" s="1"/>
  <c r="M134" i="14"/>
  <c r="E135" i="14"/>
  <c r="O135" i="14" s="1"/>
  <c r="E125" i="14"/>
  <c r="O125" i="14" s="1"/>
  <c r="M104" i="14"/>
  <c r="E105" i="14"/>
  <c r="O105" i="14" s="1"/>
  <c r="M61" i="14"/>
  <c r="E62" i="14"/>
  <c r="O62" i="14" s="1"/>
  <c r="M82" i="14"/>
  <c r="E83" i="14"/>
  <c r="O83" i="14" s="1"/>
  <c r="E119" i="14"/>
  <c r="O119" i="14" s="1"/>
  <c r="M75" i="14"/>
  <c r="E76" i="14"/>
  <c r="O76" i="14" s="1"/>
  <c r="M107" i="14"/>
  <c r="E108" i="14"/>
  <c r="O108" i="14" s="1"/>
  <c r="M139" i="14"/>
  <c r="E140" i="14"/>
  <c r="O140" i="14" s="1"/>
  <c r="M64" i="14"/>
  <c r="E65" i="14"/>
  <c r="O65" i="14" s="1"/>
  <c r="M96" i="14"/>
  <c r="E97" i="14"/>
  <c r="O97" i="14" s="1"/>
  <c r="M128" i="14"/>
  <c r="E129" i="14"/>
  <c r="O129" i="14" s="1"/>
  <c r="W160" i="14"/>
  <c r="U160" i="14"/>
  <c r="X160" i="14"/>
  <c r="R144" i="38" s="1"/>
  <c r="Y160" i="14"/>
  <c r="M85" i="14"/>
  <c r="E86" i="14"/>
  <c r="O86" i="14" s="1"/>
  <c r="M117" i="14"/>
  <c r="E118" i="14"/>
  <c r="O118" i="14" s="1"/>
  <c r="M149" i="14"/>
  <c r="E150" i="14"/>
  <c r="O150" i="14" s="1"/>
  <c r="Y74" i="14"/>
  <c r="W74" i="14"/>
  <c r="AB74" i="14" s="1"/>
  <c r="X74" i="14"/>
  <c r="R58" i="38" s="1"/>
  <c r="U74" i="14"/>
  <c r="M106" i="14"/>
  <c r="E107" i="14"/>
  <c r="O107" i="14" s="1"/>
  <c r="M138" i="14"/>
  <c r="E139" i="14"/>
  <c r="O139" i="14" s="1"/>
  <c r="E94" i="14"/>
  <c r="O94" i="14" s="1"/>
  <c r="E76" i="6"/>
  <c r="E98" i="6"/>
  <c r="E91" i="6"/>
  <c r="E102" i="6"/>
  <c r="E38" i="6"/>
  <c r="E100" i="6"/>
  <c r="E89" i="6"/>
  <c r="E32" i="6"/>
  <c r="E25" i="6"/>
  <c r="E96" i="6"/>
  <c r="E74" i="6"/>
  <c r="E78" i="6"/>
  <c r="E68" i="6"/>
  <c r="E106" i="6"/>
  <c r="E85" i="6"/>
  <c r="E37" i="6"/>
  <c r="E21" i="6"/>
  <c r="E93" i="6"/>
  <c r="E29" i="6"/>
  <c r="E84" i="6"/>
  <c r="E63" i="6"/>
  <c r="E75" i="6"/>
  <c r="E61" i="6"/>
  <c r="E86" i="6"/>
  <c r="E22" i="6"/>
  <c r="E118" i="6"/>
  <c r="E54" i="6"/>
  <c r="E27" i="6"/>
  <c r="E82" i="6"/>
  <c r="E108" i="6"/>
  <c r="E71" i="6"/>
  <c r="E119" i="6"/>
  <c r="E94" i="6"/>
  <c r="E30" i="6"/>
  <c r="E67" i="6"/>
  <c r="E77" i="6"/>
  <c r="E58" i="6"/>
  <c r="E72" i="6"/>
  <c r="E111" i="6"/>
  <c r="E47" i="6"/>
  <c r="E55" i="6"/>
  <c r="E114" i="6"/>
  <c r="E50" i="6"/>
  <c r="E60" i="6"/>
  <c r="E101" i="6"/>
  <c r="E103" i="6"/>
  <c r="E39" i="6"/>
  <c r="E43" i="6"/>
  <c r="E34" i="6"/>
  <c r="E105" i="6"/>
  <c r="E41" i="6"/>
  <c r="E112" i="6"/>
  <c r="E48" i="6"/>
  <c r="E62" i="6"/>
  <c r="E88" i="6"/>
  <c r="E45" i="6"/>
  <c r="E109" i="6"/>
  <c r="E66" i="6"/>
  <c r="E73" i="6"/>
  <c r="E52" i="6"/>
  <c r="E80" i="6"/>
  <c r="E44" i="6"/>
  <c r="E65" i="6"/>
  <c r="E117" i="6"/>
  <c r="E92" i="6"/>
  <c r="E57" i="6"/>
  <c r="E64" i="6"/>
  <c r="E53" i="6"/>
  <c r="E115" i="6"/>
  <c r="E51" i="6"/>
  <c r="E42" i="6"/>
  <c r="E28" i="6"/>
  <c r="E113" i="6"/>
  <c r="E49" i="6"/>
  <c r="E120" i="6"/>
  <c r="E56" i="6"/>
  <c r="E95" i="6"/>
  <c r="E31" i="6"/>
  <c r="E24" i="6"/>
  <c r="E107" i="6"/>
  <c r="E69" i="6"/>
  <c r="E87" i="6"/>
  <c r="E23" i="6"/>
  <c r="E81" i="6"/>
  <c r="E116" i="6"/>
  <c r="E99" i="6"/>
  <c r="E35" i="6"/>
  <c r="E90" i="6"/>
  <c r="E26" i="6"/>
  <c r="E97" i="6"/>
  <c r="E33" i="6"/>
  <c r="E104" i="6"/>
  <c r="E40" i="6"/>
  <c r="E79" i="6"/>
  <c r="R89" i="15" l="1"/>
  <c r="P143" i="15"/>
  <c r="P57" i="15"/>
  <c r="R51" i="15"/>
  <c r="P114" i="15"/>
  <c r="R141" i="15"/>
  <c r="R98" i="15"/>
  <c r="S99" i="15" s="1"/>
  <c r="P96" i="15"/>
  <c r="Q97" i="15" s="1"/>
  <c r="R127" i="15"/>
  <c r="P94" i="15"/>
  <c r="Q95" i="15" s="1"/>
  <c r="P73" i="15"/>
  <c r="Q73" i="15" s="1"/>
  <c r="R66" i="15"/>
  <c r="S67" i="15" s="1"/>
  <c r="P50" i="15"/>
  <c r="Q51" i="15" s="1"/>
  <c r="R95" i="15"/>
  <c r="P120" i="15"/>
  <c r="Q121" i="15" s="1"/>
  <c r="P103" i="15"/>
  <c r="Q103" i="15" s="1"/>
  <c r="R49" i="15"/>
  <c r="S49" i="15" s="1"/>
  <c r="P144" i="15"/>
  <c r="Q144" i="15" s="1"/>
  <c r="R122" i="15"/>
  <c r="S122" i="15" s="1"/>
  <c r="P53" i="15"/>
  <c r="Q53" i="15" s="1"/>
  <c r="R145" i="15"/>
  <c r="P107" i="15"/>
  <c r="P111" i="15"/>
  <c r="P74" i="15"/>
  <c r="Q75" i="15" s="1"/>
  <c r="P108" i="15"/>
  <c r="R47" i="15"/>
  <c r="S48" i="15" s="1"/>
  <c r="FD60" i="14"/>
  <c r="R146" i="15"/>
  <c r="EV60" i="14"/>
  <c r="R100" i="15"/>
  <c r="S100" i="15" s="1"/>
  <c r="P87" i="15"/>
  <c r="Q88" i="15" s="1"/>
  <c r="P128" i="15"/>
  <c r="Q129" i="15" s="1"/>
  <c r="R129" i="15"/>
  <c r="S129" i="15" s="1"/>
  <c r="R78" i="15"/>
  <c r="R132" i="15"/>
  <c r="S133" i="15" s="1"/>
  <c r="Q51" i="43"/>
  <c r="P82" i="15"/>
  <c r="Q82" i="15" s="1"/>
  <c r="P93" i="15"/>
  <c r="CA55" i="43"/>
  <c r="AF23" i="45" s="1"/>
  <c r="R65" i="15"/>
  <c r="P86" i="15"/>
  <c r="Q86" i="15" s="1"/>
  <c r="BZ54" i="43"/>
  <c r="AE22" i="45" s="1"/>
  <c r="BZ63" i="43"/>
  <c r="AE31" i="45" s="1"/>
  <c r="BZ70" i="43"/>
  <c r="AE38" i="45" s="1"/>
  <c r="BZ55" i="43"/>
  <c r="AE23" i="45" s="1"/>
  <c r="CA51" i="43"/>
  <c r="AF19" i="45" s="1"/>
  <c r="BZ65" i="43"/>
  <c r="AE33" i="45" s="1"/>
  <c r="CA70" i="43"/>
  <c r="AF38" i="45" s="1"/>
  <c r="R126" i="15"/>
  <c r="S126" i="15" s="1"/>
  <c r="P90" i="15"/>
  <c r="Q90" i="15" s="1"/>
  <c r="R142" i="15"/>
  <c r="S143" i="15" s="1"/>
  <c r="CA54" i="43"/>
  <c r="AF22" i="45" s="1"/>
  <c r="CA63" i="43"/>
  <c r="AF31" i="45" s="1"/>
  <c r="BZ69" i="43"/>
  <c r="AE37" i="45" s="1"/>
  <c r="P109" i="15"/>
  <c r="P124" i="15"/>
  <c r="Q124" i="15" s="1"/>
  <c r="R54" i="15"/>
  <c r="P136" i="15"/>
  <c r="Q137" i="15" s="1"/>
  <c r="BZ68" i="43"/>
  <c r="AE36" i="45" s="1"/>
  <c r="CA69" i="43"/>
  <c r="AF37" i="45" s="1"/>
  <c r="BZ52" i="43"/>
  <c r="AE20" i="45" s="1"/>
  <c r="BZ51" i="43"/>
  <c r="AE19" i="45" s="1"/>
  <c r="R92" i="15"/>
  <c r="S93" i="15" s="1"/>
  <c r="P91" i="15"/>
  <c r="R52" i="15"/>
  <c r="S52" i="15" s="1"/>
  <c r="P125" i="15"/>
  <c r="Q126" i="15" s="1"/>
  <c r="P110" i="15"/>
  <c r="CA68" i="43"/>
  <c r="AF36" i="45" s="1"/>
  <c r="CA60" i="43"/>
  <c r="AF28" i="45" s="1"/>
  <c r="BZ67" i="43"/>
  <c r="AE35" i="45" s="1"/>
  <c r="CA52" i="43"/>
  <c r="AF20" i="45" s="1"/>
  <c r="CA71" i="43"/>
  <c r="AF39" i="45" s="1"/>
  <c r="R77" i="15"/>
  <c r="S77" i="15" s="1"/>
  <c r="R140" i="15"/>
  <c r="P104" i="15"/>
  <c r="BZ56" i="43"/>
  <c r="AE24" i="45" s="1"/>
  <c r="BZ66" i="43"/>
  <c r="AE34" i="45" s="1"/>
  <c r="CA53" i="43"/>
  <c r="AF21" i="45" s="1"/>
  <c r="BZ57" i="43"/>
  <c r="AE25" i="45" s="1"/>
  <c r="BZ61" i="43"/>
  <c r="AE29" i="45" s="1"/>
  <c r="BZ60" i="43"/>
  <c r="AE28" i="45" s="1"/>
  <c r="CA67" i="43"/>
  <c r="AF35" i="45" s="1"/>
  <c r="BZ64" i="43"/>
  <c r="AE32" i="45" s="1"/>
  <c r="CA65" i="43"/>
  <c r="AF33" i="45" s="1"/>
  <c r="P64" i="15"/>
  <c r="Q64" i="15" s="1"/>
  <c r="R119" i="15"/>
  <c r="S119" i="15" s="1"/>
  <c r="CA56" i="43"/>
  <c r="AF24" i="45" s="1"/>
  <c r="CA66" i="43"/>
  <c r="AF34" i="45" s="1"/>
  <c r="BZ53" i="43"/>
  <c r="AE21" i="45" s="1"/>
  <c r="CA57" i="43"/>
  <c r="AF25" i="45" s="1"/>
  <c r="CA59" i="43"/>
  <c r="AF27" i="45" s="1"/>
  <c r="CA61" i="43"/>
  <c r="AF29" i="45" s="1"/>
  <c r="CA58" i="43"/>
  <c r="AF26" i="45" s="1"/>
  <c r="BZ62" i="43"/>
  <c r="AE30" i="45" s="1"/>
  <c r="R70" i="15"/>
  <c r="S71" i="15" s="1"/>
  <c r="CA64" i="43"/>
  <c r="AF32" i="45" s="1"/>
  <c r="BZ71" i="43"/>
  <c r="AE39" i="45" s="1"/>
  <c r="BZ59" i="43"/>
  <c r="AE27" i="45" s="1"/>
  <c r="BZ58" i="43"/>
  <c r="AE26" i="45" s="1"/>
  <c r="CA62" i="43"/>
  <c r="AF30" i="45" s="1"/>
  <c r="AA160" i="14"/>
  <c r="S144" i="38"/>
  <c r="AA124" i="14"/>
  <c r="S108" i="38"/>
  <c r="AA86" i="14"/>
  <c r="S70" i="38"/>
  <c r="R81" i="15"/>
  <c r="S81" i="15" s="1"/>
  <c r="R79" i="15"/>
  <c r="S80" i="15" s="1"/>
  <c r="R139" i="15"/>
  <c r="S139" i="15" s="1"/>
  <c r="R85" i="15"/>
  <c r="S85" i="15" s="1"/>
  <c r="P112" i="15"/>
  <c r="P83" i="15"/>
  <c r="Q84" i="15" s="1"/>
  <c r="P58" i="15"/>
  <c r="Q58" i="15" s="1"/>
  <c r="P68" i="15"/>
  <c r="Q68" i="15" s="1"/>
  <c r="AA93" i="14"/>
  <c r="S77" i="38"/>
  <c r="P59" i="15"/>
  <c r="R62" i="15"/>
  <c r="S63" i="15" s="1"/>
  <c r="P113" i="15"/>
  <c r="Q114" i="15" s="1"/>
  <c r="AA118" i="14"/>
  <c r="S102" i="38"/>
  <c r="AA74" i="14"/>
  <c r="S58" i="38"/>
  <c r="P135" i="15"/>
  <c r="P60" i="15"/>
  <c r="Q61" i="15" s="1"/>
  <c r="P105" i="15"/>
  <c r="Q106" i="15" s="1"/>
  <c r="P138" i="15"/>
  <c r="Q139" i="15" s="1"/>
  <c r="R130" i="15"/>
  <c r="S131" i="15" s="1"/>
  <c r="Q85" i="15"/>
  <c r="R55" i="15"/>
  <c r="S56" i="15" s="1"/>
  <c r="P118" i="15"/>
  <c r="Q118" i="15" s="1"/>
  <c r="R75" i="15"/>
  <c r="S76" i="15" s="1"/>
  <c r="AA60" i="14"/>
  <c r="AC60" i="14" s="1"/>
  <c r="S44" i="38"/>
  <c r="Q117" i="15"/>
  <c r="AB160" i="14"/>
  <c r="AB124" i="14"/>
  <c r="AB93" i="14"/>
  <c r="AB60" i="14"/>
  <c r="AB86" i="14"/>
  <c r="Q78" i="15"/>
  <c r="GX60" i="14"/>
  <c r="HF60" i="14" s="1"/>
  <c r="GX124" i="14"/>
  <c r="HF124" i="14" s="1"/>
  <c r="GX118" i="14"/>
  <c r="HF118" i="14" s="1"/>
  <c r="GX93" i="14"/>
  <c r="HF93" i="14" s="1"/>
  <c r="GX74" i="14"/>
  <c r="HF74" i="14" s="1"/>
  <c r="GX86" i="14"/>
  <c r="HF86" i="14" s="1"/>
  <c r="GX160" i="14"/>
  <c r="HF160" i="14" s="1"/>
  <c r="D7" i="6"/>
  <c r="G31" i="6" s="1"/>
  <c r="S110" i="15"/>
  <c r="Q100" i="15"/>
  <c r="S136" i="15"/>
  <c r="S57" i="15"/>
  <c r="S89" i="15"/>
  <c r="S72" i="15"/>
  <c r="S113" i="15"/>
  <c r="Q57" i="15"/>
  <c r="Q47" i="15"/>
  <c r="S50" i="15"/>
  <c r="S121" i="15"/>
  <c r="S124" i="15"/>
  <c r="Q79" i="15"/>
  <c r="S90" i="15"/>
  <c r="S107" i="15"/>
  <c r="Q132" i="15"/>
  <c r="S97" i="15"/>
  <c r="Q142" i="15"/>
  <c r="Q146" i="15"/>
  <c r="Q101" i="15"/>
  <c r="Q141" i="15"/>
  <c r="S69" i="15"/>
  <c r="Q89" i="15"/>
  <c r="S111" i="15"/>
  <c r="Q63" i="15"/>
  <c r="S125" i="15"/>
  <c r="Q66" i="15"/>
  <c r="Q81" i="15"/>
  <c r="S109" i="15"/>
  <c r="Q48" i="15"/>
  <c r="Q127" i="15"/>
  <c r="Q130" i="15"/>
  <c r="S138" i="15"/>
  <c r="Q143" i="15"/>
  <c r="S96" i="15"/>
  <c r="Q72" i="15"/>
  <c r="S104" i="15"/>
  <c r="S116" i="15"/>
  <c r="Q62" i="15"/>
  <c r="Q115" i="15"/>
  <c r="S65" i="15"/>
  <c r="Q56" i="15"/>
  <c r="Q102" i="15"/>
  <c r="Q123" i="15"/>
  <c r="S115" i="15"/>
  <c r="S118" i="15"/>
  <c r="Q134" i="15"/>
  <c r="S101" i="15"/>
  <c r="S59" i="15"/>
  <c r="S144" i="15"/>
  <c r="S87" i="15"/>
  <c r="S108" i="15"/>
  <c r="Q133" i="15"/>
  <c r="S102" i="15"/>
  <c r="S95" i="15"/>
  <c r="S68" i="15"/>
  <c r="S103" i="15"/>
  <c r="Q99" i="15"/>
  <c r="S53" i="15"/>
  <c r="S88" i="15"/>
  <c r="S73" i="15"/>
  <c r="S83" i="15"/>
  <c r="S61" i="15"/>
  <c r="S106" i="15"/>
  <c r="Q98" i="15"/>
  <c r="Q145" i="15"/>
  <c r="Q49" i="15"/>
  <c r="S84" i="15"/>
  <c r="S94" i="15"/>
  <c r="Q55" i="15"/>
  <c r="S58" i="15"/>
  <c r="Q76" i="15"/>
  <c r="S64" i="15"/>
  <c r="S60" i="15"/>
  <c r="Q67" i="15"/>
  <c r="S117" i="15"/>
  <c r="Q52" i="15"/>
  <c r="S91" i="15"/>
  <c r="Q77" i="15"/>
  <c r="S112" i="15"/>
  <c r="S137" i="15"/>
  <c r="S114" i="15"/>
  <c r="Q70" i="15"/>
  <c r="Q140" i="15"/>
  <c r="S128" i="15"/>
  <c r="S135" i="15"/>
  <c r="Q71" i="15"/>
  <c r="S74" i="15"/>
  <c r="Q131" i="15"/>
  <c r="S134" i="15"/>
  <c r="Q116" i="15"/>
  <c r="Q80" i="15"/>
  <c r="Q122" i="15"/>
  <c r="S105" i="15"/>
  <c r="S51" i="15"/>
  <c r="S160" i="14"/>
  <c r="E44" i="16"/>
  <c r="E49" i="16"/>
  <c r="E46" i="16"/>
  <c r="E45" i="16"/>
  <c r="E50" i="16"/>
  <c r="E47" i="16"/>
  <c r="E42" i="16"/>
  <c r="E43" i="16"/>
  <c r="E48" i="16"/>
  <c r="R160" i="14"/>
  <c r="Q160" i="14"/>
  <c r="P160" i="14"/>
  <c r="C17" i="16"/>
  <c r="E10" i="16"/>
  <c r="E17" i="16" s="1"/>
  <c r="E9" i="16"/>
  <c r="E16" i="16" s="1"/>
  <c r="EV74" i="14"/>
  <c r="FD74" i="14"/>
  <c r="EN74" i="14"/>
  <c r="EV160" i="14"/>
  <c r="FD160" i="14"/>
  <c r="EN160" i="14"/>
  <c r="EN86" i="14"/>
  <c r="EV86" i="14"/>
  <c r="FD86" i="14"/>
  <c r="EV93" i="14"/>
  <c r="EN93" i="14"/>
  <c r="FD93" i="14"/>
  <c r="FD118" i="14"/>
  <c r="EN118" i="14"/>
  <c r="EV118" i="14"/>
  <c r="FD124" i="14"/>
  <c r="EN124" i="14"/>
  <c r="EV124" i="14"/>
  <c r="V61" i="14"/>
  <c r="V64" i="14"/>
  <c r="V106" i="14"/>
  <c r="V139" i="14"/>
  <c r="V102" i="14"/>
  <c r="V81" i="14"/>
  <c r="V135" i="14"/>
  <c r="V115" i="14"/>
  <c r="V78" i="14"/>
  <c r="V132" i="14"/>
  <c r="V111" i="14"/>
  <c r="V117" i="14"/>
  <c r="V92" i="14"/>
  <c r="V141" i="14"/>
  <c r="V120" i="14"/>
  <c r="V67" i="14"/>
  <c r="V94" i="14"/>
  <c r="V73" i="14"/>
  <c r="V159" i="14"/>
  <c r="V133" i="14"/>
  <c r="V112" i="14"/>
  <c r="V91" i="14"/>
  <c r="V136" i="14"/>
  <c r="V97" i="14"/>
  <c r="V76" i="14"/>
  <c r="V147" i="14"/>
  <c r="V128" i="14"/>
  <c r="V107" i="14"/>
  <c r="V70" i="14"/>
  <c r="V156" i="14"/>
  <c r="V103" i="14"/>
  <c r="V153" i="14"/>
  <c r="V100" i="14"/>
  <c r="V79" i="14"/>
  <c r="V83" i="14"/>
  <c r="V85" i="14"/>
  <c r="V104" i="14"/>
  <c r="V130" i="14"/>
  <c r="V109" i="14"/>
  <c r="V88" i="14"/>
  <c r="V72" i="14"/>
  <c r="V62" i="14"/>
  <c r="V148" i="14"/>
  <c r="V127" i="14"/>
  <c r="V154" i="14"/>
  <c r="V101" i="14"/>
  <c r="V80" i="14"/>
  <c r="V114" i="14"/>
  <c r="V150" i="14"/>
  <c r="V65" i="14"/>
  <c r="V151" i="14"/>
  <c r="V96" i="14"/>
  <c r="V75" i="14"/>
  <c r="V145" i="14"/>
  <c r="V71" i="14"/>
  <c r="V142" i="14"/>
  <c r="V121" i="14"/>
  <c r="V68" i="14"/>
  <c r="V98" i="14"/>
  <c r="V77" i="14"/>
  <c r="V131" i="14"/>
  <c r="V158" i="14"/>
  <c r="V137" i="14"/>
  <c r="V116" i="14"/>
  <c r="V95" i="14"/>
  <c r="V122" i="14"/>
  <c r="V69" i="14"/>
  <c r="V155" i="14"/>
  <c r="V157" i="14"/>
  <c r="V140" i="14"/>
  <c r="V119" i="14"/>
  <c r="V146" i="14"/>
  <c r="V110" i="14"/>
  <c r="V89" i="14"/>
  <c r="V143" i="14"/>
  <c r="V138" i="14"/>
  <c r="V134" i="14"/>
  <c r="V113" i="14"/>
  <c r="V149" i="14"/>
  <c r="V82" i="14"/>
  <c r="V66" i="14"/>
  <c r="V152" i="14"/>
  <c r="V99" i="14"/>
  <c r="V126" i="14"/>
  <c r="V105" i="14"/>
  <c r="V84" i="14"/>
  <c r="V63" i="14"/>
  <c r="V90" i="14"/>
  <c r="V144" i="14"/>
  <c r="V123" i="14"/>
  <c r="V125" i="14"/>
  <c r="V129" i="14"/>
  <c r="V108" i="14"/>
  <c r="V87" i="14"/>
  <c r="Y137" i="14"/>
  <c r="W137" i="14"/>
  <c r="X137" i="14"/>
  <c r="R121" i="38" s="1"/>
  <c r="U137" i="14"/>
  <c r="W65" i="14"/>
  <c r="U65" i="14"/>
  <c r="X65" i="14"/>
  <c r="R49" i="38" s="1"/>
  <c r="Y65" i="14"/>
  <c r="X106" i="14"/>
  <c r="R90" i="38" s="1"/>
  <c r="W106" i="14"/>
  <c r="U106" i="14"/>
  <c r="Y106" i="14"/>
  <c r="Y149" i="14"/>
  <c r="W149" i="14"/>
  <c r="U149" i="14"/>
  <c r="X149" i="14"/>
  <c r="R133" i="38" s="1"/>
  <c r="Y64" i="14"/>
  <c r="U64" i="14"/>
  <c r="X64" i="14"/>
  <c r="R48" i="38" s="1"/>
  <c r="W64" i="14"/>
  <c r="AB64" i="14" s="1"/>
  <c r="X134" i="14"/>
  <c r="R118" i="38" s="1"/>
  <c r="Y134" i="14"/>
  <c r="W134" i="14"/>
  <c r="U134" i="14"/>
  <c r="Y113" i="14"/>
  <c r="X113" i="14"/>
  <c r="R97" i="38" s="1"/>
  <c r="W113" i="14"/>
  <c r="U113" i="14"/>
  <c r="Z60" i="14"/>
  <c r="W71" i="14"/>
  <c r="X71" i="14"/>
  <c r="R55" i="38" s="1"/>
  <c r="Y71" i="14"/>
  <c r="U71" i="14"/>
  <c r="Z86" i="14"/>
  <c r="T70" i="38" s="1"/>
  <c r="Y153" i="14"/>
  <c r="W153" i="14"/>
  <c r="X153" i="14"/>
  <c r="R137" i="38" s="1"/>
  <c r="U153" i="14"/>
  <c r="X100" i="14"/>
  <c r="R84" i="38" s="1"/>
  <c r="Y100" i="14"/>
  <c r="U100" i="14"/>
  <c r="W100" i="14"/>
  <c r="X79" i="14"/>
  <c r="R63" i="38" s="1"/>
  <c r="Y79" i="14"/>
  <c r="U79" i="14"/>
  <c r="W79" i="14"/>
  <c r="U98" i="14"/>
  <c r="Y98" i="14"/>
  <c r="X98" i="14"/>
  <c r="R82" i="38" s="1"/>
  <c r="W98" i="14"/>
  <c r="Y158" i="14"/>
  <c r="U158" i="14"/>
  <c r="W158" i="14"/>
  <c r="X158" i="14"/>
  <c r="R142" i="38" s="1"/>
  <c r="Y95" i="14"/>
  <c r="U95" i="14"/>
  <c r="W95" i="14"/>
  <c r="X95" i="14"/>
  <c r="R79" i="38" s="1"/>
  <c r="X155" i="14"/>
  <c r="R139" i="38" s="1"/>
  <c r="W155" i="14"/>
  <c r="Y155" i="14"/>
  <c r="U155" i="14"/>
  <c r="U117" i="14"/>
  <c r="Y117" i="14"/>
  <c r="W117" i="14"/>
  <c r="X117" i="14"/>
  <c r="R101" i="38" s="1"/>
  <c r="U139" i="14"/>
  <c r="X139" i="14"/>
  <c r="R123" i="38" s="1"/>
  <c r="Y139" i="14"/>
  <c r="W139" i="14"/>
  <c r="AB139" i="14" s="1"/>
  <c r="U102" i="14"/>
  <c r="X102" i="14"/>
  <c r="R86" i="38" s="1"/>
  <c r="Y102" i="14"/>
  <c r="W102" i="14"/>
  <c r="Y81" i="14"/>
  <c r="U81" i="14"/>
  <c r="W81" i="14"/>
  <c r="X81" i="14"/>
  <c r="R65" i="38" s="1"/>
  <c r="Y146" i="14"/>
  <c r="X146" i="14"/>
  <c r="R130" i="38" s="1"/>
  <c r="W146" i="14"/>
  <c r="U146" i="14"/>
  <c r="U142" i="14"/>
  <c r="X142" i="14"/>
  <c r="R126" i="38" s="1"/>
  <c r="W142" i="14"/>
  <c r="Y142" i="14"/>
  <c r="Y121" i="14"/>
  <c r="X121" i="14"/>
  <c r="R105" i="38" s="1"/>
  <c r="W121" i="14"/>
  <c r="U121" i="14"/>
  <c r="X68" i="14"/>
  <c r="R52" i="38" s="1"/>
  <c r="W68" i="14"/>
  <c r="AB68" i="14" s="1"/>
  <c r="U68" i="14"/>
  <c r="Y68" i="14"/>
  <c r="X61" i="14"/>
  <c r="R45" i="38" s="1"/>
  <c r="U61" i="14"/>
  <c r="W61" i="14"/>
  <c r="Y61" i="14"/>
  <c r="Y66" i="14"/>
  <c r="W66" i="14"/>
  <c r="U66" i="14"/>
  <c r="X66" i="14"/>
  <c r="R50" i="38" s="1"/>
  <c r="X152" i="14"/>
  <c r="R136" i="38" s="1"/>
  <c r="W152" i="14"/>
  <c r="U152" i="14"/>
  <c r="Y152" i="14"/>
  <c r="U99" i="14"/>
  <c r="X99" i="14"/>
  <c r="R83" i="38" s="1"/>
  <c r="W99" i="14"/>
  <c r="AB99" i="14" s="1"/>
  <c r="Y99" i="14"/>
  <c r="Y126" i="14"/>
  <c r="W126" i="14"/>
  <c r="X126" i="14"/>
  <c r="R110" i="38" s="1"/>
  <c r="U126" i="14"/>
  <c r="Y105" i="14"/>
  <c r="U105" i="14"/>
  <c r="X105" i="14"/>
  <c r="R89" i="38" s="1"/>
  <c r="W105" i="14"/>
  <c r="X84" i="14"/>
  <c r="R68" i="38" s="1"/>
  <c r="W84" i="14"/>
  <c r="AB84" i="14" s="1"/>
  <c r="U84" i="14"/>
  <c r="Y84" i="14"/>
  <c r="X63" i="14"/>
  <c r="R47" i="38" s="1"/>
  <c r="Y63" i="14"/>
  <c r="U63" i="14"/>
  <c r="W63" i="14"/>
  <c r="Y90" i="14"/>
  <c r="W90" i="14"/>
  <c r="X90" i="14"/>
  <c r="R74" i="38" s="1"/>
  <c r="U90" i="14"/>
  <c r="U144" i="14"/>
  <c r="X144" i="14"/>
  <c r="R128" i="38" s="1"/>
  <c r="W144" i="14"/>
  <c r="Y144" i="14"/>
  <c r="X123" i="14"/>
  <c r="R107" i="38" s="1"/>
  <c r="Y123" i="14"/>
  <c r="W123" i="14"/>
  <c r="U123" i="14"/>
  <c r="Y125" i="14"/>
  <c r="W125" i="14"/>
  <c r="U125" i="14"/>
  <c r="X125" i="14"/>
  <c r="R109" i="38" s="1"/>
  <c r="Z118" i="14"/>
  <c r="T102" i="38" s="1"/>
  <c r="X140" i="14"/>
  <c r="R124" i="38" s="1"/>
  <c r="W140" i="14"/>
  <c r="Y140" i="14"/>
  <c r="U140" i="14"/>
  <c r="X119" i="14"/>
  <c r="R103" i="38" s="1"/>
  <c r="W119" i="14"/>
  <c r="U119" i="14"/>
  <c r="Y119" i="14"/>
  <c r="Z74" i="14"/>
  <c r="T58" i="38" s="1"/>
  <c r="U85" i="14"/>
  <c r="W85" i="14"/>
  <c r="Y85" i="14"/>
  <c r="X85" i="14"/>
  <c r="R69" i="38" s="1"/>
  <c r="W128" i="14"/>
  <c r="AB128" i="14" s="1"/>
  <c r="Y128" i="14"/>
  <c r="U128" i="14"/>
  <c r="X128" i="14"/>
  <c r="R112" i="38" s="1"/>
  <c r="X107" i="14"/>
  <c r="R91" i="38" s="1"/>
  <c r="U107" i="14"/>
  <c r="W107" i="14"/>
  <c r="Y107" i="14"/>
  <c r="W70" i="14"/>
  <c r="X70" i="14"/>
  <c r="R54" i="38" s="1"/>
  <c r="Y70" i="14"/>
  <c r="U70" i="14"/>
  <c r="X156" i="14"/>
  <c r="R140" i="38" s="1"/>
  <c r="W156" i="14"/>
  <c r="Y156" i="14"/>
  <c r="U156" i="14"/>
  <c r="X92" i="14"/>
  <c r="R76" i="38" s="1"/>
  <c r="W92" i="14"/>
  <c r="Y92" i="14"/>
  <c r="U92" i="14"/>
  <c r="U135" i="14"/>
  <c r="Y135" i="14"/>
  <c r="X135" i="14"/>
  <c r="R119" i="38" s="1"/>
  <c r="W135" i="14"/>
  <c r="X115" i="14"/>
  <c r="R99" i="38" s="1"/>
  <c r="Y115" i="14"/>
  <c r="U115" i="14"/>
  <c r="W115" i="14"/>
  <c r="W110" i="14"/>
  <c r="X110" i="14"/>
  <c r="R94" i="38" s="1"/>
  <c r="Y110" i="14"/>
  <c r="U110" i="14"/>
  <c r="Y89" i="14"/>
  <c r="W89" i="14"/>
  <c r="X89" i="14"/>
  <c r="R73" i="38" s="1"/>
  <c r="U89" i="14"/>
  <c r="Y143" i="14"/>
  <c r="U143" i="14"/>
  <c r="W143" i="14"/>
  <c r="X143" i="14"/>
  <c r="R127" i="38" s="1"/>
  <c r="Z93" i="14"/>
  <c r="T77" i="38" s="1"/>
  <c r="Z160" i="14"/>
  <c r="T144" i="38" s="1"/>
  <c r="W104" i="14"/>
  <c r="AB104" i="14" s="1"/>
  <c r="Y104" i="14"/>
  <c r="U104" i="14"/>
  <c r="X104" i="14"/>
  <c r="R88" i="38" s="1"/>
  <c r="W141" i="14"/>
  <c r="Y141" i="14"/>
  <c r="U141" i="14"/>
  <c r="X141" i="14"/>
  <c r="R125" i="38" s="1"/>
  <c r="W120" i="14"/>
  <c r="Y120" i="14"/>
  <c r="U120" i="14"/>
  <c r="X120" i="14"/>
  <c r="R104" i="38" s="1"/>
  <c r="U67" i="14"/>
  <c r="X67" i="14"/>
  <c r="R51" i="38" s="1"/>
  <c r="Y67" i="14"/>
  <c r="W67" i="14"/>
  <c r="Y94" i="14"/>
  <c r="U94" i="14"/>
  <c r="X94" i="14"/>
  <c r="R78" i="38" s="1"/>
  <c r="W94" i="14"/>
  <c r="Y73" i="14"/>
  <c r="W73" i="14"/>
  <c r="AB73" i="14" s="1"/>
  <c r="X73" i="14"/>
  <c r="R57" i="38" s="1"/>
  <c r="U73" i="14"/>
  <c r="U159" i="14"/>
  <c r="Y159" i="14"/>
  <c r="W159" i="14"/>
  <c r="X159" i="14"/>
  <c r="R143" i="38" s="1"/>
  <c r="W83" i="14"/>
  <c r="X83" i="14"/>
  <c r="R67" i="38" s="1"/>
  <c r="U83" i="14"/>
  <c r="Y83" i="14"/>
  <c r="U133" i="14"/>
  <c r="W133" i="14"/>
  <c r="Y133" i="14"/>
  <c r="X133" i="14"/>
  <c r="R117" i="38" s="1"/>
  <c r="W112" i="14"/>
  <c r="Y112" i="14"/>
  <c r="X112" i="14"/>
  <c r="R96" i="38" s="1"/>
  <c r="U112" i="14"/>
  <c r="X91" i="14"/>
  <c r="R75" i="38" s="1"/>
  <c r="W91" i="14"/>
  <c r="AB91" i="14" s="1"/>
  <c r="Y91" i="14"/>
  <c r="U91" i="14"/>
  <c r="Y136" i="14"/>
  <c r="U136" i="14"/>
  <c r="X136" i="14"/>
  <c r="R120" i="38" s="1"/>
  <c r="W136" i="14"/>
  <c r="Y129" i="14"/>
  <c r="W129" i="14"/>
  <c r="U129" i="14"/>
  <c r="X129" i="14"/>
  <c r="R113" i="38" s="1"/>
  <c r="X108" i="14"/>
  <c r="R92" i="38" s="1"/>
  <c r="Y108" i="14"/>
  <c r="U108" i="14"/>
  <c r="W108" i="14"/>
  <c r="W87" i="14"/>
  <c r="X87" i="14"/>
  <c r="R71" i="38" s="1"/>
  <c r="U87" i="14"/>
  <c r="Y87" i="14"/>
  <c r="U77" i="14"/>
  <c r="W77" i="14"/>
  <c r="Y77" i="14"/>
  <c r="X77" i="14"/>
  <c r="R61" i="38" s="1"/>
  <c r="X116" i="14"/>
  <c r="R100" i="38" s="1"/>
  <c r="Y116" i="14"/>
  <c r="U116" i="14"/>
  <c r="W116" i="14"/>
  <c r="AB116" i="14" s="1"/>
  <c r="Y122" i="14"/>
  <c r="X122" i="14"/>
  <c r="R106" i="38" s="1"/>
  <c r="W122" i="14"/>
  <c r="U122" i="14"/>
  <c r="W69" i="14"/>
  <c r="X69" i="14"/>
  <c r="R53" i="38" s="1"/>
  <c r="U69" i="14"/>
  <c r="Y69" i="14"/>
  <c r="W157" i="14"/>
  <c r="Y157" i="14"/>
  <c r="U157" i="14"/>
  <c r="X157" i="14"/>
  <c r="R141" i="38" s="1"/>
  <c r="U138" i="14"/>
  <c r="Y138" i="14"/>
  <c r="X138" i="14"/>
  <c r="R122" i="38" s="1"/>
  <c r="W138" i="14"/>
  <c r="W96" i="14"/>
  <c r="Y96" i="14"/>
  <c r="S80" i="38" s="1"/>
  <c r="X96" i="14"/>
  <c r="R80" i="38" s="1"/>
  <c r="U96" i="14"/>
  <c r="U75" i="14"/>
  <c r="X75" i="14"/>
  <c r="R59" i="38" s="1"/>
  <c r="W75" i="14"/>
  <c r="Y75" i="14"/>
  <c r="Y145" i="14"/>
  <c r="W145" i="14"/>
  <c r="U145" i="14"/>
  <c r="X145" i="14"/>
  <c r="R129" i="38" s="1"/>
  <c r="Y103" i="14"/>
  <c r="W103" i="14"/>
  <c r="U103" i="14"/>
  <c r="X103" i="14"/>
  <c r="R87" i="38" s="1"/>
  <c r="W78" i="14"/>
  <c r="AB78" i="14" s="1"/>
  <c r="U78" i="14"/>
  <c r="X78" i="14"/>
  <c r="R62" i="38" s="1"/>
  <c r="Y78" i="14"/>
  <c r="X132" i="14"/>
  <c r="R116" i="38" s="1"/>
  <c r="W132" i="14"/>
  <c r="U132" i="14"/>
  <c r="Y132" i="14"/>
  <c r="W111" i="14"/>
  <c r="X111" i="14"/>
  <c r="R95" i="38" s="1"/>
  <c r="U111" i="14"/>
  <c r="Y111" i="14"/>
  <c r="Y82" i="14"/>
  <c r="X82" i="14"/>
  <c r="R66" i="38" s="1"/>
  <c r="U82" i="14"/>
  <c r="W82" i="14"/>
  <c r="AB82" i="14" s="1"/>
  <c r="X131" i="14"/>
  <c r="R115" i="38" s="1"/>
  <c r="W131" i="14"/>
  <c r="Y131" i="14"/>
  <c r="U131" i="14"/>
  <c r="W151" i="14"/>
  <c r="X151" i="14"/>
  <c r="R135" i="38" s="1"/>
  <c r="U151" i="14"/>
  <c r="Y151" i="14"/>
  <c r="Z124" i="14"/>
  <c r="T108" i="38" s="1"/>
  <c r="U130" i="14"/>
  <c r="X130" i="14"/>
  <c r="R114" i="38" s="1"/>
  <c r="W130" i="14"/>
  <c r="Y130" i="14"/>
  <c r="Y109" i="14"/>
  <c r="W109" i="14"/>
  <c r="AB109" i="14" s="1"/>
  <c r="U109" i="14"/>
  <c r="X109" i="14"/>
  <c r="R93" i="38" s="1"/>
  <c r="W88" i="14"/>
  <c r="Y88" i="14"/>
  <c r="X88" i="14"/>
  <c r="R72" i="38" s="1"/>
  <c r="U88" i="14"/>
  <c r="W72" i="14"/>
  <c r="Y72" i="14"/>
  <c r="X72" i="14"/>
  <c r="R56" i="38" s="1"/>
  <c r="U72" i="14"/>
  <c r="U62" i="14"/>
  <c r="X62" i="14"/>
  <c r="R46" i="38" s="1"/>
  <c r="Y62" i="14"/>
  <c r="W62" i="14"/>
  <c r="X148" i="14"/>
  <c r="R132" i="38" s="1"/>
  <c r="Y148" i="14"/>
  <c r="W148" i="14"/>
  <c r="U148" i="14"/>
  <c r="W127" i="14"/>
  <c r="U127" i="14"/>
  <c r="X127" i="14"/>
  <c r="R111" i="38" s="1"/>
  <c r="Y127" i="14"/>
  <c r="Y154" i="14"/>
  <c r="W154" i="14"/>
  <c r="X154" i="14"/>
  <c r="R138" i="38" s="1"/>
  <c r="U154" i="14"/>
  <c r="U101" i="14"/>
  <c r="Y101" i="14"/>
  <c r="W101" i="14"/>
  <c r="X101" i="14"/>
  <c r="R85" i="38" s="1"/>
  <c r="W80" i="14"/>
  <c r="Y80" i="14"/>
  <c r="U80" i="14"/>
  <c r="X80" i="14"/>
  <c r="R64" i="38" s="1"/>
  <c r="Y114" i="14"/>
  <c r="X114" i="14"/>
  <c r="R98" i="38" s="1"/>
  <c r="W114" i="14"/>
  <c r="U114" i="14"/>
  <c r="X150" i="14"/>
  <c r="R134" i="38" s="1"/>
  <c r="U150" i="14"/>
  <c r="Y150" i="14"/>
  <c r="W150" i="14"/>
  <c r="AB150" i="14" s="1"/>
  <c r="Y97" i="14"/>
  <c r="W97" i="14"/>
  <c r="X97" i="14"/>
  <c r="R81" i="38" s="1"/>
  <c r="U97" i="14"/>
  <c r="X76" i="14"/>
  <c r="R60" i="38" s="1"/>
  <c r="W76" i="14"/>
  <c r="U76" i="14"/>
  <c r="Y76" i="14"/>
  <c r="X147" i="14"/>
  <c r="R131" i="38" s="1"/>
  <c r="Y147" i="14"/>
  <c r="U147" i="14"/>
  <c r="W147" i="14"/>
  <c r="Q120" i="15" l="1"/>
  <c r="S98" i="15"/>
  <c r="Q96" i="15"/>
  <c r="Q94" i="15"/>
  <c r="S47" i="15"/>
  <c r="Q54" i="15"/>
  <c r="S146" i="15"/>
  <c r="Q50" i="15"/>
  <c r="AB134" i="14"/>
  <c r="Q93" i="15"/>
  <c r="S145" i="15"/>
  <c r="S66" i="15"/>
  <c r="S62" i="15"/>
  <c r="S127" i="15"/>
  <c r="Q112" i="15"/>
  <c r="Q111" i="15"/>
  <c r="S123" i="15"/>
  <c r="S132" i="15"/>
  <c r="Q108" i="15"/>
  <c r="Q109" i="15"/>
  <c r="Q107" i="15"/>
  <c r="Q74" i="15"/>
  <c r="Q105" i="15"/>
  <c r="S130" i="15"/>
  <c r="Q128" i="15"/>
  <c r="Q69" i="15"/>
  <c r="Q104" i="15"/>
  <c r="Q110" i="15"/>
  <c r="Q91" i="15"/>
  <c r="S120" i="15"/>
  <c r="Q87" i="15"/>
  <c r="S82" i="15"/>
  <c r="Q92" i="15"/>
  <c r="Q113" i="15"/>
  <c r="S75" i="15"/>
  <c r="S55" i="15"/>
  <c r="Q83" i="15"/>
  <c r="Q65" i="15"/>
  <c r="AA50" i="43"/>
  <c r="N54" i="43" s="1"/>
  <c r="V51" i="43"/>
  <c r="L52" i="43"/>
  <c r="N50" i="43"/>
  <c r="S70" i="15"/>
  <c r="AB67" i="14"/>
  <c r="Q125" i="15"/>
  <c r="S54" i="15"/>
  <c r="S140" i="15"/>
  <c r="AB114" i="14"/>
  <c r="S141" i="15"/>
  <c r="S92" i="15"/>
  <c r="S142" i="15"/>
  <c r="Q136" i="15"/>
  <c r="AD60" i="14"/>
  <c r="S86" i="15"/>
  <c r="Q138" i="15"/>
  <c r="Q135" i="15"/>
  <c r="S78" i="15"/>
  <c r="Q60" i="15"/>
  <c r="Q119" i="15"/>
  <c r="AB145" i="14"/>
  <c r="AA73" i="14"/>
  <c r="S57" i="38"/>
  <c r="AA109" i="14"/>
  <c r="S93" i="38"/>
  <c r="AA138" i="14"/>
  <c r="S122" i="38"/>
  <c r="AA116" i="14"/>
  <c r="S100" i="38"/>
  <c r="AA159" i="14"/>
  <c r="S143" i="38"/>
  <c r="AA120" i="14"/>
  <c r="S104" i="38"/>
  <c r="AA104" i="14"/>
  <c r="S88" i="38"/>
  <c r="AA123" i="14"/>
  <c r="S107" i="38"/>
  <c r="AA117" i="14"/>
  <c r="S101" i="38"/>
  <c r="AA98" i="14"/>
  <c r="S82" i="38"/>
  <c r="AA100" i="14"/>
  <c r="S84" i="38"/>
  <c r="AA71" i="14"/>
  <c r="S55" i="38"/>
  <c r="AA65" i="14"/>
  <c r="S49" i="38"/>
  <c r="S79" i="15"/>
  <c r="BA70" i="38"/>
  <c r="AZ70" i="38"/>
  <c r="AA122" i="14"/>
  <c r="S106" i="38"/>
  <c r="AA82" i="14"/>
  <c r="S66" i="38"/>
  <c r="AA129" i="14"/>
  <c r="S113" i="38"/>
  <c r="AA94" i="14"/>
  <c r="S78" i="38"/>
  <c r="AA92" i="14"/>
  <c r="S76" i="38"/>
  <c r="AA70" i="14"/>
  <c r="S54" i="38"/>
  <c r="AA119" i="14"/>
  <c r="S103" i="38"/>
  <c r="AA90" i="14"/>
  <c r="S74" i="38"/>
  <c r="AA126" i="14"/>
  <c r="S110" i="38"/>
  <c r="AA121" i="14"/>
  <c r="S105" i="38"/>
  <c r="AA146" i="14"/>
  <c r="S130" i="38"/>
  <c r="AA95" i="14"/>
  <c r="S79" i="38"/>
  <c r="BA58" i="38"/>
  <c r="AZ58" i="38"/>
  <c r="AA125" i="14"/>
  <c r="S109" i="38"/>
  <c r="AA62" i="14"/>
  <c r="S46" i="38"/>
  <c r="AA111" i="14"/>
  <c r="S95" i="38"/>
  <c r="AA78" i="14"/>
  <c r="S62" i="38"/>
  <c r="AA83" i="14"/>
  <c r="S67" i="38"/>
  <c r="AA115" i="14"/>
  <c r="S99" i="38"/>
  <c r="AA128" i="14"/>
  <c r="S112" i="38"/>
  <c r="AA144" i="14"/>
  <c r="S128" i="38"/>
  <c r="AA99" i="14"/>
  <c r="S83" i="38"/>
  <c r="AA68" i="14"/>
  <c r="S52" i="38"/>
  <c r="AA142" i="14"/>
  <c r="S126" i="38"/>
  <c r="AA134" i="14"/>
  <c r="S118" i="38"/>
  <c r="AZ108" i="38"/>
  <c r="BA108" i="38"/>
  <c r="AA136" i="14"/>
  <c r="S120" i="38"/>
  <c r="AA85" i="14"/>
  <c r="S69" i="38"/>
  <c r="AA158" i="14"/>
  <c r="S142" i="38"/>
  <c r="AA154" i="14"/>
  <c r="S138" i="38"/>
  <c r="AA127" i="14"/>
  <c r="S111" i="38"/>
  <c r="AA130" i="14"/>
  <c r="S114" i="38"/>
  <c r="AA103" i="14"/>
  <c r="S87" i="38"/>
  <c r="AA147" i="14"/>
  <c r="S131" i="38"/>
  <c r="AA101" i="14"/>
  <c r="S85" i="38"/>
  <c r="AA88" i="14"/>
  <c r="S72" i="38"/>
  <c r="AA131" i="14"/>
  <c r="S115" i="38"/>
  <c r="AA77" i="14"/>
  <c r="S61" i="38"/>
  <c r="AA67" i="14"/>
  <c r="S51" i="38"/>
  <c r="AA89" i="14"/>
  <c r="S73" i="38"/>
  <c r="AA139" i="14"/>
  <c r="S123" i="38"/>
  <c r="AA155" i="14"/>
  <c r="S139" i="38"/>
  <c r="AR60" i="14"/>
  <c r="T44" i="38"/>
  <c r="AA149" i="14"/>
  <c r="S133" i="38"/>
  <c r="Q59" i="15"/>
  <c r="AA153" i="14"/>
  <c r="S137" i="38"/>
  <c r="AA97" i="14"/>
  <c r="S81" i="38"/>
  <c r="AA114" i="14"/>
  <c r="S98" i="38"/>
  <c r="AZ80" i="38"/>
  <c r="BA80" i="38"/>
  <c r="AA157" i="14"/>
  <c r="S141" i="38"/>
  <c r="AA108" i="14"/>
  <c r="S92" i="38"/>
  <c r="AA112" i="14"/>
  <c r="S96" i="38"/>
  <c r="AA141" i="14"/>
  <c r="S125" i="38"/>
  <c r="AA107" i="14"/>
  <c r="S91" i="38"/>
  <c r="AA63" i="14"/>
  <c r="S47" i="38"/>
  <c r="AA79" i="14"/>
  <c r="S63" i="38"/>
  <c r="AA106" i="14"/>
  <c r="S90" i="38"/>
  <c r="AZ44" i="38"/>
  <c r="BA44" i="38"/>
  <c r="BA77" i="38"/>
  <c r="AZ77" i="38"/>
  <c r="AZ144" i="38"/>
  <c r="BA144" i="38"/>
  <c r="AA66" i="14"/>
  <c r="S50" i="38"/>
  <c r="AA145" i="14"/>
  <c r="S129" i="38"/>
  <c r="AA110" i="14"/>
  <c r="S94" i="38"/>
  <c r="AA105" i="14"/>
  <c r="S89" i="38"/>
  <c r="AA150" i="14"/>
  <c r="S134" i="38"/>
  <c r="AA151" i="14"/>
  <c r="S135" i="38"/>
  <c r="AA69" i="14"/>
  <c r="S53" i="38"/>
  <c r="AA87" i="14"/>
  <c r="S71" i="38"/>
  <c r="AA135" i="14"/>
  <c r="S119" i="38"/>
  <c r="AA140" i="14"/>
  <c r="S124" i="38"/>
  <c r="AA84" i="14"/>
  <c r="S68" i="38"/>
  <c r="AA152" i="14"/>
  <c r="S136" i="38"/>
  <c r="AA61" i="14"/>
  <c r="S45" i="38"/>
  <c r="AA76" i="14"/>
  <c r="S60" i="38"/>
  <c r="AA156" i="14"/>
  <c r="S140" i="38"/>
  <c r="AA81" i="14"/>
  <c r="S65" i="38"/>
  <c r="AA132" i="14"/>
  <c r="S116" i="38"/>
  <c r="AA75" i="14"/>
  <c r="S59" i="38"/>
  <c r="AA80" i="14"/>
  <c r="S64" i="38"/>
  <c r="AA148" i="14"/>
  <c r="S132" i="38"/>
  <c r="AA72" i="14"/>
  <c r="S56" i="38"/>
  <c r="AA91" i="14"/>
  <c r="S75" i="38"/>
  <c r="AA133" i="14"/>
  <c r="S117" i="38"/>
  <c r="AA143" i="14"/>
  <c r="S127" i="38"/>
  <c r="AA102" i="14"/>
  <c r="S86" i="38"/>
  <c r="AA113" i="14"/>
  <c r="S97" i="38"/>
  <c r="AA64" i="14"/>
  <c r="S48" i="38"/>
  <c r="AA137" i="14"/>
  <c r="S121" i="38"/>
  <c r="BA102" i="38"/>
  <c r="AZ102" i="38"/>
  <c r="AB87" i="14"/>
  <c r="AB101" i="14"/>
  <c r="AB130" i="14"/>
  <c r="AB135" i="14"/>
  <c r="AB103" i="14"/>
  <c r="AB120" i="14"/>
  <c r="AB80" i="14"/>
  <c r="AB136" i="14"/>
  <c r="AB63" i="14"/>
  <c r="AB71" i="14"/>
  <c r="AB149" i="14"/>
  <c r="AB89" i="14"/>
  <c r="AB79" i="14"/>
  <c r="AB88" i="14"/>
  <c r="AB125" i="14"/>
  <c r="AB153" i="14"/>
  <c r="AB111" i="14"/>
  <c r="AB159" i="14"/>
  <c r="AB83" i="14"/>
  <c r="AB98" i="14"/>
  <c r="AB115" i="14"/>
  <c r="AB90" i="14"/>
  <c r="AB143" i="14"/>
  <c r="AB148" i="14"/>
  <c r="AB106" i="14"/>
  <c r="AB151" i="14"/>
  <c r="AB69" i="14"/>
  <c r="AB66" i="14"/>
  <c r="AB76" i="14"/>
  <c r="AB110" i="14"/>
  <c r="AB61" i="14"/>
  <c r="AB72" i="14"/>
  <c r="AB105" i="14"/>
  <c r="AB97" i="14"/>
  <c r="AB70" i="14"/>
  <c r="AB142" i="14"/>
  <c r="AB92" i="14"/>
  <c r="AB108" i="14"/>
  <c r="AB131" i="14"/>
  <c r="AB157" i="14"/>
  <c r="AB112" i="14"/>
  <c r="AB141" i="14"/>
  <c r="AB113" i="14"/>
  <c r="AB102" i="14"/>
  <c r="AB154" i="14"/>
  <c r="AB75" i="14"/>
  <c r="AB140" i="14"/>
  <c r="AB146" i="14"/>
  <c r="AB122" i="14"/>
  <c r="AB119" i="14"/>
  <c r="AB144" i="14"/>
  <c r="AB81" i="14"/>
  <c r="AB158" i="14"/>
  <c r="AB65" i="14"/>
  <c r="AB155" i="14"/>
  <c r="AB77" i="14"/>
  <c r="AB107" i="14"/>
  <c r="AB138" i="14"/>
  <c r="AB94" i="14"/>
  <c r="AB156" i="14"/>
  <c r="AB85" i="14"/>
  <c r="AB100" i="14"/>
  <c r="AB137" i="14"/>
  <c r="AB123" i="14"/>
  <c r="AB121" i="14"/>
  <c r="AB117" i="14"/>
  <c r="AB95" i="14"/>
  <c r="AB132" i="14"/>
  <c r="AB129" i="14"/>
  <c r="AB133" i="14"/>
  <c r="AB126" i="14"/>
  <c r="AB152" i="14"/>
  <c r="HN124" i="14"/>
  <c r="AB127" i="14"/>
  <c r="AB96" i="14"/>
  <c r="AB147" i="14"/>
  <c r="AB62" i="14"/>
  <c r="HN93" i="14"/>
  <c r="HN118" i="14"/>
  <c r="HN160" i="14"/>
  <c r="AR74" i="14"/>
  <c r="IW74" i="14"/>
  <c r="BH118" i="14"/>
  <c r="IW118" i="14"/>
  <c r="AR160" i="14"/>
  <c r="IW160" i="14"/>
  <c r="IX160" i="14" s="1"/>
  <c r="IZ160" i="14" s="1"/>
  <c r="AR93" i="14"/>
  <c r="IW93" i="14"/>
  <c r="IW60" i="14"/>
  <c r="AR124" i="14"/>
  <c r="IW124" i="14"/>
  <c r="BH86" i="14"/>
  <c r="IW86" i="14"/>
  <c r="BH74" i="14"/>
  <c r="GX67" i="14"/>
  <c r="HN67" i="14" s="1"/>
  <c r="GX113" i="14"/>
  <c r="HN113" i="14" s="1"/>
  <c r="GX97" i="14"/>
  <c r="HF97" i="14" s="1"/>
  <c r="GX80" i="14"/>
  <c r="HF80" i="14" s="1"/>
  <c r="GX103" i="14"/>
  <c r="HN103" i="14" s="1"/>
  <c r="GX96" i="14"/>
  <c r="HF96" i="14" s="1"/>
  <c r="GX133" i="14"/>
  <c r="HN133" i="14" s="1"/>
  <c r="GX92" i="14"/>
  <c r="HF92" i="14" s="1"/>
  <c r="GX61" i="14"/>
  <c r="HF61" i="14" s="1"/>
  <c r="GX117" i="14"/>
  <c r="HN117" i="14" s="1"/>
  <c r="GX79" i="14"/>
  <c r="HF79" i="14" s="1"/>
  <c r="GX64" i="14"/>
  <c r="HN64" i="14" s="1"/>
  <c r="BH124" i="14"/>
  <c r="AZ74" i="14"/>
  <c r="GX127" i="14"/>
  <c r="HN127" i="14" s="1"/>
  <c r="GX114" i="14"/>
  <c r="HF114" i="14" s="1"/>
  <c r="GX154" i="14"/>
  <c r="HF154" i="14" s="1"/>
  <c r="GX75" i="14"/>
  <c r="HF75" i="14" s="1"/>
  <c r="GX159" i="14"/>
  <c r="HN159" i="14" s="1"/>
  <c r="GX104" i="14"/>
  <c r="HF104" i="14" s="1"/>
  <c r="GX135" i="14"/>
  <c r="HF135" i="14" s="1"/>
  <c r="GX85" i="14"/>
  <c r="HN85" i="14" s="1"/>
  <c r="GX90" i="14"/>
  <c r="HF90" i="14" s="1"/>
  <c r="GX99" i="14"/>
  <c r="HF99" i="14" s="1"/>
  <c r="GX81" i="14"/>
  <c r="HF81" i="14" s="1"/>
  <c r="AZ124" i="14"/>
  <c r="AZ118" i="14"/>
  <c r="BH93" i="14"/>
  <c r="GX136" i="14"/>
  <c r="HN136" i="14" s="1"/>
  <c r="GX73" i="14"/>
  <c r="HF73" i="14" s="1"/>
  <c r="GX148" i="14"/>
  <c r="HF148" i="14" s="1"/>
  <c r="GX82" i="14"/>
  <c r="HN82" i="14" s="1"/>
  <c r="GX111" i="14"/>
  <c r="HF111" i="14" s="1"/>
  <c r="GX138" i="14"/>
  <c r="HF138" i="14" s="1"/>
  <c r="GX157" i="14"/>
  <c r="HN157" i="14" s="1"/>
  <c r="GX122" i="14"/>
  <c r="HF122" i="14" s="1"/>
  <c r="GX94" i="14"/>
  <c r="HN94" i="14" s="1"/>
  <c r="GX110" i="14"/>
  <c r="HF110" i="14" s="1"/>
  <c r="GX125" i="14"/>
  <c r="HF125" i="14" s="1"/>
  <c r="GX121" i="14"/>
  <c r="HN121" i="14" s="1"/>
  <c r="GX139" i="14"/>
  <c r="HF139" i="14" s="1"/>
  <c r="GX95" i="14"/>
  <c r="HN95" i="14" s="1"/>
  <c r="GX65" i="14"/>
  <c r="HN65" i="14" s="1"/>
  <c r="AR118" i="14"/>
  <c r="AZ93" i="14"/>
  <c r="GX109" i="14"/>
  <c r="HN109" i="14" s="1"/>
  <c r="AA96" i="14"/>
  <c r="AC96" i="14" s="1"/>
  <c r="GX120" i="14"/>
  <c r="HN120" i="14" s="1"/>
  <c r="GX152" i="14"/>
  <c r="HN152" i="14" s="1"/>
  <c r="GX158" i="14"/>
  <c r="HF158" i="14" s="1"/>
  <c r="GX150" i="14"/>
  <c r="HF150" i="14" s="1"/>
  <c r="GX88" i="14"/>
  <c r="HF88" i="14" s="1"/>
  <c r="GX130" i="14"/>
  <c r="HN130" i="14" s="1"/>
  <c r="GX151" i="14"/>
  <c r="HF151" i="14" s="1"/>
  <c r="GX87" i="14"/>
  <c r="HF87" i="14" s="1"/>
  <c r="GX70" i="14"/>
  <c r="HF70" i="14" s="1"/>
  <c r="GX144" i="14"/>
  <c r="HN144" i="14" s="1"/>
  <c r="GX84" i="14"/>
  <c r="HN84" i="14" s="1"/>
  <c r="GX98" i="14"/>
  <c r="HF98" i="14" s="1"/>
  <c r="GX71" i="14"/>
  <c r="HF71" i="14" s="1"/>
  <c r="HN74" i="14"/>
  <c r="AZ160" i="14"/>
  <c r="GX131" i="14"/>
  <c r="HF131" i="14" s="1"/>
  <c r="GX69" i="14"/>
  <c r="HF69" i="14" s="1"/>
  <c r="GX119" i="14"/>
  <c r="HF119" i="14" s="1"/>
  <c r="GX76" i="14"/>
  <c r="HN76" i="14" s="1"/>
  <c r="GX147" i="14"/>
  <c r="HN147" i="14" s="1"/>
  <c r="GX78" i="14"/>
  <c r="HN78" i="14" s="1"/>
  <c r="GX129" i="14"/>
  <c r="HN129" i="14" s="1"/>
  <c r="GX112" i="14"/>
  <c r="HF112" i="14" s="1"/>
  <c r="GX141" i="14"/>
  <c r="HF141" i="14" s="1"/>
  <c r="GX89" i="14"/>
  <c r="HN89" i="14" s="1"/>
  <c r="GX115" i="14"/>
  <c r="HF115" i="14" s="1"/>
  <c r="GX140" i="14"/>
  <c r="HN140" i="14" s="1"/>
  <c r="GX63" i="14"/>
  <c r="HF63" i="14" s="1"/>
  <c r="GX66" i="14"/>
  <c r="HN66" i="14" s="1"/>
  <c r="GX146" i="14"/>
  <c r="HF146" i="14" s="1"/>
  <c r="GX153" i="14"/>
  <c r="HF153" i="14" s="1"/>
  <c r="GX134" i="14"/>
  <c r="HN134" i="14" s="1"/>
  <c r="GX106" i="14"/>
  <c r="HF106" i="14" s="1"/>
  <c r="BH160" i="14"/>
  <c r="AZ60" i="14"/>
  <c r="AZ86" i="14"/>
  <c r="GX101" i="14"/>
  <c r="HN101" i="14" s="1"/>
  <c r="GX145" i="14"/>
  <c r="HN145" i="14" s="1"/>
  <c r="GX77" i="14"/>
  <c r="HN77" i="14" s="1"/>
  <c r="GX108" i="14"/>
  <c r="HF108" i="14" s="1"/>
  <c r="GX156" i="14"/>
  <c r="HF156" i="14" s="1"/>
  <c r="GX128" i="14"/>
  <c r="HN128" i="14" s="1"/>
  <c r="GX126" i="14"/>
  <c r="HN126" i="14" s="1"/>
  <c r="GX102" i="14"/>
  <c r="HF102" i="14" s="1"/>
  <c r="GX100" i="14"/>
  <c r="HF100" i="14" s="1"/>
  <c r="HN86" i="14"/>
  <c r="BH60" i="14"/>
  <c r="AR86" i="14"/>
  <c r="GX142" i="14"/>
  <c r="HF142" i="14" s="1"/>
  <c r="GX149" i="14"/>
  <c r="HF149" i="14" s="1"/>
  <c r="GX62" i="14"/>
  <c r="HF62" i="14" s="1"/>
  <c r="GX72" i="14"/>
  <c r="HN72" i="14" s="1"/>
  <c r="GX132" i="14"/>
  <c r="HN132" i="14" s="1"/>
  <c r="GX116" i="14"/>
  <c r="HN116" i="14" s="1"/>
  <c r="GX91" i="14"/>
  <c r="HN91" i="14" s="1"/>
  <c r="GX83" i="14"/>
  <c r="HN83" i="14" s="1"/>
  <c r="GX143" i="14"/>
  <c r="HN143" i="14" s="1"/>
  <c r="GX107" i="14"/>
  <c r="HF107" i="14" s="1"/>
  <c r="GX123" i="14"/>
  <c r="HN123" i="14" s="1"/>
  <c r="GX105" i="14"/>
  <c r="HF105" i="14" s="1"/>
  <c r="GX68" i="14"/>
  <c r="HF68" i="14" s="1"/>
  <c r="GX155" i="14"/>
  <c r="HN155" i="14" s="1"/>
  <c r="GX137" i="14"/>
  <c r="HF137" i="14" s="1"/>
  <c r="G23" i="6"/>
  <c r="H23" i="6" s="1"/>
  <c r="G109" i="6"/>
  <c r="H109" i="6" s="1"/>
  <c r="G77" i="6"/>
  <c r="H77" i="6" s="1"/>
  <c r="G28" i="6"/>
  <c r="H28" i="6" s="1"/>
  <c r="G73" i="6"/>
  <c r="H73" i="6" s="1"/>
  <c r="G65" i="6"/>
  <c r="H65" i="6" s="1"/>
  <c r="G112" i="6"/>
  <c r="H112" i="6" s="1"/>
  <c r="G94" i="6"/>
  <c r="H94" i="6" s="1"/>
  <c r="G51" i="6"/>
  <c r="H51" i="6" s="1"/>
  <c r="G104" i="6"/>
  <c r="H104" i="6" s="1"/>
  <c r="G59" i="6"/>
  <c r="H59" i="6" s="1"/>
  <c r="G85" i="6"/>
  <c r="H85" i="6" s="1"/>
  <c r="G90" i="6"/>
  <c r="H90" i="6" s="1"/>
  <c r="G48" i="6"/>
  <c r="H48" i="6" s="1"/>
  <c r="G115" i="6"/>
  <c r="H115" i="6" s="1"/>
  <c r="G22" i="6"/>
  <c r="H22" i="6" s="1"/>
  <c r="G45" i="6"/>
  <c r="H45" i="6" s="1"/>
  <c r="G82" i="6"/>
  <c r="H82" i="6" s="1"/>
  <c r="G40" i="6"/>
  <c r="H40" i="6" s="1"/>
  <c r="G92" i="6"/>
  <c r="H92" i="6" s="1"/>
  <c r="G26" i="6"/>
  <c r="H26" i="6" s="1"/>
  <c r="G87" i="6"/>
  <c r="H87" i="6" s="1"/>
  <c r="G84" i="6"/>
  <c r="H84" i="6" s="1"/>
  <c r="D9" i="6"/>
  <c r="G79" i="6"/>
  <c r="H79" i="6" s="1"/>
  <c r="G38" i="6"/>
  <c r="H38" i="6" s="1"/>
  <c r="G76" i="6"/>
  <c r="H76" i="6" s="1"/>
  <c r="G74" i="6"/>
  <c r="H74" i="6" s="1"/>
  <c r="G96" i="6"/>
  <c r="H96" i="6" s="1"/>
  <c r="G117" i="6"/>
  <c r="H117" i="6" s="1"/>
  <c r="G102" i="6"/>
  <c r="H102" i="6" s="1"/>
  <c r="G93" i="6"/>
  <c r="H93" i="6" s="1"/>
  <c r="G29" i="6"/>
  <c r="H29" i="6" s="1"/>
  <c r="G68" i="6"/>
  <c r="H68" i="6" s="1"/>
  <c r="G99" i="6"/>
  <c r="H99" i="6" s="1"/>
  <c r="G35" i="6"/>
  <c r="H35" i="6" s="1"/>
  <c r="G66" i="6"/>
  <c r="H66" i="6" s="1"/>
  <c r="G113" i="6"/>
  <c r="H113" i="6" s="1"/>
  <c r="G49" i="6"/>
  <c r="H49" i="6" s="1"/>
  <c r="G88" i="6"/>
  <c r="H88" i="6" s="1"/>
  <c r="G24" i="6"/>
  <c r="H24" i="6" s="1"/>
  <c r="G63" i="6"/>
  <c r="H63" i="6" s="1"/>
  <c r="G37" i="6"/>
  <c r="H37" i="6" s="1"/>
  <c r="G107" i="6"/>
  <c r="H107" i="6" s="1"/>
  <c r="G20" i="6"/>
  <c r="H20" i="6" s="1"/>
  <c r="G57" i="6"/>
  <c r="H57" i="6" s="1"/>
  <c r="G71" i="6"/>
  <c r="H71" i="6" s="1"/>
  <c r="G53" i="6"/>
  <c r="H53" i="6" s="1"/>
  <c r="G70" i="6"/>
  <c r="H70" i="6" s="1"/>
  <c r="G61" i="6"/>
  <c r="H61" i="6" s="1"/>
  <c r="G21" i="6"/>
  <c r="H21" i="6" s="1"/>
  <c r="G60" i="6"/>
  <c r="H60" i="6" s="1"/>
  <c r="G91" i="6"/>
  <c r="H91" i="6" s="1"/>
  <c r="G27" i="6"/>
  <c r="H27" i="6" s="1"/>
  <c r="G58" i="6"/>
  <c r="H58" i="6" s="1"/>
  <c r="G105" i="6"/>
  <c r="H105" i="6" s="1"/>
  <c r="G41" i="6"/>
  <c r="H41" i="6" s="1"/>
  <c r="G80" i="6"/>
  <c r="H80" i="6" s="1"/>
  <c r="G119" i="6"/>
  <c r="H119" i="6" s="1"/>
  <c r="G55" i="6"/>
  <c r="H55" i="6" s="1"/>
  <c r="G62" i="6"/>
  <c r="H62" i="6" s="1"/>
  <c r="G43" i="6"/>
  <c r="H43" i="6" s="1"/>
  <c r="G32" i="6"/>
  <c r="H32" i="6" s="1"/>
  <c r="G110" i="6"/>
  <c r="H110" i="6" s="1"/>
  <c r="G30" i="6"/>
  <c r="H30" i="6" s="1"/>
  <c r="G118" i="6"/>
  <c r="H118" i="6" s="1"/>
  <c r="G116" i="6"/>
  <c r="H116" i="6" s="1"/>
  <c r="G52" i="6"/>
  <c r="H52" i="6" s="1"/>
  <c r="G83" i="6"/>
  <c r="H83" i="6" s="1"/>
  <c r="G114" i="6"/>
  <c r="H114" i="6" s="1"/>
  <c r="G50" i="6"/>
  <c r="H50" i="6" s="1"/>
  <c r="G97" i="6"/>
  <c r="H97" i="6" s="1"/>
  <c r="G33" i="6"/>
  <c r="H33" i="6" s="1"/>
  <c r="G72" i="6"/>
  <c r="H72" i="6" s="1"/>
  <c r="G111" i="6"/>
  <c r="H111" i="6" s="1"/>
  <c r="G47" i="6"/>
  <c r="H47" i="6" s="1"/>
  <c r="G78" i="6"/>
  <c r="H78" i="6" s="1"/>
  <c r="G101" i="6"/>
  <c r="H101" i="6" s="1"/>
  <c r="G86" i="6"/>
  <c r="H86" i="6" s="1"/>
  <c r="G108" i="6"/>
  <c r="H108" i="6" s="1"/>
  <c r="G44" i="6"/>
  <c r="H44" i="6" s="1"/>
  <c r="G75" i="6"/>
  <c r="H75" i="6" s="1"/>
  <c r="G106" i="6"/>
  <c r="H106" i="6" s="1"/>
  <c r="G42" i="6"/>
  <c r="H42" i="6" s="1"/>
  <c r="G89" i="6"/>
  <c r="H89" i="6" s="1"/>
  <c r="G25" i="6"/>
  <c r="H25" i="6" s="1"/>
  <c r="G64" i="6"/>
  <c r="H64" i="6" s="1"/>
  <c r="G103" i="6"/>
  <c r="H103" i="6" s="1"/>
  <c r="G39" i="6"/>
  <c r="H39" i="6" s="1"/>
  <c r="G46" i="6"/>
  <c r="H46" i="6" s="1"/>
  <c r="G69" i="6"/>
  <c r="H69" i="6" s="1"/>
  <c r="G54" i="6"/>
  <c r="H54" i="6" s="1"/>
  <c r="G100" i="6"/>
  <c r="H100" i="6" s="1"/>
  <c r="G36" i="6"/>
  <c r="H36" i="6" s="1"/>
  <c r="G67" i="6"/>
  <c r="H67" i="6" s="1"/>
  <c r="G98" i="6"/>
  <c r="H98" i="6" s="1"/>
  <c r="G34" i="6"/>
  <c r="H34" i="6" s="1"/>
  <c r="G81" i="6"/>
  <c r="H81" i="6" s="1"/>
  <c r="G120" i="6"/>
  <c r="H120" i="6" s="1"/>
  <c r="G56" i="6"/>
  <c r="H56" i="6" s="1"/>
  <c r="G95" i="6"/>
  <c r="H95" i="6" s="1"/>
  <c r="HN122" i="14"/>
  <c r="EV150" i="14"/>
  <c r="EN150" i="14"/>
  <c r="FD150" i="14"/>
  <c r="FD96" i="14"/>
  <c r="EN96" i="14"/>
  <c r="EV96" i="14"/>
  <c r="FD120" i="14"/>
  <c r="EN120" i="14"/>
  <c r="EV120" i="14"/>
  <c r="EV144" i="14"/>
  <c r="FD144" i="14"/>
  <c r="EN144" i="14"/>
  <c r="EV127" i="14"/>
  <c r="EN127" i="14"/>
  <c r="FD127" i="14"/>
  <c r="EN119" i="14"/>
  <c r="EV119" i="14"/>
  <c r="FD119" i="14"/>
  <c r="EN113" i="14"/>
  <c r="FD113" i="14"/>
  <c r="EV113" i="14"/>
  <c r="EV154" i="14"/>
  <c r="FD154" i="14"/>
  <c r="EN154" i="14"/>
  <c r="FD103" i="14"/>
  <c r="EV103" i="14"/>
  <c r="EN103" i="14"/>
  <c r="EV116" i="14"/>
  <c r="FD116" i="14"/>
  <c r="EN116" i="14"/>
  <c r="EV104" i="14"/>
  <c r="FD104" i="14"/>
  <c r="EN104" i="14"/>
  <c r="EN143" i="14"/>
  <c r="EV143" i="14"/>
  <c r="FD143" i="14"/>
  <c r="EV110" i="14"/>
  <c r="FD110" i="14"/>
  <c r="EN110" i="14"/>
  <c r="EV107" i="14"/>
  <c r="FD107" i="14"/>
  <c r="EN107" i="14"/>
  <c r="EN90" i="14"/>
  <c r="EV90" i="14"/>
  <c r="FD90" i="14"/>
  <c r="EV114" i="14"/>
  <c r="EN114" i="14"/>
  <c r="FD114" i="14"/>
  <c r="EV88" i="14"/>
  <c r="FD88" i="14"/>
  <c r="EN88" i="14"/>
  <c r="FD111" i="14"/>
  <c r="EV111" i="14"/>
  <c r="EN111" i="14"/>
  <c r="EN157" i="14"/>
  <c r="EV157" i="14"/>
  <c r="FD157" i="14"/>
  <c r="EN70" i="14"/>
  <c r="EV70" i="14"/>
  <c r="FD70" i="14"/>
  <c r="EV105" i="14"/>
  <c r="EN105" i="14"/>
  <c r="FD105" i="14"/>
  <c r="FD102" i="14"/>
  <c r="EN102" i="14"/>
  <c r="EV102" i="14"/>
  <c r="EV158" i="14"/>
  <c r="EN158" i="14"/>
  <c r="FD158" i="14"/>
  <c r="EV71" i="14"/>
  <c r="EN71" i="14"/>
  <c r="FD71" i="14"/>
  <c r="HN60" i="14"/>
  <c r="EV100" i="14"/>
  <c r="EN100" i="14"/>
  <c r="FD100" i="14"/>
  <c r="EV87" i="14"/>
  <c r="FD87" i="14"/>
  <c r="EN87" i="14"/>
  <c r="EN136" i="14"/>
  <c r="EV136" i="14"/>
  <c r="FD136" i="14"/>
  <c r="EN112" i="14"/>
  <c r="EV112" i="14"/>
  <c r="FD112" i="14"/>
  <c r="EN125" i="14"/>
  <c r="FD125" i="14"/>
  <c r="EV125" i="14"/>
  <c r="EV61" i="14"/>
  <c r="EN61" i="14"/>
  <c r="FD61" i="14"/>
  <c r="FD121" i="14"/>
  <c r="EV121" i="14"/>
  <c r="EN121" i="14"/>
  <c r="FD142" i="14"/>
  <c r="EN142" i="14"/>
  <c r="EV142" i="14"/>
  <c r="EN79" i="14"/>
  <c r="EV79" i="14"/>
  <c r="FD79" i="14"/>
  <c r="EN65" i="14"/>
  <c r="EV65" i="14"/>
  <c r="FD65" i="14"/>
  <c r="EV147" i="14"/>
  <c r="FD147" i="14"/>
  <c r="EN147" i="14"/>
  <c r="EN130" i="14"/>
  <c r="FD130" i="14"/>
  <c r="EV130" i="14"/>
  <c r="EV132" i="14"/>
  <c r="FD132" i="14"/>
  <c r="EN132" i="14"/>
  <c r="FD138" i="14"/>
  <c r="EN138" i="14"/>
  <c r="EV138" i="14"/>
  <c r="EV73" i="14"/>
  <c r="EN73" i="14"/>
  <c r="FD73" i="14"/>
  <c r="EN115" i="14"/>
  <c r="EV115" i="14"/>
  <c r="FD115" i="14"/>
  <c r="EN139" i="14"/>
  <c r="EV139" i="14"/>
  <c r="FD139" i="14"/>
  <c r="EV80" i="14"/>
  <c r="FD80" i="14"/>
  <c r="EN80" i="14"/>
  <c r="FD77" i="14"/>
  <c r="EN77" i="14"/>
  <c r="EV77" i="14"/>
  <c r="EV92" i="14"/>
  <c r="EN92" i="14"/>
  <c r="FD92" i="14"/>
  <c r="FD152" i="14"/>
  <c r="EV152" i="14"/>
  <c r="EN152" i="14"/>
  <c r="FD149" i="14"/>
  <c r="EN149" i="14"/>
  <c r="EV149" i="14"/>
  <c r="EV76" i="14"/>
  <c r="FD76" i="14"/>
  <c r="EN76" i="14"/>
  <c r="EN67" i="14"/>
  <c r="EV67" i="14"/>
  <c r="FD67" i="14"/>
  <c r="EN141" i="14"/>
  <c r="EV141" i="14"/>
  <c r="FD141" i="14"/>
  <c r="FD89" i="14"/>
  <c r="EN89" i="14"/>
  <c r="EV89" i="14"/>
  <c r="FD85" i="14"/>
  <c r="EN85" i="14"/>
  <c r="EV85" i="14"/>
  <c r="EV140" i="14"/>
  <c r="EN140" i="14"/>
  <c r="FD140" i="14"/>
  <c r="EV84" i="14"/>
  <c r="FD84" i="14"/>
  <c r="EN84" i="14"/>
  <c r="FD81" i="14"/>
  <c r="EN81" i="14"/>
  <c r="EV81" i="14"/>
  <c r="FD117" i="14"/>
  <c r="EN117" i="14"/>
  <c r="EV117" i="14"/>
  <c r="EV153" i="14"/>
  <c r="EN153" i="14"/>
  <c r="FD153" i="14"/>
  <c r="FD64" i="14"/>
  <c r="EN64" i="14"/>
  <c r="EV64" i="14"/>
  <c r="EN131" i="14"/>
  <c r="EV131" i="14"/>
  <c r="FD131" i="14"/>
  <c r="EN69" i="14"/>
  <c r="EV69" i="14"/>
  <c r="FD69" i="14"/>
  <c r="EN63" i="14"/>
  <c r="EV63" i="14"/>
  <c r="FD63" i="14"/>
  <c r="FD68" i="14"/>
  <c r="EN68" i="14"/>
  <c r="EV68" i="14"/>
  <c r="EN98" i="14"/>
  <c r="FD98" i="14"/>
  <c r="EV98" i="14"/>
  <c r="EV148" i="14"/>
  <c r="FD148" i="14"/>
  <c r="EN148" i="14"/>
  <c r="FD72" i="14"/>
  <c r="EN72" i="14"/>
  <c r="EV72" i="14"/>
  <c r="EV82" i="14"/>
  <c r="EN82" i="14"/>
  <c r="FD82" i="14"/>
  <c r="FD78" i="14"/>
  <c r="EN78" i="14"/>
  <c r="EV78" i="14"/>
  <c r="EN75" i="14"/>
  <c r="EV75" i="14"/>
  <c r="FD75" i="14"/>
  <c r="EN129" i="14"/>
  <c r="EV129" i="14"/>
  <c r="FD129" i="14"/>
  <c r="EV159" i="14"/>
  <c r="FD159" i="14"/>
  <c r="EN159" i="14"/>
  <c r="EV156" i="14"/>
  <c r="FD156" i="14"/>
  <c r="EN156" i="14"/>
  <c r="FD128" i="14"/>
  <c r="EN128" i="14"/>
  <c r="EV128" i="14"/>
  <c r="EV126" i="14"/>
  <c r="EN126" i="14"/>
  <c r="FD126" i="14"/>
  <c r="FD99" i="14"/>
  <c r="EN99" i="14"/>
  <c r="EV99" i="14"/>
  <c r="EV66" i="14"/>
  <c r="FD66" i="14"/>
  <c r="EN66" i="14"/>
  <c r="EV146" i="14"/>
  <c r="FD146" i="14"/>
  <c r="EN146" i="14"/>
  <c r="EV95" i="14"/>
  <c r="EN95" i="14"/>
  <c r="FD95" i="14"/>
  <c r="FD134" i="14"/>
  <c r="EN134" i="14"/>
  <c r="EV134" i="14"/>
  <c r="EN106" i="14"/>
  <c r="EV106" i="14"/>
  <c r="FD106" i="14"/>
  <c r="FD101" i="14"/>
  <c r="EN101" i="14"/>
  <c r="EV101" i="14"/>
  <c r="EV123" i="14"/>
  <c r="EN123" i="14"/>
  <c r="FD123" i="14"/>
  <c r="FD97" i="14"/>
  <c r="EV97" i="14"/>
  <c r="EN97" i="14"/>
  <c r="EN109" i="14"/>
  <c r="EV109" i="14"/>
  <c r="FD109" i="14"/>
  <c r="FD108" i="14"/>
  <c r="EN108" i="14"/>
  <c r="EV108" i="14"/>
  <c r="EN62" i="14"/>
  <c r="EV62" i="14"/>
  <c r="FD62" i="14"/>
  <c r="EV151" i="14"/>
  <c r="FD151" i="14"/>
  <c r="EN151" i="14"/>
  <c r="EN122" i="14"/>
  <c r="EV122" i="14"/>
  <c r="FD122" i="14"/>
  <c r="FD133" i="14"/>
  <c r="EN133" i="14"/>
  <c r="EV133" i="14"/>
  <c r="FD145" i="14"/>
  <c r="EN145" i="14"/>
  <c r="EV145" i="14"/>
  <c r="FD91" i="14"/>
  <c r="EN91" i="14"/>
  <c r="EV91" i="14"/>
  <c r="FD83" i="14"/>
  <c r="EN83" i="14"/>
  <c r="EV83" i="14"/>
  <c r="FD94" i="14"/>
  <c r="EN94" i="14"/>
  <c r="EV94" i="14"/>
  <c r="FD135" i="14"/>
  <c r="EN135" i="14"/>
  <c r="EV135" i="14"/>
  <c r="EN155" i="14"/>
  <c r="EV155" i="14"/>
  <c r="FD155" i="14"/>
  <c r="EV137" i="14"/>
  <c r="EN137" i="14"/>
  <c r="FD137" i="14"/>
  <c r="AC124" i="14"/>
  <c r="AD124" i="14" s="1"/>
  <c r="AC74" i="14"/>
  <c r="AD74" i="14" s="1"/>
  <c r="AC118" i="14"/>
  <c r="AD118" i="14" s="1"/>
  <c r="AC86" i="14"/>
  <c r="AD86" i="14" s="1"/>
  <c r="AC93" i="14"/>
  <c r="AD93" i="14" s="1"/>
  <c r="AE160" i="14"/>
  <c r="AC160" i="14"/>
  <c r="AD160" i="14" s="1"/>
  <c r="Z127" i="14"/>
  <c r="T111" i="38" s="1"/>
  <c r="Z80" i="14"/>
  <c r="T64" i="38" s="1"/>
  <c r="Z145" i="14"/>
  <c r="T129" i="38" s="1"/>
  <c r="Z77" i="14"/>
  <c r="T61" i="38" s="1"/>
  <c r="Z67" i="14"/>
  <c r="T51" i="38" s="1"/>
  <c r="Z120" i="14"/>
  <c r="T104" i="38" s="1"/>
  <c r="Z115" i="14"/>
  <c r="T99" i="38" s="1"/>
  <c r="Z156" i="14"/>
  <c r="T140" i="38" s="1"/>
  <c r="Z61" i="14"/>
  <c r="T45" i="38" s="1"/>
  <c r="Z102" i="14"/>
  <c r="T86" i="38" s="1"/>
  <c r="Z158" i="14"/>
  <c r="T142" i="38" s="1"/>
  <c r="Z153" i="14"/>
  <c r="T137" i="38" s="1"/>
  <c r="Z113" i="14"/>
  <c r="T97" i="38" s="1"/>
  <c r="Z97" i="14"/>
  <c r="T81" i="38" s="1"/>
  <c r="Z143" i="14"/>
  <c r="T127" i="38" s="1"/>
  <c r="Z147" i="14"/>
  <c r="T131" i="38" s="1"/>
  <c r="Z109" i="14"/>
  <c r="T93" i="38" s="1"/>
  <c r="Z78" i="14"/>
  <c r="T62" i="38" s="1"/>
  <c r="Z157" i="14"/>
  <c r="T141" i="38" s="1"/>
  <c r="Z110" i="14"/>
  <c r="T94" i="38" s="1"/>
  <c r="Z85" i="14"/>
  <c r="T69" i="38" s="1"/>
  <c r="Z63" i="14"/>
  <c r="T47" i="38" s="1"/>
  <c r="Z148" i="14"/>
  <c r="T132" i="38" s="1"/>
  <c r="Z83" i="14"/>
  <c r="T67" i="38" s="1"/>
  <c r="Z150" i="14"/>
  <c r="T134" i="38" s="1"/>
  <c r="Z88" i="14"/>
  <c r="T72" i="38" s="1"/>
  <c r="Z131" i="14"/>
  <c r="T115" i="38" s="1"/>
  <c r="Z138" i="14"/>
  <c r="T122" i="38" s="1"/>
  <c r="Z116" i="14"/>
  <c r="T100" i="38" s="1"/>
  <c r="Z133" i="14"/>
  <c r="T117" i="38" s="1"/>
  <c r="Z92" i="14"/>
  <c r="T76" i="38" s="1"/>
  <c r="Z125" i="14"/>
  <c r="T109" i="38" s="1"/>
  <c r="Z144" i="14"/>
  <c r="T128" i="38" s="1"/>
  <c r="Z100" i="14"/>
  <c r="T84" i="38" s="1"/>
  <c r="Z159" i="14"/>
  <c r="T143" i="38" s="1"/>
  <c r="Z71" i="14"/>
  <c r="T55" i="38" s="1"/>
  <c r="Z114" i="14"/>
  <c r="T98" i="38" s="1"/>
  <c r="Z130" i="14"/>
  <c r="T114" i="38" s="1"/>
  <c r="Z82" i="14"/>
  <c r="T66" i="38" s="1"/>
  <c r="Z103" i="14"/>
  <c r="T87" i="38" s="1"/>
  <c r="Z136" i="14"/>
  <c r="T120" i="38" s="1"/>
  <c r="Z90" i="14"/>
  <c r="T74" i="38" s="1"/>
  <c r="Z142" i="14"/>
  <c r="T126" i="38" s="1"/>
  <c r="Z155" i="14"/>
  <c r="T139" i="38" s="1"/>
  <c r="Z95" i="14"/>
  <c r="T79" i="38" s="1"/>
  <c r="Z79" i="14"/>
  <c r="T63" i="38" s="1"/>
  <c r="Z149" i="14"/>
  <c r="T133" i="38" s="1"/>
  <c r="Z65" i="14"/>
  <c r="T49" i="38" s="1"/>
  <c r="Z121" i="14"/>
  <c r="T105" i="38" s="1"/>
  <c r="Z154" i="14"/>
  <c r="T138" i="38" s="1"/>
  <c r="Z62" i="14"/>
  <c r="T46" i="38" s="1"/>
  <c r="Z72" i="14"/>
  <c r="T56" i="38" s="1"/>
  <c r="Z151" i="14"/>
  <c r="T135" i="38" s="1"/>
  <c r="Z132" i="14"/>
  <c r="T116" i="38" s="1"/>
  <c r="Z75" i="14"/>
  <c r="T59" i="38" s="1"/>
  <c r="Z96" i="14"/>
  <c r="T80" i="38" s="1"/>
  <c r="Z69" i="14"/>
  <c r="T53" i="38" s="1"/>
  <c r="Z87" i="14"/>
  <c r="T71" i="38" s="1"/>
  <c r="Z108" i="14"/>
  <c r="T92" i="38" s="1"/>
  <c r="Z129" i="14"/>
  <c r="T113" i="38" s="1"/>
  <c r="Z94" i="14"/>
  <c r="T78" i="38" s="1"/>
  <c r="Z104" i="14"/>
  <c r="T88" i="38" s="1"/>
  <c r="Z107" i="14"/>
  <c r="T91" i="38" s="1"/>
  <c r="Z128" i="14"/>
  <c r="T112" i="38" s="1"/>
  <c r="Z84" i="14"/>
  <c r="T68" i="38" s="1"/>
  <c r="Z126" i="14"/>
  <c r="T110" i="38" s="1"/>
  <c r="Z152" i="14"/>
  <c r="T136" i="38" s="1"/>
  <c r="Z146" i="14"/>
  <c r="T130" i="38" s="1"/>
  <c r="Z81" i="14"/>
  <c r="T65" i="38" s="1"/>
  <c r="Z76" i="14"/>
  <c r="T60" i="38" s="1"/>
  <c r="Z101" i="14"/>
  <c r="T85" i="38" s="1"/>
  <c r="Z122" i="14"/>
  <c r="T106" i="38" s="1"/>
  <c r="Z112" i="14"/>
  <c r="T96" i="38" s="1"/>
  <c r="Z89" i="14"/>
  <c r="T73" i="38" s="1"/>
  <c r="Z135" i="14"/>
  <c r="T119" i="38" s="1"/>
  <c r="Z66" i="14"/>
  <c r="T50" i="38" s="1"/>
  <c r="Z139" i="14"/>
  <c r="T123" i="38" s="1"/>
  <c r="Z117" i="14"/>
  <c r="T101" i="38" s="1"/>
  <c r="Z98" i="14"/>
  <c r="T82" i="38" s="1"/>
  <c r="Z134" i="14"/>
  <c r="T118" i="38" s="1"/>
  <c r="Z64" i="14"/>
  <c r="T48" i="38" s="1"/>
  <c r="Z106" i="14"/>
  <c r="T90" i="38" s="1"/>
  <c r="Z137" i="14"/>
  <c r="T121" i="38" s="1"/>
  <c r="Z119" i="14"/>
  <c r="T103" i="38" s="1"/>
  <c r="Z111" i="14"/>
  <c r="T95" i="38" s="1"/>
  <c r="Z91" i="14"/>
  <c r="T75" i="38" s="1"/>
  <c r="Z73" i="14"/>
  <c r="T57" i="38" s="1"/>
  <c r="Z141" i="14"/>
  <c r="T125" i="38" s="1"/>
  <c r="Z70" i="14"/>
  <c r="T54" i="38" s="1"/>
  <c r="Z140" i="14"/>
  <c r="T124" i="38" s="1"/>
  <c r="Z123" i="14"/>
  <c r="T107" i="38" s="1"/>
  <c r="Z105" i="14"/>
  <c r="T89" i="38" s="1"/>
  <c r="Z99" i="14"/>
  <c r="T83" i="38" s="1"/>
  <c r="Z68" i="14"/>
  <c r="T52" i="38" s="1"/>
  <c r="H31" i="6"/>
  <c r="L53" i="43" l="1"/>
  <c r="N51" i="43"/>
  <c r="AF50" i="43"/>
  <c r="N55" i="43" s="1"/>
  <c r="HF82" i="14"/>
  <c r="BA140" i="38"/>
  <c r="AZ140" i="38"/>
  <c r="AZ91" i="38"/>
  <c r="BA91" i="38"/>
  <c r="BA141" i="38"/>
  <c r="AZ141" i="38"/>
  <c r="AZ137" i="38"/>
  <c r="BA137" i="38"/>
  <c r="AZ55" i="38"/>
  <c r="BA55" i="38"/>
  <c r="AZ107" i="38"/>
  <c r="BA107" i="38"/>
  <c r="AZ100" i="38"/>
  <c r="BA100" i="38"/>
  <c r="BA86" i="38"/>
  <c r="AZ86" i="38"/>
  <c r="AZ56" i="38"/>
  <c r="BA56" i="38"/>
  <c r="BA116" i="38"/>
  <c r="AZ116" i="38"/>
  <c r="BA45" i="38"/>
  <c r="AZ45" i="38"/>
  <c r="AZ119" i="38"/>
  <c r="BA119" i="38"/>
  <c r="AZ134" i="38"/>
  <c r="BA134" i="38"/>
  <c r="BA123" i="38"/>
  <c r="AZ123" i="38"/>
  <c r="AZ115" i="38"/>
  <c r="BA115" i="38"/>
  <c r="BA87" i="38"/>
  <c r="AZ87" i="38"/>
  <c r="AZ142" i="38"/>
  <c r="BA142" i="38"/>
  <c r="BA118" i="38"/>
  <c r="AZ118" i="38"/>
  <c r="AZ128" i="38"/>
  <c r="BA128" i="38"/>
  <c r="BA62" i="38"/>
  <c r="AZ62" i="38"/>
  <c r="BA110" i="38"/>
  <c r="AZ110" i="38"/>
  <c r="BA76" i="38"/>
  <c r="AZ76" i="38"/>
  <c r="BA106" i="38"/>
  <c r="AZ106" i="38"/>
  <c r="AF160" i="14"/>
  <c r="GM160" i="14" s="1"/>
  <c r="GN160" i="14" s="1"/>
  <c r="AZ50" i="38"/>
  <c r="BA50" i="38"/>
  <c r="AZ90" i="38"/>
  <c r="BA90" i="38"/>
  <c r="AZ125" i="38"/>
  <c r="BA125" i="38"/>
  <c r="BA84" i="38"/>
  <c r="AZ84" i="38"/>
  <c r="AZ88" i="38"/>
  <c r="BA88" i="38"/>
  <c r="BA122" i="38"/>
  <c r="AZ122" i="38"/>
  <c r="AZ53" i="38"/>
  <c r="BA53" i="38"/>
  <c r="BA121" i="38"/>
  <c r="AZ121" i="38"/>
  <c r="AZ127" i="38"/>
  <c r="BA127" i="38"/>
  <c r="AZ132" i="38"/>
  <c r="BA132" i="38"/>
  <c r="BA65" i="38"/>
  <c r="AZ65" i="38"/>
  <c r="BA136" i="38"/>
  <c r="AZ136" i="38"/>
  <c r="AZ71" i="38"/>
  <c r="BA71" i="38"/>
  <c r="AZ89" i="38"/>
  <c r="BA89" i="38"/>
  <c r="BA133" i="38"/>
  <c r="AZ133" i="38"/>
  <c r="BA73" i="38"/>
  <c r="AZ73" i="38"/>
  <c r="BA72" i="38"/>
  <c r="AZ72" i="38"/>
  <c r="AZ114" i="38"/>
  <c r="BA114" i="38"/>
  <c r="AZ69" i="38"/>
  <c r="BA69" i="38"/>
  <c r="BA126" i="38"/>
  <c r="AZ126" i="38"/>
  <c r="BA112" i="38"/>
  <c r="AZ112" i="38"/>
  <c r="BA95" i="38"/>
  <c r="AZ95" i="38"/>
  <c r="BA79" i="38"/>
  <c r="AZ79" i="38"/>
  <c r="AZ74" i="38"/>
  <c r="BA74" i="38"/>
  <c r="BA78" i="38"/>
  <c r="AZ78" i="38"/>
  <c r="AZ94" i="38"/>
  <c r="BA94" i="38"/>
  <c r="HN96" i="14"/>
  <c r="BA63" i="38"/>
  <c r="AZ63" i="38"/>
  <c r="AZ96" i="38"/>
  <c r="BA96" i="38"/>
  <c r="BA98" i="38"/>
  <c r="AZ98" i="38"/>
  <c r="AZ82" i="38"/>
  <c r="BA82" i="38"/>
  <c r="BA104" i="38"/>
  <c r="AZ104" i="38"/>
  <c r="AZ93" i="38"/>
  <c r="BA93" i="38"/>
  <c r="BA48" i="38"/>
  <c r="AZ48" i="38"/>
  <c r="BA64" i="38"/>
  <c r="AZ64" i="38"/>
  <c r="BA68" i="38"/>
  <c r="AZ68" i="38"/>
  <c r="AZ51" i="38"/>
  <c r="BA51" i="38"/>
  <c r="BA85" i="38"/>
  <c r="AZ85" i="38"/>
  <c r="AZ111" i="38"/>
  <c r="BA111" i="38"/>
  <c r="BA120" i="38"/>
  <c r="AZ120" i="38"/>
  <c r="BA52" i="38"/>
  <c r="AZ52" i="38"/>
  <c r="BA99" i="38"/>
  <c r="AZ99" i="38"/>
  <c r="AZ46" i="38"/>
  <c r="BA46" i="38"/>
  <c r="AZ130" i="38"/>
  <c r="BA130" i="38"/>
  <c r="AZ103" i="38"/>
  <c r="BA103" i="38"/>
  <c r="BA113" i="38"/>
  <c r="AZ113" i="38"/>
  <c r="AZ117" i="38"/>
  <c r="BA117" i="38"/>
  <c r="HF91" i="14"/>
  <c r="AZ47" i="38"/>
  <c r="BA47" i="38"/>
  <c r="AZ92" i="38"/>
  <c r="BA92" i="38"/>
  <c r="AZ81" i="38"/>
  <c r="BA81" i="38"/>
  <c r="AZ49" i="38"/>
  <c r="BA49" i="38"/>
  <c r="BA101" i="38"/>
  <c r="AZ101" i="38"/>
  <c r="BA143" i="38"/>
  <c r="AZ143" i="38"/>
  <c r="BA57" i="38"/>
  <c r="AZ57" i="38"/>
  <c r="BA97" i="38"/>
  <c r="AZ97" i="38"/>
  <c r="AZ75" i="38"/>
  <c r="BA75" i="38"/>
  <c r="AZ59" i="38"/>
  <c r="BA59" i="38"/>
  <c r="AZ60" i="38"/>
  <c r="BA60" i="38"/>
  <c r="BA124" i="38"/>
  <c r="AZ124" i="38"/>
  <c r="AZ135" i="38"/>
  <c r="BA135" i="38"/>
  <c r="BA129" i="38"/>
  <c r="AZ129" i="38"/>
  <c r="BA139" i="38"/>
  <c r="AZ139" i="38"/>
  <c r="BA61" i="38"/>
  <c r="AZ61" i="38"/>
  <c r="AZ131" i="38"/>
  <c r="BA131" i="38"/>
  <c r="BA138" i="38"/>
  <c r="AZ138" i="38"/>
  <c r="AZ83" i="38"/>
  <c r="BA83" i="38"/>
  <c r="BA67" i="38"/>
  <c r="AZ67" i="38"/>
  <c r="AZ109" i="38"/>
  <c r="BA109" i="38"/>
  <c r="BA105" i="38"/>
  <c r="AZ105" i="38"/>
  <c r="AZ54" i="38"/>
  <c r="BA54" i="38"/>
  <c r="AZ66" i="38"/>
  <c r="BA66" i="38"/>
  <c r="HN156" i="14"/>
  <c r="F20" i="6"/>
  <c r="J20" i="6"/>
  <c r="U20" i="6" s="1"/>
  <c r="HF121" i="14"/>
  <c r="HN90" i="14"/>
  <c r="HF101" i="14"/>
  <c r="HF132" i="14"/>
  <c r="HN63" i="14"/>
  <c r="HF159" i="14"/>
  <c r="HN102" i="14"/>
  <c r="HF65" i="14"/>
  <c r="HN151" i="14"/>
  <c r="HF147" i="14"/>
  <c r="HF157" i="14"/>
  <c r="HN137" i="14"/>
  <c r="HF127" i="14"/>
  <c r="HN80" i="14"/>
  <c r="HF84" i="14"/>
  <c r="HN108" i="14"/>
  <c r="HN125" i="14"/>
  <c r="HF113" i="14"/>
  <c r="HN92" i="14"/>
  <c r="HN141" i="14"/>
  <c r="HN158" i="14"/>
  <c r="HF134" i="14"/>
  <c r="HN148" i="14"/>
  <c r="HN62" i="14"/>
  <c r="HF72" i="14"/>
  <c r="HN153" i="14"/>
  <c r="HN146" i="14"/>
  <c r="HN142" i="14"/>
  <c r="HF152" i="14"/>
  <c r="HF144" i="14"/>
  <c r="HN105" i="14"/>
  <c r="HF76" i="14"/>
  <c r="HF133" i="14"/>
  <c r="HN104" i="14"/>
  <c r="HF94" i="14"/>
  <c r="HF83" i="14"/>
  <c r="HN87" i="14"/>
  <c r="HF78" i="14"/>
  <c r="HN69" i="14"/>
  <c r="HN88" i="14"/>
  <c r="HF89" i="14"/>
  <c r="HN106" i="14"/>
  <c r="HF103" i="14"/>
  <c r="HN98" i="14"/>
  <c r="HN99" i="14"/>
  <c r="HN114" i="14"/>
  <c r="HN79" i="14"/>
  <c r="HN150" i="14"/>
  <c r="HF109" i="14"/>
  <c r="HF143" i="14"/>
  <c r="HN139" i="14"/>
  <c r="HF129" i="14"/>
  <c r="HN119" i="14"/>
  <c r="HN110" i="14"/>
  <c r="HN135" i="14"/>
  <c r="HN81" i="14"/>
  <c r="HF64" i="14"/>
  <c r="HF95" i="14"/>
  <c r="HF120" i="14"/>
  <c r="HF145" i="14"/>
  <c r="HN115" i="14"/>
  <c r="HN68" i="14"/>
  <c r="HN70" i="14"/>
  <c r="HN71" i="14"/>
  <c r="HN73" i="14"/>
  <c r="HF128" i="14"/>
  <c r="HF67" i="14"/>
  <c r="HN149" i="14"/>
  <c r="HN107" i="14"/>
  <c r="HF116" i="14"/>
  <c r="HF140" i="14"/>
  <c r="HF85" i="14"/>
  <c r="HF136" i="14"/>
  <c r="HF155" i="14"/>
  <c r="HF126" i="14"/>
  <c r="HF77" i="14"/>
  <c r="HF130" i="14"/>
  <c r="HN111" i="14"/>
  <c r="HN138" i="14"/>
  <c r="AZ105" i="14"/>
  <c r="IW105" i="14"/>
  <c r="BH119" i="14"/>
  <c r="IW119" i="14"/>
  <c r="AZ66" i="14"/>
  <c r="IW66" i="14"/>
  <c r="AZ146" i="14"/>
  <c r="IW146" i="14"/>
  <c r="AZ129" i="14"/>
  <c r="IW129" i="14"/>
  <c r="AR72" i="14"/>
  <c r="IW72" i="14"/>
  <c r="AZ155" i="14"/>
  <c r="IW155" i="14"/>
  <c r="AR71" i="14"/>
  <c r="IW71" i="14"/>
  <c r="AZ138" i="14"/>
  <c r="IW138" i="14"/>
  <c r="AZ110" i="14"/>
  <c r="IW110" i="14"/>
  <c r="AZ153" i="14"/>
  <c r="IW153" i="14"/>
  <c r="BH77" i="14"/>
  <c r="IW77" i="14"/>
  <c r="AR123" i="14"/>
  <c r="IW123" i="14"/>
  <c r="BH137" i="14"/>
  <c r="IW137" i="14"/>
  <c r="BH135" i="14"/>
  <c r="IW135" i="14"/>
  <c r="AR152" i="14"/>
  <c r="IW152" i="14"/>
  <c r="AR108" i="14"/>
  <c r="IW108" i="14"/>
  <c r="AZ62" i="14"/>
  <c r="IW62" i="14"/>
  <c r="BH142" i="14"/>
  <c r="IW142" i="14"/>
  <c r="BH159" i="14"/>
  <c r="IW159" i="14"/>
  <c r="AZ131" i="14"/>
  <c r="IW131" i="14"/>
  <c r="AZ157" i="14"/>
  <c r="IW157" i="14"/>
  <c r="AR158" i="14"/>
  <c r="IW158" i="14"/>
  <c r="AR145" i="14"/>
  <c r="IW145" i="14"/>
  <c r="AR140" i="14"/>
  <c r="IW140" i="14"/>
  <c r="AZ106" i="14"/>
  <c r="IW106" i="14"/>
  <c r="BH89" i="14"/>
  <c r="IW89" i="14"/>
  <c r="BH126" i="14"/>
  <c r="IW126" i="14"/>
  <c r="BH87" i="14"/>
  <c r="IW87" i="14"/>
  <c r="AZ154" i="14"/>
  <c r="IW154" i="14"/>
  <c r="AZ90" i="14"/>
  <c r="IW90" i="14"/>
  <c r="AR100" i="14"/>
  <c r="IW100" i="14"/>
  <c r="AR88" i="14"/>
  <c r="IW88" i="14"/>
  <c r="BH78" i="14"/>
  <c r="IW78" i="14"/>
  <c r="BH102" i="14"/>
  <c r="IW102" i="14"/>
  <c r="BH80" i="14"/>
  <c r="IW80" i="14"/>
  <c r="BH70" i="14"/>
  <c r="IW70" i="14"/>
  <c r="AZ64" i="14"/>
  <c r="IW64" i="14"/>
  <c r="AR112" i="14"/>
  <c r="IW112" i="14"/>
  <c r="AR84" i="14"/>
  <c r="IW84" i="14"/>
  <c r="AZ69" i="14"/>
  <c r="IW69" i="14"/>
  <c r="AZ121" i="14"/>
  <c r="IW121" i="14"/>
  <c r="AZ136" i="14"/>
  <c r="IW136" i="14"/>
  <c r="BH144" i="14"/>
  <c r="IW144" i="14"/>
  <c r="AR150" i="14"/>
  <c r="IW150" i="14"/>
  <c r="AR109" i="14"/>
  <c r="IW109" i="14"/>
  <c r="BH61" i="14"/>
  <c r="IW61" i="14"/>
  <c r="AR127" i="14"/>
  <c r="IW127" i="14"/>
  <c r="BH134" i="14"/>
  <c r="IW134" i="14"/>
  <c r="BH128" i="14"/>
  <c r="IW128" i="14"/>
  <c r="AZ96" i="14"/>
  <c r="IW96" i="14"/>
  <c r="AZ65" i="14"/>
  <c r="IW65" i="14"/>
  <c r="BH103" i="14"/>
  <c r="IW103" i="14"/>
  <c r="AR125" i="14"/>
  <c r="IW125" i="14"/>
  <c r="AZ83" i="14"/>
  <c r="IW83" i="14"/>
  <c r="BH147" i="14"/>
  <c r="IW147" i="14"/>
  <c r="AR156" i="14"/>
  <c r="IW156" i="14"/>
  <c r="AR141" i="14"/>
  <c r="IW141" i="14"/>
  <c r="AR98" i="14"/>
  <c r="IW98" i="14"/>
  <c r="AR107" i="14"/>
  <c r="IW107" i="14"/>
  <c r="AR75" i="14"/>
  <c r="IW75" i="14"/>
  <c r="AZ149" i="14"/>
  <c r="IW149" i="14"/>
  <c r="AZ82" i="14"/>
  <c r="IW82" i="14"/>
  <c r="AR92" i="14"/>
  <c r="IW92" i="14"/>
  <c r="AZ148" i="14"/>
  <c r="IW148" i="14"/>
  <c r="AZ143" i="14"/>
  <c r="IW143" i="14"/>
  <c r="BH115" i="14"/>
  <c r="IW115" i="14"/>
  <c r="AZ122" i="14"/>
  <c r="IW122" i="14"/>
  <c r="AZ73" i="14"/>
  <c r="IW73" i="14"/>
  <c r="AR101" i="14"/>
  <c r="IW101" i="14"/>
  <c r="AZ68" i="14"/>
  <c r="IW68" i="14"/>
  <c r="AZ91" i="14"/>
  <c r="IW91" i="14"/>
  <c r="BH117" i="14"/>
  <c r="IW117" i="14"/>
  <c r="AR76" i="14"/>
  <c r="IW76" i="14"/>
  <c r="AR104" i="14"/>
  <c r="IW104" i="14"/>
  <c r="AR132" i="14"/>
  <c r="IW132" i="14"/>
  <c r="BH79" i="14"/>
  <c r="IW79" i="14"/>
  <c r="AZ130" i="14"/>
  <c r="IW130" i="14"/>
  <c r="AR133" i="14"/>
  <c r="IW133" i="14"/>
  <c r="BH63" i="14"/>
  <c r="IW63" i="14"/>
  <c r="AR97" i="14"/>
  <c r="IW97" i="14"/>
  <c r="AR120" i="14"/>
  <c r="IW120" i="14"/>
  <c r="AR99" i="14"/>
  <c r="IW99" i="14"/>
  <c r="BH111" i="14"/>
  <c r="IW111" i="14"/>
  <c r="AR139" i="14"/>
  <c r="IW139" i="14"/>
  <c r="AZ81" i="14"/>
  <c r="IW81" i="14"/>
  <c r="BH94" i="14"/>
  <c r="IW94" i="14"/>
  <c r="BH151" i="14"/>
  <c r="IW151" i="14"/>
  <c r="AZ95" i="14"/>
  <c r="IW95" i="14"/>
  <c r="AZ114" i="14"/>
  <c r="IW114" i="14"/>
  <c r="AR116" i="14"/>
  <c r="IW116" i="14"/>
  <c r="AR85" i="14"/>
  <c r="IW85" i="14"/>
  <c r="AR113" i="14"/>
  <c r="IW113" i="14"/>
  <c r="BH67" i="14"/>
  <c r="IW67" i="14"/>
  <c r="BH127" i="14"/>
  <c r="AR95" i="14"/>
  <c r="BH158" i="14"/>
  <c r="BH133" i="14"/>
  <c r="AR143" i="14"/>
  <c r="AR130" i="14"/>
  <c r="AZ135" i="14"/>
  <c r="AR148" i="14"/>
  <c r="AZ79" i="14"/>
  <c r="BH97" i="14"/>
  <c r="AZ151" i="14"/>
  <c r="AZ89" i="14"/>
  <c r="AR110" i="14"/>
  <c r="BH140" i="14"/>
  <c r="BH98" i="14"/>
  <c r="AR157" i="14"/>
  <c r="BH123" i="14"/>
  <c r="BH150" i="14"/>
  <c r="AZ137" i="14"/>
  <c r="AZ75" i="14"/>
  <c r="AR114" i="14"/>
  <c r="BH113" i="14"/>
  <c r="BH107" i="14"/>
  <c r="AZ104" i="14"/>
  <c r="AR69" i="14"/>
  <c r="AR77" i="14"/>
  <c r="BH91" i="14"/>
  <c r="AR61" i="14"/>
  <c r="BH112" i="14"/>
  <c r="AR68" i="14"/>
  <c r="AZ67" i="14"/>
  <c r="AR62" i="14"/>
  <c r="AZ102" i="14"/>
  <c r="BH145" i="14"/>
  <c r="BH71" i="14"/>
  <c r="AR115" i="14"/>
  <c r="HN97" i="14"/>
  <c r="HF123" i="14"/>
  <c r="HN112" i="14"/>
  <c r="BH104" i="14"/>
  <c r="AZ133" i="14"/>
  <c r="BH69" i="14"/>
  <c r="AZ147" i="14"/>
  <c r="AR106" i="14"/>
  <c r="AZ140" i="14"/>
  <c r="BH143" i="14"/>
  <c r="AZ80" i="14"/>
  <c r="AZ98" i="14"/>
  <c r="AZ126" i="14"/>
  <c r="AZ144" i="14"/>
  <c r="BH130" i="14"/>
  <c r="BH76" i="14"/>
  <c r="AR102" i="14"/>
  <c r="AR79" i="14"/>
  <c r="AZ94" i="14"/>
  <c r="AR122" i="14"/>
  <c r="AZ145" i="14"/>
  <c r="AR91" i="14"/>
  <c r="AZ97" i="14"/>
  <c r="AZ61" i="14"/>
  <c r="AR135" i="14"/>
  <c r="AZ112" i="14"/>
  <c r="AZ78" i="14"/>
  <c r="AR151" i="14"/>
  <c r="BH114" i="14"/>
  <c r="AZ63" i="14"/>
  <c r="AZ115" i="14"/>
  <c r="BH95" i="14"/>
  <c r="BH110" i="14"/>
  <c r="AR67" i="14"/>
  <c r="AZ111" i="14"/>
  <c r="AZ113" i="14"/>
  <c r="AR81" i="14"/>
  <c r="BH152" i="14"/>
  <c r="AZ123" i="14"/>
  <c r="AZ107" i="14"/>
  <c r="BH62" i="14"/>
  <c r="AR96" i="14"/>
  <c r="AR147" i="14"/>
  <c r="BH106" i="14"/>
  <c r="AR83" i="14"/>
  <c r="AR80" i="14"/>
  <c r="BH139" i="14"/>
  <c r="AR126" i="14"/>
  <c r="AR144" i="14"/>
  <c r="AZ76" i="14"/>
  <c r="AR94" i="14"/>
  <c r="BH122" i="14"/>
  <c r="AR66" i="14"/>
  <c r="AZ128" i="14"/>
  <c r="AR129" i="14"/>
  <c r="AR78" i="14"/>
  <c r="AR63" i="14"/>
  <c r="BH92" i="14"/>
  <c r="AR111" i="14"/>
  <c r="AR65" i="14"/>
  <c r="BH100" i="14"/>
  <c r="BH81" i="14"/>
  <c r="AZ152" i="14"/>
  <c r="AZ125" i="14"/>
  <c r="BH136" i="14"/>
  <c r="BH154" i="14"/>
  <c r="HF117" i="14"/>
  <c r="HN131" i="14"/>
  <c r="HN100" i="14"/>
  <c r="HN75" i="14"/>
  <c r="AZ134" i="14"/>
  <c r="BH156" i="14"/>
  <c r="AR73" i="14"/>
  <c r="BH96" i="14"/>
  <c r="AR146" i="14"/>
  <c r="BH83" i="14"/>
  <c r="BH109" i="14"/>
  <c r="AZ139" i="14"/>
  <c r="AZ72" i="14"/>
  <c r="BH66" i="14"/>
  <c r="AR128" i="14"/>
  <c r="BH129" i="14"/>
  <c r="AZ117" i="14"/>
  <c r="AZ92" i="14"/>
  <c r="AR105" i="14"/>
  <c r="BH65" i="14"/>
  <c r="AZ100" i="14"/>
  <c r="BH125" i="14"/>
  <c r="AR136" i="14"/>
  <c r="AR154" i="14"/>
  <c r="BH155" i="14"/>
  <c r="AR134" i="14"/>
  <c r="AZ156" i="14"/>
  <c r="BH73" i="14"/>
  <c r="BH149" i="14"/>
  <c r="BH146" i="14"/>
  <c r="AZ109" i="14"/>
  <c r="BH84" i="14"/>
  <c r="AZ120" i="14"/>
  <c r="BH72" i="14"/>
  <c r="AR138" i="14"/>
  <c r="AR117" i="14"/>
  <c r="BH85" i="14"/>
  <c r="AR64" i="14"/>
  <c r="BH141" i="14"/>
  <c r="BH116" i="14"/>
  <c r="BH88" i="14"/>
  <c r="BH105" i="14"/>
  <c r="AZ142" i="14"/>
  <c r="AR90" i="14"/>
  <c r="BH131" i="14"/>
  <c r="AR155" i="14"/>
  <c r="HN61" i="14"/>
  <c r="HF66" i="14"/>
  <c r="HN154" i="14"/>
  <c r="AZ103" i="14"/>
  <c r="BH132" i="14"/>
  <c r="AR149" i="14"/>
  <c r="AZ84" i="14"/>
  <c r="BH120" i="14"/>
  <c r="AR82" i="14"/>
  <c r="AR153" i="14"/>
  <c r="AR121" i="14"/>
  <c r="BH138" i="14"/>
  <c r="BH99" i="14"/>
  <c r="AZ70" i="14"/>
  <c r="AZ87" i="14"/>
  <c r="AZ101" i="14"/>
  <c r="AZ85" i="14"/>
  <c r="BH64" i="14"/>
  <c r="AZ141" i="14"/>
  <c r="AZ116" i="14"/>
  <c r="AZ88" i="14"/>
  <c r="AR142" i="14"/>
  <c r="BH90" i="14"/>
  <c r="AZ119" i="14"/>
  <c r="AZ159" i="14"/>
  <c r="BH108" i="14"/>
  <c r="AR131" i="14"/>
  <c r="AZ158" i="14"/>
  <c r="AR103" i="14"/>
  <c r="AZ150" i="14"/>
  <c r="AZ132" i="14"/>
  <c r="AR137" i="14"/>
  <c r="AZ127" i="14"/>
  <c r="BH82" i="14"/>
  <c r="BH148" i="14"/>
  <c r="BH153" i="14"/>
  <c r="BH121" i="14"/>
  <c r="AR89" i="14"/>
  <c r="AZ77" i="14"/>
  <c r="AZ71" i="14"/>
  <c r="AZ99" i="14"/>
  <c r="AR70" i="14"/>
  <c r="AR87" i="14"/>
  <c r="BH75" i="14"/>
  <c r="BH101" i="14"/>
  <c r="BH68" i="14"/>
  <c r="BH157" i="14"/>
  <c r="AR119" i="14"/>
  <c r="AR159" i="14"/>
  <c r="AZ108" i="14"/>
  <c r="F26" i="6"/>
  <c r="I69" i="6"/>
  <c r="J69" i="6" s="1"/>
  <c r="I21" i="6"/>
  <c r="J21" i="6" s="1"/>
  <c r="U21" i="6" s="1"/>
  <c r="I59" i="6"/>
  <c r="J59" i="6" s="1"/>
  <c r="I94" i="6"/>
  <c r="J94" i="6" s="1"/>
  <c r="I99" i="6"/>
  <c r="J99" i="6" s="1"/>
  <c r="I58" i="6"/>
  <c r="J58" i="6" s="1"/>
  <c r="I98" i="6"/>
  <c r="J98" i="6" s="1"/>
  <c r="I44" i="6"/>
  <c r="J44" i="6" s="1"/>
  <c r="I26" i="6"/>
  <c r="J26" i="6" s="1"/>
  <c r="F27" i="6"/>
  <c r="I37" i="6"/>
  <c r="J37" i="6" s="1"/>
  <c r="I78" i="6"/>
  <c r="J78" i="6" s="1"/>
  <c r="I82" i="6"/>
  <c r="J82" i="6" s="1"/>
  <c r="I96" i="6"/>
  <c r="J96" i="6" s="1"/>
  <c r="I22" i="6"/>
  <c r="J22" i="6" s="1"/>
  <c r="I57" i="6"/>
  <c r="J57" i="6" s="1"/>
  <c r="I40" i="6"/>
  <c r="J40" i="6" s="1"/>
  <c r="I113" i="6"/>
  <c r="J113" i="6" s="1"/>
  <c r="I112" i="6"/>
  <c r="J112" i="6" s="1"/>
  <c r="F104" i="6"/>
  <c r="AD96" i="14"/>
  <c r="IY160" i="14"/>
  <c r="JA160" i="14" s="1"/>
  <c r="JB160" i="14" s="1"/>
  <c r="AC135" i="14"/>
  <c r="AD135" i="14" s="1"/>
  <c r="AC111" i="14"/>
  <c r="AD111" i="14" s="1"/>
  <c r="AC157" i="14"/>
  <c r="AD157" i="14" s="1"/>
  <c r="AC64" i="14"/>
  <c r="AD64" i="14" s="1"/>
  <c r="AC89" i="14"/>
  <c r="AD89" i="14" s="1"/>
  <c r="AC70" i="14"/>
  <c r="AD70" i="14" s="1"/>
  <c r="AC107" i="14"/>
  <c r="AD107" i="14" s="1"/>
  <c r="AC99" i="14"/>
  <c r="AD99" i="14" s="1"/>
  <c r="AC68" i="14"/>
  <c r="AD68" i="14" s="1"/>
  <c r="AC139" i="14"/>
  <c r="AD139" i="14" s="1"/>
  <c r="AC71" i="14"/>
  <c r="AD71" i="14" s="1"/>
  <c r="AC67" i="14"/>
  <c r="AD67" i="14" s="1"/>
  <c r="AC134" i="14"/>
  <c r="AD134" i="14" s="1"/>
  <c r="AC83" i="14"/>
  <c r="AD83" i="14" s="1"/>
  <c r="AC80" i="14"/>
  <c r="AD80" i="14" s="1"/>
  <c r="AC98" i="14"/>
  <c r="AD98" i="14" s="1"/>
  <c r="AC158" i="14"/>
  <c r="AD158" i="14" s="1"/>
  <c r="AC66" i="14"/>
  <c r="AD66" i="14" s="1"/>
  <c r="AC110" i="14"/>
  <c r="AD110" i="14" s="1"/>
  <c r="AC81" i="14"/>
  <c r="AD81" i="14" s="1"/>
  <c r="AC65" i="14"/>
  <c r="AD65" i="14" s="1"/>
  <c r="AC94" i="14"/>
  <c r="AD94" i="14" s="1"/>
  <c r="AC147" i="14"/>
  <c r="AD147" i="14" s="1"/>
  <c r="AC100" i="14"/>
  <c r="AD100" i="14" s="1"/>
  <c r="AC90" i="14"/>
  <c r="AD90" i="14" s="1"/>
  <c r="AC136" i="14"/>
  <c r="AD136" i="14" s="1"/>
  <c r="AC140" i="14"/>
  <c r="AD140" i="14" s="1"/>
  <c r="AC84" i="14"/>
  <c r="AD84" i="14" s="1"/>
  <c r="AC103" i="14"/>
  <c r="AD103" i="14" s="1"/>
  <c r="AC141" i="14"/>
  <c r="AD141" i="14" s="1"/>
  <c r="AC130" i="14"/>
  <c r="AD130" i="14" s="1"/>
  <c r="AC129" i="14"/>
  <c r="AD129" i="14" s="1"/>
  <c r="AC78" i="14"/>
  <c r="AD78" i="14" s="1"/>
  <c r="AC154" i="14"/>
  <c r="AD154" i="14" s="1"/>
  <c r="AC97" i="14"/>
  <c r="AD97" i="14" s="1"/>
  <c r="AC116" i="14"/>
  <c r="AD116" i="14" s="1"/>
  <c r="AC148" i="14"/>
  <c r="AD148" i="14" s="1"/>
  <c r="AC149" i="14"/>
  <c r="AD149" i="14" s="1"/>
  <c r="AC142" i="14"/>
  <c r="AD142" i="14" s="1"/>
  <c r="AC144" i="14"/>
  <c r="AD144" i="14" s="1"/>
  <c r="AC122" i="14"/>
  <c r="AD122" i="14" s="1"/>
  <c r="AC137" i="14"/>
  <c r="AD137" i="14" s="1"/>
  <c r="AC108" i="14"/>
  <c r="AD108" i="14" s="1"/>
  <c r="AC106" i="14"/>
  <c r="AD106" i="14" s="1"/>
  <c r="AC82" i="14"/>
  <c r="AD82" i="14" s="1"/>
  <c r="AC121" i="14"/>
  <c r="AD121" i="14" s="1"/>
  <c r="AC131" i="14"/>
  <c r="AD131" i="14" s="1"/>
  <c r="AC156" i="14"/>
  <c r="AD156" i="14" s="1"/>
  <c r="AC112" i="14"/>
  <c r="AD112" i="14" s="1"/>
  <c r="AC62" i="14"/>
  <c r="AD62" i="14" s="1"/>
  <c r="AC92" i="14"/>
  <c r="AD92" i="14" s="1"/>
  <c r="AC115" i="14"/>
  <c r="AD115" i="14" s="1"/>
  <c r="AC127" i="14"/>
  <c r="AD127" i="14" s="1"/>
  <c r="AC95" i="14"/>
  <c r="AD95" i="14" s="1"/>
  <c r="AC72" i="14"/>
  <c r="AD72" i="14" s="1"/>
  <c r="AC88" i="14"/>
  <c r="AD88" i="14" s="1"/>
  <c r="AC138" i="14"/>
  <c r="AD138" i="14" s="1"/>
  <c r="AC128" i="14"/>
  <c r="AD128" i="14" s="1"/>
  <c r="AC120" i="14"/>
  <c r="AD120" i="14" s="1"/>
  <c r="AC132" i="14"/>
  <c r="AD132" i="14" s="1"/>
  <c r="AC79" i="14"/>
  <c r="AD79" i="14" s="1"/>
  <c r="AC150" i="14"/>
  <c r="AD150" i="14" s="1"/>
  <c r="AC87" i="14"/>
  <c r="AD87" i="14" s="1"/>
  <c r="AC125" i="14"/>
  <c r="AD125" i="14" s="1"/>
  <c r="AC102" i="14"/>
  <c r="AD102" i="14" s="1"/>
  <c r="AC119" i="14"/>
  <c r="AD119" i="14" s="1"/>
  <c r="AC123" i="14"/>
  <c r="AD123" i="14" s="1"/>
  <c r="AC143" i="14"/>
  <c r="AD143" i="14" s="1"/>
  <c r="AC114" i="14"/>
  <c r="AD114" i="14" s="1"/>
  <c r="AC146" i="14"/>
  <c r="AD146" i="14" s="1"/>
  <c r="AC151" i="14"/>
  <c r="AD151" i="14" s="1"/>
  <c r="AC77" i="14"/>
  <c r="AD77" i="14" s="1"/>
  <c r="AC105" i="14"/>
  <c r="AD105" i="14" s="1"/>
  <c r="AC145" i="14"/>
  <c r="AD145" i="14" s="1"/>
  <c r="AC152" i="14"/>
  <c r="AD152" i="14" s="1"/>
  <c r="AC133" i="14"/>
  <c r="AD133" i="14" s="1"/>
  <c r="AC155" i="14"/>
  <c r="AD155" i="14" s="1"/>
  <c r="AC76" i="14"/>
  <c r="AD76" i="14" s="1"/>
  <c r="AC63" i="14"/>
  <c r="AD63" i="14" s="1"/>
  <c r="AC61" i="14"/>
  <c r="AD61" i="14" s="1"/>
  <c r="AC113" i="14"/>
  <c r="AD113" i="14" s="1"/>
  <c r="AC85" i="14"/>
  <c r="AD85" i="14" s="1"/>
  <c r="AC126" i="14"/>
  <c r="AD126" i="14" s="1"/>
  <c r="AC159" i="14"/>
  <c r="AD159" i="14" s="1"/>
  <c r="AC109" i="14"/>
  <c r="AD109" i="14" s="1"/>
  <c r="AC101" i="14"/>
  <c r="AD101" i="14" s="1"/>
  <c r="AC91" i="14"/>
  <c r="AD91" i="14" s="1"/>
  <c r="AC73" i="14"/>
  <c r="AD73" i="14" s="1"/>
  <c r="AC75" i="14"/>
  <c r="AD75" i="14" s="1"/>
  <c r="AC104" i="14"/>
  <c r="AD104" i="14" s="1"/>
  <c r="AC117" i="14"/>
  <c r="AD117" i="14" s="1"/>
  <c r="AC153" i="14"/>
  <c r="AD153" i="14" s="1"/>
  <c r="AC69" i="14"/>
  <c r="AD69" i="14" s="1"/>
  <c r="I32" i="6"/>
  <c r="J32" i="6" s="1"/>
  <c r="I77" i="6"/>
  <c r="J77" i="6" s="1"/>
  <c r="I41" i="6"/>
  <c r="J41" i="6" s="1"/>
  <c r="I103" i="6"/>
  <c r="J103" i="6" s="1"/>
  <c r="I67" i="6"/>
  <c r="J67" i="6" s="1"/>
  <c r="I27" i="6"/>
  <c r="J27" i="6" s="1"/>
  <c r="I65" i="6"/>
  <c r="J65" i="6" s="1"/>
  <c r="I25" i="6"/>
  <c r="J25" i="6" s="1"/>
  <c r="I55" i="6"/>
  <c r="J55" i="6" s="1"/>
  <c r="I74" i="6"/>
  <c r="J74" i="6" s="1"/>
  <c r="F117" i="6"/>
  <c r="I64" i="6"/>
  <c r="J64" i="6" s="1"/>
  <c r="F68" i="6"/>
  <c r="I62" i="6"/>
  <c r="J62" i="6" s="1"/>
  <c r="I43" i="6"/>
  <c r="J43" i="6" s="1"/>
  <c r="I114" i="6"/>
  <c r="J114" i="6" s="1"/>
  <c r="I29" i="6"/>
  <c r="J29" i="6" s="1"/>
  <c r="I24" i="6"/>
  <c r="J24" i="6" s="1"/>
  <c r="F41" i="6"/>
  <c r="F73" i="6"/>
  <c r="F82" i="6"/>
  <c r="F30" i="6"/>
  <c r="F66" i="6"/>
  <c r="F72" i="6"/>
  <c r="F61" i="6"/>
  <c r="F102" i="6"/>
  <c r="F38" i="6"/>
  <c r="F119" i="6"/>
  <c r="F56" i="6"/>
  <c r="F80" i="6"/>
  <c r="F63" i="6"/>
  <c r="F79" i="6"/>
  <c r="F76" i="6"/>
  <c r="F35" i="6"/>
  <c r="F83" i="6"/>
  <c r="F42" i="6"/>
  <c r="F54" i="6"/>
  <c r="F95" i="6"/>
  <c r="F57" i="6"/>
  <c r="F59" i="6"/>
  <c r="F109" i="6"/>
  <c r="F55" i="6"/>
  <c r="F21" i="6"/>
  <c r="F96" i="6"/>
  <c r="F99" i="6"/>
  <c r="F71" i="6"/>
  <c r="F34" i="6"/>
  <c r="I50" i="6"/>
  <c r="J50" i="6" s="1"/>
  <c r="I35" i="6"/>
  <c r="J35" i="6" s="1"/>
  <c r="I108" i="6"/>
  <c r="J108" i="6" s="1"/>
  <c r="F97" i="6"/>
  <c r="F24" i="6"/>
  <c r="F94" i="6"/>
  <c r="F86" i="6"/>
  <c r="I92" i="6"/>
  <c r="J92" i="6" s="1"/>
  <c r="I83" i="6"/>
  <c r="J83" i="6" s="1"/>
  <c r="I115" i="6"/>
  <c r="J115" i="6" s="1"/>
  <c r="I80" i="6"/>
  <c r="J80" i="6" s="1"/>
  <c r="I49" i="6"/>
  <c r="J49" i="6" s="1"/>
  <c r="I36" i="6"/>
  <c r="J36" i="6" s="1"/>
  <c r="I100" i="6"/>
  <c r="J100" i="6" s="1"/>
  <c r="I111" i="6"/>
  <c r="J111" i="6" s="1"/>
  <c r="I47" i="6"/>
  <c r="J47" i="6" s="1"/>
  <c r="I46" i="6"/>
  <c r="J46" i="6" s="1"/>
  <c r="I119" i="6"/>
  <c r="J119" i="6" s="1"/>
  <c r="F53" i="6"/>
  <c r="F81" i="6"/>
  <c r="F105" i="6"/>
  <c r="F51" i="6"/>
  <c r="F98" i="6"/>
  <c r="F113" i="6"/>
  <c r="F93" i="6"/>
  <c r="F88" i="6"/>
  <c r="F103" i="6"/>
  <c r="F25" i="6"/>
  <c r="F46" i="6"/>
  <c r="F28" i="6"/>
  <c r="F90" i="6"/>
  <c r="I118" i="6"/>
  <c r="J118" i="6" s="1"/>
  <c r="I54" i="6"/>
  <c r="J54" i="6" s="1"/>
  <c r="F33" i="6"/>
  <c r="F36" i="6"/>
  <c r="I34" i="6"/>
  <c r="J34" i="6" s="1"/>
  <c r="F87" i="6"/>
  <c r="F116" i="6"/>
  <c r="F32" i="6"/>
  <c r="F43" i="6"/>
  <c r="I56" i="6"/>
  <c r="J56" i="6" s="1"/>
  <c r="F100" i="6"/>
  <c r="F91" i="6"/>
  <c r="F69" i="6"/>
  <c r="F107" i="6"/>
  <c r="F78" i="6"/>
  <c r="F75" i="6"/>
  <c r="F29" i="6"/>
  <c r="F101" i="6"/>
  <c r="F111" i="6"/>
  <c r="F64" i="6"/>
  <c r="F45" i="6"/>
  <c r="F37" i="6"/>
  <c r="F118" i="6"/>
  <c r="F70" i="6"/>
  <c r="F74" i="6"/>
  <c r="F106" i="6"/>
  <c r="F92" i="6"/>
  <c r="F77" i="6"/>
  <c r="F39" i="6"/>
  <c r="F114" i="6"/>
  <c r="F58" i="6"/>
  <c r="F48" i="6"/>
  <c r="F50" i="6"/>
  <c r="F31" i="6"/>
  <c r="F110" i="6"/>
  <c r="F67" i="6"/>
  <c r="F44" i="6"/>
  <c r="F22" i="6"/>
  <c r="F89" i="6"/>
  <c r="I116" i="6"/>
  <c r="J116" i="6" s="1"/>
  <c r="I97" i="6"/>
  <c r="J97" i="6" s="1"/>
  <c r="I48" i="6"/>
  <c r="J48" i="6" s="1"/>
  <c r="F23" i="6"/>
  <c r="F49" i="6"/>
  <c r="F52" i="6"/>
  <c r="F112" i="6"/>
  <c r="F120" i="6"/>
  <c r="F85" i="6"/>
  <c r="F62" i="6"/>
  <c r="F115" i="6"/>
  <c r="F47" i="6"/>
  <c r="F108" i="6"/>
  <c r="F60" i="6"/>
  <c r="F40" i="6"/>
  <c r="F65" i="6"/>
  <c r="F84" i="6"/>
  <c r="I23" i="6"/>
  <c r="J23" i="6" s="1"/>
  <c r="I51" i="6"/>
  <c r="J51" i="6" s="1"/>
  <c r="I88" i="6"/>
  <c r="J88" i="6" s="1"/>
  <c r="I110" i="6"/>
  <c r="J110" i="6" s="1"/>
  <c r="I86" i="6"/>
  <c r="J86" i="6" s="1"/>
  <c r="I117" i="6"/>
  <c r="J117" i="6" s="1"/>
  <c r="I33" i="6"/>
  <c r="J33" i="6" s="1"/>
  <c r="I53" i="6"/>
  <c r="J53" i="6" s="1"/>
  <c r="I73" i="6"/>
  <c r="J73" i="6" s="1"/>
  <c r="I101" i="6"/>
  <c r="J101" i="6" s="1"/>
  <c r="I91" i="6"/>
  <c r="J91" i="6" s="1"/>
  <c r="I105" i="6"/>
  <c r="J105" i="6" s="1"/>
  <c r="I61" i="6"/>
  <c r="J61" i="6" s="1"/>
  <c r="I89" i="6"/>
  <c r="J89" i="6" s="1"/>
  <c r="I71" i="6"/>
  <c r="J71" i="6" s="1"/>
  <c r="I66" i="6"/>
  <c r="J66" i="6" s="1"/>
  <c r="I75" i="6"/>
  <c r="J75" i="6" s="1"/>
  <c r="I38" i="6"/>
  <c r="J38" i="6" s="1"/>
  <c r="I28" i="6"/>
  <c r="J28" i="6" s="1"/>
  <c r="I60" i="6"/>
  <c r="J60" i="6" s="1"/>
  <c r="I42" i="6"/>
  <c r="J42" i="6" s="1"/>
  <c r="I72" i="6"/>
  <c r="J72" i="6" s="1"/>
  <c r="I87" i="6"/>
  <c r="J87" i="6" s="1"/>
  <c r="I106" i="6"/>
  <c r="J106" i="6" s="1"/>
  <c r="I76" i="6"/>
  <c r="J76" i="6" s="1"/>
  <c r="I104" i="6"/>
  <c r="J104" i="6" s="1"/>
  <c r="I68" i="6"/>
  <c r="J68" i="6" s="1"/>
  <c r="I79" i="6"/>
  <c r="J79" i="6" s="1"/>
  <c r="I63" i="6"/>
  <c r="J63" i="6" s="1"/>
  <c r="I102" i="6"/>
  <c r="J102" i="6" s="1"/>
  <c r="I70" i="6"/>
  <c r="J70" i="6" s="1"/>
  <c r="I81" i="6"/>
  <c r="J81" i="6" s="1"/>
  <c r="I39" i="6"/>
  <c r="J39" i="6" s="1"/>
  <c r="I31" i="6"/>
  <c r="J31" i="6" s="1"/>
  <c r="I120" i="6"/>
  <c r="J120" i="6" s="1"/>
  <c r="I95" i="6"/>
  <c r="J95" i="6" s="1"/>
  <c r="I45" i="6"/>
  <c r="J45" i="6" s="1"/>
  <c r="I85" i="6"/>
  <c r="J85" i="6" s="1"/>
  <c r="I52" i="6"/>
  <c r="J52" i="6" s="1"/>
  <c r="I109" i="6"/>
  <c r="J109" i="6" s="1"/>
  <c r="I93" i="6"/>
  <c r="J93" i="6" s="1"/>
  <c r="I90" i="6"/>
  <c r="J90" i="6" s="1"/>
  <c r="I107" i="6"/>
  <c r="J107" i="6" s="1"/>
  <c r="I84" i="6"/>
  <c r="J84" i="6" s="1"/>
  <c r="I30" i="6"/>
  <c r="J30" i="6" s="1"/>
  <c r="AL160" i="14" l="1"/>
  <c r="AM160" i="14" s="1"/>
  <c r="AO160" i="14" s="1"/>
  <c r="AG160" i="14"/>
  <c r="AH160" i="14" s="1"/>
  <c r="AI160" i="14" s="1"/>
  <c r="BN160" i="14" s="1"/>
  <c r="CA160" i="14" s="1"/>
  <c r="L86" i="6"/>
  <c r="U86" i="6"/>
  <c r="L34" i="6"/>
  <c r="U34" i="6"/>
  <c r="L60" i="6"/>
  <c r="U60" i="6"/>
  <c r="L91" i="6"/>
  <c r="U91" i="6"/>
  <c r="L32" i="6"/>
  <c r="U32" i="6"/>
  <c r="L104" i="6"/>
  <c r="U104" i="6"/>
  <c r="L38" i="6"/>
  <c r="U38" i="6"/>
  <c r="L101" i="6"/>
  <c r="U101" i="6"/>
  <c r="L51" i="6"/>
  <c r="U51" i="6"/>
  <c r="L48" i="6"/>
  <c r="U48" i="6"/>
  <c r="L56" i="6"/>
  <c r="U56" i="6"/>
  <c r="L54" i="6"/>
  <c r="U54" i="6"/>
  <c r="L46" i="6"/>
  <c r="U46" i="6"/>
  <c r="L83" i="6"/>
  <c r="U83" i="6"/>
  <c r="L50" i="6"/>
  <c r="U50" i="6"/>
  <c r="L114" i="6"/>
  <c r="U114" i="6"/>
  <c r="L25" i="6"/>
  <c r="U25" i="6"/>
  <c r="O25" i="6"/>
  <c r="L22" i="6"/>
  <c r="U22" i="6"/>
  <c r="L98" i="6"/>
  <c r="U98" i="6"/>
  <c r="L45" i="6"/>
  <c r="U45" i="6"/>
  <c r="L110" i="6"/>
  <c r="U110" i="6"/>
  <c r="L107" i="6"/>
  <c r="U107" i="6"/>
  <c r="L88" i="6"/>
  <c r="U88" i="6"/>
  <c r="L73" i="6"/>
  <c r="U73" i="6"/>
  <c r="L118" i="6"/>
  <c r="U118" i="6"/>
  <c r="L47" i="6"/>
  <c r="U47" i="6"/>
  <c r="L92" i="6"/>
  <c r="U92" i="6"/>
  <c r="L43" i="6"/>
  <c r="U43" i="6"/>
  <c r="L65" i="6"/>
  <c r="U65" i="6"/>
  <c r="GR160" i="14"/>
  <c r="GS160" i="14" s="1"/>
  <c r="GU160" i="14" s="1"/>
  <c r="L96" i="6"/>
  <c r="U96" i="6"/>
  <c r="L58" i="6"/>
  <c r="U58" i="6"/>
  <c r="L42" i="6"/>
  <c r="U42" i="6"/>
  <c r="L49" i="6"/>
  <c r="U49" i="6"/>
  <c r="L84" i="6"/>
  <c r="U84" i="6"/>
  <c r="L120" i="6"/>
  <c r="M119" i="6" s="1"/>
  <c r="U120" i="6"/>
  <c r="V119" i="6" s="1"/>
  <c r="L35" i="6"/>
  <c r="U35" i="6"/>
  <c r="L55" i="6"/>
  <c r="U55" i="6"/>
  <c r="L44" i="6"/>
  <c r="U44" i="6"/>
  <c r="L39" i="6"/>
  <c r="U39" i="6"/>
  <c r="L23" i="6"/>
  <c r="U23" i="6"/>
  <c r="L106" i="6"/>
  <c r="U106" i="6"/>
  <c r="L116" i="6"/>
  <c r="U116" i="6"/>
  <c r="L111" i="6"/>
  <c r="U111" i="6"/>
  <c r="L62" i="6"/>
  <c r="U62" i="6"/>
  <c r="L27" i="6"/>
  <c r="U27" i="6"/>
  <c r="L82" i="6"/>
  <c r="U82" i="6"/>
  <c r="L99" i="6"/>
  <c r="U99" i="6"/>
  <c r="L30" i="6"/>
  <c r="U30" i="6"/>
  <c r="L105" i="6"/>
  <c r="U105" i="6"/>
  <c r="L68" i="6"/>
  <c r="U68" i="6"/>
  <c r="L119" i="6"/>
  <c r="U119" i="6"/>
  <c r="L31" i="6"/>
  <c r="U31" i="6"/>
  <c r="L93" i="6"/>
  <c r="U93" i="6"/>
  <c r="L75" i="6"/>
  <c r="U75" i="6"/>
  <c r="L81" i="6"/>
  <c r="U81" i="6"/>
  <c r="L53" i="6"/>
  <c r="U53" i="6"/>
  <c r="L70" i="6"/>
  <c r="U70" i="6"/>
  <c r="L71" i="6"/>
  <c r="U71" i="6"/>
  <c r="L33" i="6"/>
  <c r="U33" i="6"/>
  <c r="L100" i="6"/>
  <c r="U100" i="6"/>
  <c r="L67" i="6"/>
  <c r="U67" i="6"/>
  <c r="L78" i="6"/>
  <c r="U78" i="6"/>
  <c r="L94" i="6"/>
  <c r="U94" i="6"/>
  <c r="L63" i="6"/>
  <c r="U63" i="6"/>
  <c r="L79" i="6"/>
  <c r="U79" i="6"/>
  <c r="L28" i="6"/>
  <c r="U28" i="6"/>
  <c r="L115" i="6"/>
  <c r="U115" i="6"/>
  <c r="L29" i="6"/>
  <c r="U29" i="6"/>
  <c r="L57" i="6"/>
  <c r="U57" i="6"/>
  <c r="L90" i="6"/>
  <c r="U90" i="6"/>
  <c r="L76" i="6"/>
  <c r="U76" i="6"/>
  <c r="L97" i="6"/>
  <c r="U97" i="6"/>
  <c r="L109" i="6"/>
  <c r="U109" i="6"/>
  <c r="L66" i="6"/>
  <c r="U66" i="6"/>
  <c r="L52" i="6"/>
  <c r="U52" i="6"/>
  <c r="L87" i="6"/>
  <c r="U87" i="6"/>
  <c r="L85" i="6"/>
  <c r="U85" i="6"/>
  <c r="L102" i="6"/>
  <c r="U102" i="6"/>
  <c r="L72" i="6"/>
  <c r="U72" i="6"/>
  <c r="L89" i="6"/>
  <c r="U89" i="6"/>
  <c r="L117" i="6"/>
  <c r="U117" i="6"/>
  <c r="L36" i="6"/>
  <c r="U36" i="6"/>
  <c r="L64" i="6"/>
  <c r="U64" i="6"/>
  <c r="L103" i="6"/>
  <c r="U103" i="6"/>
  <c r="L112" i="6"/>
  <c r="U112" i="6"/>
  <c r="L37" i="6"/>
  <c r="U37" i="6"/>
  <c r="L59" i="6"/>
  <c r="U59" i="6"/>
  <c r="L41" i="6"/>
  <c r="U41" i="6"/>
  <c r="L113" i="6"/>
  <c r="U113" i="6"/>
  <c r="L21" i="6"/>
  <c r="L61" i="6"/>
  <c r="U61" i="6"/>
  <c r="L95" i="6"/>
  <c r="U95" i="6"/>
  <c r="L80" i="6"/>
  <c r="U80" i="6"/>
  <c r="L108" i="6"/>
  <c r="U108" i="6"/>
  <c r="L24" i="6"/>
  <c r="U24" i="6"/>
  <c r="L74" i="6"/>
  <c r="U74" i="6"/>
  <c r="L77" i="6"/>
  <c r="U77" i="6"/>
  <c r="L40" i="6"/>
  <c r="U40" i="6"/>
  <c r="L26" i="6"/>
  <c r="U26" i="6"/>
  <c r="L69" i="6"/>
  <c r="U69" i="6"/>
  <c r="L20" i="6"/>
  <c r="O89" i="6"/>
  <c r="O117" i="6"/>
  <c r="O69" i="6"/>
  <c r="O100" i="6"/>
  <c r="O62" i="6"/>
  <c r="O27" i="6"/>
  <c r="O82" i="6"/>
  <c r="O99" i="6"/>
  <c r="O42" i="6"/>
  <c r="O61" i="6"/>
  <c r="O86" i="6"/>
  <c r="O36" i="6"/>
  <c r="O67" i="6"/>
  <c r="O78" i="6"/>
  <c r="O94" i="6"/>
  <c r="O63" i="6"/>
  <c r="O84" i="6"/>
  <c r="O95" i="6"/>
  <c r="O79" i="6"/>
  <c r="O60" i="6"/>
  <c r="O105" i="6"/>
  <c r="O110" i="6"/>
  <c r="O34" i="6"/>
  <c r="O49" i="6"/>
  <c r="O20" i="6"/>
  <c r="O64" i="6"/>
  <c r="O103" i="6"/>
  <c r="O112" i="6"/>
  <c r="O37" i="6"/>
  <c r="O59" i="6"/>
  <c r="O102" i="6"/>
  <c r="O120" i="6"/>
  <c r="P119" i="6" s="1"/>
  <c r="O88" i="6"/>
  <c r="O80" i="6"/>
  <c r="O41" i="6"/>
  <c r="O113" i="6"/>
  <c r="O21" i="6"/>
  <c r="O45" i="6"/>
  <c r="O68" i="6"/>
  <c r="O90" i="6"/>
  <c r="O31" i="6"/>
  <c r="O104" i="6"/>
  <c r="O38" i="6"/>
  <c r="O101" i="6"/>
  <c r="O51" i="6"/>
  <c r="O48" i="6"/>
  <c r="O119" i="6"/>
  <c r="O115" i="6"/>
  <c r="O108" i="6"/>
  <c r="O24" i="6"/>
  <c r="O74" i="6"/>
  <c r="O77" i="6"/>
  <c r="O40" i="6"/>
  <c r="O26" i="6"/>
  <c r="O72" i="6"/>
  <c r="O91" i="6"/>
  <c r="O93" i="6"/>
  <c r="O75" i="6"/>
  <c r="O23" i="6"/>
  <c r="O97" i="6"/>
  <c r="O56" i="6"/>
  <c r="O54" i="6"/>
  <c r="O46" i="6"/>
  <c r="O83" i="6"/>
  <c r="O35" i="6"/>
  <c r="O29" i="6"/>
  <c r="O55" i="6"/>
  <c r="O32" i="6"/>
  <c r="O57" i="6"/>
  <c r="O44" i="6"/>
  <c r="O107" i="6"/>
  <c r="O39" i="6"/>
  <c r="O76" i="6"/>
  <c r="O73" i="6"/>
  <c r="O109" i="6"/>
  <c r="O81" i="6"/>
  <c r="O106" i="6"/>
  <c r="O66" i="6"/>
  <c r="O53" i="6"/>
  <c r="O116" i="6"/>
  <c r="O118" i="6"/>
  <c r="O47" i="6"/>
  <c r="O92" i="6"/>
  <c r="O50" i="6"/>
  <c r="O114" i="6"/>
  <c r="O22" i="6"/>
  <c r="O98" i="6"/>
  <c r="O85" i="6"/>
  <c r="O30" i="6"/>
  <c r="O28" i="6"/>
  <c r="O52" i="6"/>
  <c r="O70" i="6"/>
  <c r="O87" i="6"/>
  <c r="O71" i="6"/>
  <c r="O33" i="6"/>
  <c r="O111" i="6"/>
  <c r="O43" i="6"/>
  <c r="O65" i="6"/>
  <c r="O96" i="6"/>
  <c r="O58" i="6"/>
  <c r="GO160" i="14"/>
  <c r="GP160" i="14"/>
  <c r="HU160" i="14" s="1"/>
  <c r="IO160" i="14" s="1"/>
  <c r="AJ160" i="14" l="1"/>
  <c r="BO160" i="14" s="1"/>
  <c r="CI160" i="14" s="1"/>
  <c r="M118" i="6"/>
  <c r="M117" i="6" s="1"/>
  <c r="M116" i="6" s="1"/>
  <c r="M115" i="6" s="1"/>
  <c r="M114" i="6" s="1"/>
  <c r="M113" i="6" s="1"/>
  <c r="M112" i="6" s="1"/>
  <c r="M111" i="6" s="1"/>
  <c r="M110" i="6" s="1"/>
  <c r="M109" i="6" s="1"/>
  <c r="M108" i="6" s="1"/>
  <c r="M107" i="6" s="1"/>
  <c r="M106" i="6" s="1"/>
  <c r="M105" i="6" s="1"/>
  <c r="M104" i="6" s="1"/>
  <c r="M103" i="6" s="1"/>
  <c r="M102" i="6" s="1"/>
  <c r="M101" i="6" s="1"/>
  <c r="M100" i="6" s="1"/>
  <c r="M99" i="6" s="1"/>
  <c r="M98" i="6" s="1"/>
  <c r="M97" i="6" s="1"/>
  <c r="M96" i="6" s="1"/>
  <c r="M95" i="6" s="1"/>
  <c r="M94" i="6" s="1"/>
  <c r="M93" i="6" s="1"/>
  <c r="M92" i="6" s="1"/>
  <c r="M91" i="6" s="1"/>
  <c r="M90" i="6" s="1"/>
  <c r="M89" i="6" s="1"/>
  <c r="M88" i="6" s="1"/>
  <c r="M87" i="6" s="1"/>
  <c r="M86" i="6" s="1"/>
  <c r="M85" i="6" s="1"/>
  <c r="M84" i="6" s="1"/>
  <c r="M83" i="6" s="1"/>
  <c r="M82" i="6" s="1"/>
  <c r="M81" i="6" s="1"/>
  <c r="M80" i="6" s="1"/>
  <c r="M79" i="6" s="1"/>
  <c r="M78" i="6" s="1"/>
  <c r="M77" i="6" s="1"/>
  <c r="M76" i="6" s="1"/>
  <c r="M75" i="6" s="1"/>
  <c r="M74" i="6" s="1"/>
  <c r="M73" i="6" s="1"/>
  <c r="M72" i="6" s="1"/>
  <c r="M71" i="6" s="1"/>
  <c r="M70" i="6" s="1"/>
  <c r="M69" i="6" s="1"/>
  <c r="M68" i="6" s="1"/>
  <c r="M67" i="6" s="1"/>
  <c r="M66" i="6" s="1"/>
  <c r="M65" i="6" s="1"/>
  <c r="M64" i="6" s="1"/>
  <c r="M63" i="6" s="1"/>
  <c r="M62" i="6" s="1"/>
  <c r="M61" i="6" s="1"/>
  <c r="M60" i="6" s="1"/>
  <c r="M59" i="6" s="1"/>
  <c r="M58" i="6" s="1"/>
  <c r="M57" i="6" s="1"/>
  <c r="M56" i="6" s="1"/>
  <c r="M55" i="6" s="1"/>
  <c r="M54" i="6" s="1"/>
  <c r="M53" i="6" s="1"/>
  <c r="M52" i="6" s="1"/>
  <c r="M51" i="6" s="1"/>
  <c r="M50" i="6" s="1"/>
  <c r="M49" i="6" s="1"/>
  <c r="M48" i="6" s="1"/>
  <c r="M47" i="6" s="1"/>
  <c r="M46" i="6" s="1"/>
  <c r="M45" i="6" s="1"/>
  <c r="M44" i="6" s="1"/>
  <c r="M43" i="6" s="1"/>
  <c r="M42" i="6" s="1"/>
  <c r="M41" i="6" s="1"/>
  <c r="M40" i="6" s="1"/>
  <c r="M39" i="6" s="1"/>
  <c r="M38" i="6" s="1"/>
  <c r="M37" i="6" s="1"/>
  <c r="M36" i="6" s="1"/>
  <c r="M35" i="6" s="1"/>
  <c r="M34" i="6" s="1"/>
  <c r="M33" i="6" s="1"/>
  <c r="M32" i="6" s="1"/>
  <c r="M31" i="6" s="1"/>
  <c r="M30" i="6" s="1"/>
  <c r="M29" i="6" s="1"/>
  <c r="M28" i="6" s="1"/>
  <c r="M27" i="6" s="1"/>
  <c r="M26" i="6" s="1"/>
  <c r="M25" i="6" s="1"/>
  <c r="M24" i="6" s="1"/>
  <c r="M23" i="6" s="1"/>
  <c r="M22" i="6" s="1"/>
  <c r="M21" i="6" s="1"/>
  <c r="M20" i="6" s="1"/>
  <c r="V118" i="6"/>
  <c r="V117" i="6" s="1"/>
  <c r="V116" i="6" s="1"/>
  <c r="V115" i="6" s="1"/>
  <c r="V114" i="6" s="1"/>
  <c r="V113" i="6" s="1"/>
  <c r="V112" i="6" s="1"/>
  <c r="V111" i="6" s="1"/>
  <c r="V110" i="6" s="1"/>
  <c r="V109" i="6" s="1"/>
  <c r="V108" i="6" s="1"/>
  <c r="V107" i="6" s="1"/>
  <c r="V106" i="6" s="1"/>
  <c r="V105" i="6" s="1"/>
  <c r="V104" i="6" s="1"/>
  <c r="V103" i="6" s="1"/>
  <c r="V102" i="6" s="1"/>
  <c r="V101" i="6" s="1"/>
  <c r="V100" i="6" s="1"/>
  <c r="V99" i="6" s="1"/>
  <c r="V98" i="6" s="1"/>
  <c r="V97" i="6" s="1"/>
  <c r="V96" i="6" s="1"/>
  <c r="V95" i="6" s="1"/>
  <c r="V94" i="6" s="1"/>
  <c r="V93" i="6" s="1"/>
  <c r="V92" i="6" s="1"/>
  <c r="V91" i="6" s="1"/>
  <c r="V90" i="6" s="1"/>
  <c r="V89" i="6" s="1"/>
  <c r="V88" i="6" s="1"/>
  <c r="V87" i="6" s="1"/>
  <c r="V86" i="6" s="1"/>
  <c r="V85" i="6" s="1"/>
  <c r="V84" i="6" s="1"/>
  <c r="V83" i="6" s="1"/>
  <c r="V82" i="6" s="1"/>
  <c r="V81" i="6" s="1"/>
  <c r="V80" i="6" s="1"/>
  <c r="V79" i="6" s="1"/>
  <c r="V78" i="6" s="1"/>
  <c r="V77" i="6" s="1"/>
  <c r="V76" i="6" s="1"/>
  <c r="V75" i="6" s="1"/>
  <c r="V74" i="6" s="1"/>
  <c r="V73" i="6" s="1"/>
  <c r="V72" i="6" s="1"/>
  <c r="V71" i="6" s="1"/>
  <c r="V70" i="6" s="1"/>
  <c r="V69" i="6" s="1"/>
  <c r="V68" i="6" s="1"/>
  <c r="V67" i="6" s="1"/>
  <c r="V66" i="6" s="1"/>
  <c r="V65" i="6" s="1"/>
  <c r="V64" i="6" s="1"/>
  <c r="V63" i="6" s="1"/>
  <c r="V62" i="6" s="1"/>
  <c r="V61" i="6" s="1"/>
  <c r="V60" i="6" s="1"/>
  <c r="V59" i="6" s="1"/>
  <c r="V58" i="6" s="1"/>
  <c r="V57" i="6" s="1"/>
  <c r="V56" i="6" s="1"/>
  <c r="V55" i="6" s="1"/>
  <c r="V54" i="6" s="1"/>
  <c r="V53" i="6" s="1"/>
  <c r="V52" i="6" s="1"/>
  <c r="V51" i="6" s="1"/>
  <c r="V50" i="6" s="1"/>
  <c r="V49" i="6" s="1"/>
  <c r="V48" i="6" s="1"/>
  <c r="V47" i="6" s="1"/>
  <c r="V46" i="6" s="1"/>
  <c r="V45" i="6" s="1"/>
  <c r="V44" i="6" s="1"/>
  <c r="V43" i="6" s="1"/>
  <c r="V42" i="6" s="1"/>
  <c r="V41" i="6" s="1"/>
  <c r="V40" i="6" s="1"/>
  <c r="V39" i="6" s="1"/>
  <c r="V38" i="6" s="1"/>
  <c r="V37" i="6" s="1"/>
  <c r="V36" i="6" s="1"/>
  <c r="V35" i="6" s="1"/>
  <c r="V34" i="6" s="1"/>
  <c r="V33" i="6" s="1"/>
  <c r="V32" i="6" s="1"/>
  <c r="V31" i="6" s="1"/>
  <c r="V30" i="6" s="1"/>
  <c r="V29" i="6" s="1"/>
  <c r="V28" i="6" s="1"/>
  <c r="V27" i="6" s="1"/>
  <c r="V26" i="6" s="1"/>
  <c r="V25" i="6" s="1"/>
  <c r="V24" i="6" s="1"/>
  <c r="V23" i="6" s="1"/>
  <c r="V22" i="6" s="1"/>
  <c r="V21" i="6" s="1"/>
  <c r="V20" i="6" s="1"/>
  <c r="F159" i="14"/>
  <c r="Q119" i="6"/>
  <c r="J159" i="14" s="1"/>
  <c r="P118" i="6"/>
  <c r="F158" i="14" s="1"/>
  <c r="I159" i="14"/>
  <c r="I143" i="38" s="1"/>
  <c r="N119" i="6"/>
  <c r="H159" i="14" s="1"/>
  <c r="G159" i="14"/>
  <c r="G158" i="14"/>
  <c r="HT160" i="14"/>
  <c r="IG160" i="14" s="1"/>
  <c r="GQ160" i="14"/>
  <c r="GT160" i="14" s="1"/>
  <c r="AK160" i="14" l="1"/>
  <c r="BG160" i="14" s="1"/>
  <c r="H145" i="15"/>
  <c r="H143" i="38"/>
  <c r="G144" i="15"/>
  <c r="G142" i="38"/>
  <c r="F144" i="15"/>
  <c r="F142" i="38"/>
  <c r="G145" i="15"/>
  <c r="G143" i="38"/>
  <c r="J145" i="15"/>
  <c r="J143" i="38"/>
  <c r="F145" i="15"/>
  <c r="F143" i="38"/>
  <c r="P117" i="6"/>
  <c r="F157" i="14" s="1"/>
  <c r="P159" i="14"/>
  <c r="AE159" i="14" s="1"/>
  <c r="S159" i="14"/>
  <c r="AF159" i="14" s="1"/>
  <c r="I145" i="15"/>
  <c r="Q118" i="6"/>
  <c r="J158" i="14" s="1"/>
  <c r="I158" i="14"/>
  <c r="G157" i="14"/>
  <c r="N118" i="6"/>
  <c r="H158" i="14" s="1"/>
  <c r="P158" i="14"/>
  <c r="AE158" i="14" s="1"/>
  <c r="T159" i="14"/>
  <c r="IX159" i="14" s="1"/>
  <c r="IZ159" i="14" s="1"/>
  <c r="AQ160" i="14" l="1"/>
  <c r="AT160" i="14" s="1"/>
  <c r="AU160" i="14" s="1"/>
  <c r="AV160" i="14" s="1"/>
  <c r="AN160" i="14"/>
  <c r="AY160" i="14"/>
  <c r="H144" i="15"/>
  <c r="H142" i="38"/>
  <c r="F143" i="15"/>
  <c r="F141" i="38"/>
  <c r="I144" i="15"/>
  <c r="I142" i="38"/>
  <c r="G143" i="15"/>
  <c r="G141" i="38"/>
  <c r="J144" i="15"/>
  <c r="J142" i="38"/>
  <c r="P116" i="6"/>
  <c r="P115" i="6" s="1"/>
  <c r="Q117" i="6"/>
  <c r="J157" i="14" s="1"/>
  <c r="AL159" i="14"/>
  <c r="AM159" i="14" s="1"/>
  <c r="AO159" i="14" s="1"/>
  <c r="AG159" i="14"/>
  <c r="AH159" i="14" s="1"/>
  <c r="AI159" i="14" s="1"/>
  <c r="BN159" i="14" s="1"/>
  <c r="CA159" i="14" s="1"/>
  <c r="S158" i="14"/>
  <c r="AF158" i="14" s="1"/>
  <c r="GM158" i="14" s="1"/>
  <c r="GN158" i="14" s="1"/>
  <c r="GO158" i="14" s="1"/>
  <c r="GM159" i="14"/>
  <c r="GN159" i="14" s="1"/>
  <c r="GR159" i="14"/>
  <c r="GS159" i="14" s="1"/>
  <c r="GU159" i="14" s="1"/>
  <c r="I157" i="14"/>
  <c r="G156" i="14"/>
  <c r="Q159" i="14"/>
  <c r="N117" i="6"/>
  <c r="H157" i="14" s="1"/>
  <c r="IY159" i="14"/>
  <c r="JA159" i="14" s="1"/>
  <c r="JB159" i="14" s="1"/>
  <c r="T158" i="14"/>
  <c r="IX158" i="14" s="1"/>
  <c r="IZ158" i="14" s="1"/>
  <c r="P157" i="14"/>
  <c r="AE157" i="14" s="1"/>
  <c r="AW160" i="14" l="1"/>
  <c r="BB160" i="14" s="1"/>
  <c r="BC160" i="14" s="1"/>
  <c r="BD160" i="14" s="1"/>
  <c r="BE160" i="14" s="1"/>
  <c r="BJ160" i="14" s="1"/>
  <c r="BK160" i="14" s="1"/>
  <c r="BL160" i="14" s="1"/>
  <c r="BM160" i="14" s="1"/>
  <c r="BS160" i="14" s="1"/>
  <c r="G142" i="15"/>
  <c r="G140" i="38"/>
  <c r="I143" i="15"/>
  <c r="I141" i="38"/>
  <c r="H143" i="15"/>
  <c r="H141" i="38"/>
  <c r="J143" i="15"/>
  <c r="J141" i="38"/>
  <c r="GR158" i="14"/>
  <c r="GS158" i="14" s="1"/>
  <c r="GU158" i="14" s="1"/>
  <c r="F156" i="14"/>
  <c r="Q116" i="6"/>
  <c r="Q115" i="6" s="1"/>
  <c r="AL158" i="14"/>
  <c r="AM158" i="14" s="1"/>
  <c r="AO158" i="14" s="1"/>
  <c r="AG158" i="14"/>
  <c r="AH158" i="14" s="1"/>
  <c r="AI158" i="14" s="1"/>
  <c r="BN158" i="14" s="1"/>
  <c r="CA158" i="14" s="1"/>
  <c r="AJ159" i="14"/>
  <c r="BO159" i="14" s="1"/>
  <c r="CI159" i="14" s="1"/>
  <c r="S157" i="14"/>
  <c r="AF157" i="14" s="1"/>
  <c r="GM157" i="14" s="1"/>
  <c r="GN157" i="14" s="1"/>
  <c r="GO157" i="14" s="1"/>
  <c r="T157" i="14"/>
  <c r="IX157" i="14" s="1"/>
  <c r="IZ157" i="14" s="1"/>
  <c r="GP159" i="14"/>
  <c r="HU159" i="14" s="1"/>
  <c r="IO159" i="14" s="1"/>
  <c r="GO159" i="14"/>
  <c r="I156" i="14"/>
  <c r="P114" i="6"/>
  <c r="F155" i="14"/>
  <c r="R159" i="14"/>
  <c r="N116" i="6"/>
  <c r="H156" i="14" s="1"/>
  <c r="GP158" i="14"/>
  <c r="HU158" i="14" s="1"/>
  <c r="IO158" i="14" s="1"/>
  <c r="IY158" i="14"/>
  <c r="JA158" i="14" s="1"/>
  <c r="JB158" i="14" s="1"/>
  <c r="HT158" i="14"/>
  <c r="IG158" i="14" s="1"/>
  <c r="F141" i="15" l="1"/>
  <c r="F139" i="38"/>
  <c r="I142" i="15"/>
  <c r="I140" i="38"/>
  <c r="F142" i="15"/>
  <c r="F140" i="38"/>
  <c r="H142" i="15"/>
  <c r="H140" i="38"/>
  <c r="P156" i="14"/>
  <c r="AE156" i="14" s="1"/>
  <c r="AJ158" i="14"/>
  <c r="BO158" i="14" s="1"/>
  <c r="CI158" i="14" s="1"/>
  <c r="J156" i="14"/>
  <c r="AG157" i="14"/>
  <c r="AH157" i="14" s="1"/>
  <c r="AI157" i="14" s="1"/>
  <c r="BN157" i="14" s="1"/>
  <c r="CA157" i="14" s="1"/>
  <c r="AL157" i="14"/>
  <c r="AM157" i="14" s="1"/>
  <c r="AO157" i="14" s="1"/>
  <c r="AK159" i="14"/>
  <c r="AN159" i="14" s="1"/>
  <c r="IY157" i="14"/>
  <c r="JA157" i="14" s="1"/>
  <c r="JB157" i="14" s="1"/>
  <c r="GR157" i="14"/>
  <c r="GS157" i="14" s="1"/>
  <c r="GU157" i="14" s="1"/>
  <c r="S156" i="14"/>
  <c r="AF156" i="14" s="1"/>
  <c r="GM156" i="14" s="1"/>
  <c r="GN156" i="14" s="1"/>
  <c r="GP156" i="14" s="1"/>
  <c r="HU156" i="14" s="1"/>
  <c r="IO156" i="14" s="1"/>
  <c r="GQ159" i="14"/>
  <c r="GT159" i="14" s="1"/>
  <c r="HT159" i="14"/>
  <c r="IG159" i="14" s="1"/>
  <c r="G154" i="14"/>
  <c r="G155" i="14"/>
  <c r="I155" i="14"/>
  <c r="I139" i="38" s="1"/>
  <c r="P113" i="6"/>
  <c r="F154" i="14"/>
  <c r="Q114" i="6"/>
  <c r="J155" i="14"/>
  <c r="N115" i="6"/>
  <c r="R158" i="14"/>
  <c r="Q158" i="14"/>
  <c r="GP157" i="14"/>
  <c r="HU157" i="14" s="1"/>
  <c r="IO157" i="14" s="1"/>
  <c r="GQ158" i="14"/>
  <c r="GT158" i="14" s="1"/>
  <c r="P155" i="14"/>
  <c r="AE155" i="14" s="1"/>
  <c r="Q157" i="14"/>
  <c r="HT157" i="14"/>
  <c r="IG157" i="14" s="1"/>
  <c r="AQ159" i="14" l="1"/>
  <c r="AT159" i="14" s="1"/>
  <c r="AU159" i="14" s="1"/>
  <c r="AV159" i="14" s="1"/>
  <c r="AW159" i="14" s="1"/>
  <c r="G141" i="15"/>
  <c r="G139" i="38"/>
  <c r="G140" i="15"/>
  <c r="G138" i="38"/>
  <c r="J141" i="15"/>
  <c r="J139" i="38"/>
  <c r="J142" i="15"/>
  <c r="J140" i="38"/>
  <c r="F140" i="15"/>
  <c r="F138" i="38"/>
  <c r="T156" i="14"/>
  <c r="IX156" i="14" s="1"/>
  <c r="IZ156" i="14" s="1"/>
  <c r="AJ157" i="14"/>
  <c r="BO157" i="14" s="1"/>
  <c r="CI157" i="14" s="1"/>
  <c r="BG159" i="14"/>
  <c r="GR156" i="14"/>
  <c r="GS156" i="14" s="1"/>
  <c r="GU156" i="14" s="1"/>
  <c r="AK158" i="14"/>
  <c r="AN158" i="14" s="1"/>
  <c r="AY159" i="14"/>
  <c r="AG156" i="14"/>
  <c r="AH156" i="14" s="1"/>
  <c r="AJ156" i="14" s="1"/>
  <c r="BO156" i="14" s="1"/>
  <c r="CI156" i="14" s="1"/>
  <c r="AL156" i="14"/>
  <c r="AM156" i="14" s="1"/>
  <c r="AO156" i="14" s="1"/>
  <c r="G153" i="14"/>
  <c r="S155" i="14"/>
  <c r="AF155" i="14" s="1"/>
  <c r="AG155" i="14" s="1"/>
  <c r="AH155" i="14" s="1"/>
  <c r="AJ155" i="14" s="1"/>
  <c r="BO155" i="14" s="1"/>
  <c r="CI155" i="14" s="1"/>
  <c r="I141" i="15"/>
  <c r="Q113" i="6"/>
  <c r="J154" i="14"/>
  <c r="P112" i="6"/>
  <c r="F153" i="14"/>
  <c r="I154" i="14"/>
  <c r="I138" i="38" s="1"/>
  <c r="N114" i="6"/>
  <c r="H154" i="14" s="1"/>
  <c r="H155" i="14"/>
  <c r="GQ157" i="14"/>
  <c r="GT157" i="14" s="1"/>
  <c r="GO156" i="14"/>
  <c r="P154" i="14"/>
  <c r="AE154" i="14" s="1"/>
  <c r="Q156" i="14"/>
  <c r="T155" i="14"/>
  <c r="IX155" i="14" s="1"/>
  <c r="IZ155" i="14" s="1"/>
  <c r="BB159" i="14" l="1"/>
  <c r="BC159" i="14" s="1"/>
  <c r="BD159" i="14" s="1"/>
  <c r="BE159" i="14" s="1"/>
  <c r="BJ159" i="14" s="1"/>
  <c r="BK159" i="14" s="1"/>
  <c r="BL159" i="14" s="1"/>
  <c r="BM159" i="14" s="1"/>
  <c r="BS159" i="14" s="1"/>
  <c r="AK157" i="14"/>
  <c r="AY157" i="14" s="1"/>
  <c r="J140" i="15"/>
  <c r="J138" i="38"/>
  <c r="H141" i="15"/>
  <c r="H139" i="38"/>
  <c r="G139" i="15"/>
  <c r="G137" i="38"/>
  <c r="H140" i="15"/>
  <c r="H138" i="38"/>
  <c r="F139" i="15"/>
  <c r="F137" i="38"/>
  <c r="IY156" i="14"/>
  <c r="JA156" i="14" s="1"/>
  <c r="JB156" i="14" s="1"/>
  <c r="G152" i="14"/>
  <c r="AY158" i="14"/>
  <c r="AQ158" i="14"/>
  <c r="AT158" i="14" s="1"/>
  <c r="AU158" i="14" s="1"/>
  <c r="AV158" i="14" s="1"/>
  <c r="AW158" i="14" s="1"/>
  <c r="BG158" i="14"/>
  <c r="AI156" i="14"/>
  <c r="BN156" i="14" s="1"/>
  <c r="CA156" i="14" s="1"/>
  <c r="AL155" i="14"/>
  <c r="AM155" i="14" s="1"/>
  <c r="AO155" i="14" s="1"/>
  <c r="S154" i="14"/>
  <c r="AF154" i="14" s="1"/>
  <c r="AG154" i="14" s="1"/>
  <c r="AH154" i="14" s="1"/>
  <c r="AI154" i="14" s="1"/>
  <c r="BN154" i="14" s="1"/>
  <c r="CA154" i="14" s="1"/>
  <c r="I140" i="15"/>
  <c r="GM155" i="14"/>
  <c r="GN155" i="14" s="1"/>
  <c r="GR155" i="14"/>
  <c r="GS155" i="14" s="1"/>
  <c r="GU155" i="14" s="1"/>
  <c r="I153" i="14"/>
  <c r="P111" i="6"/>
  <c r="F152" i="14"/>
  <c r="N113" i="6"/>
  <c r="H153" i="14" s="1"/>
  <c r="Q112" i="6"/>
  <c r="J153" i="14"/>
  <c r="R157" i="14"/>
  <c r="HT156" i="14"/>
  <c r="IG156" i="14" s="1"/>
  <c r="GQ156" i="14"/>
  <c r="GT156" i="14" s="1"/>
  <c r="AN157" i="14"/>
  <c r="AI155" i="14"/>
  <c r="BN155" i="14" s="1"/>
  <c r="CA155" i="14" s="1"/>
  <c r="IY155" i="14"/>
  <c r="JA155" i="14" s="1"/>
  <c r="JB155" i="14" s="1"/>
  <c r="P153" i="14"/>
  <c r="AE153" i="14" s="1"/>
  <c r="Q155" i="14"/>
  <c r="T154" i="14"/>
  <c r="IX154" i="14" s="1"/>
  <c r="IZ154" i="14" s="1"/>
  <c r="AQ157" i="14" l="1"/>
  <c r="AT157" i="14" s="1"/>
  <c r="AU157" i="14" s="1"/>
  <c r="AV157" i="14" s="1"/>
  <c r="AW157" i="14" s="1"/>
  <c r="BB157" i="14" s="1"/>
  <c r="BC157" i="14" s="1"/>
  <c r="BD157" i="14" s="1"/>
  <c r="BE157" i="14" s="1"/>
  <c r="BG157" i="14"/>
  <c r="J139" i="15"/>
  <c r="J137" i="38"/>
  <c r="G138" i="15"/>
  <c r="G136" i="38"/>
  <c r="F138" i="15"/>
  <c r="F136" i="38"/>
  <c r="I139" i="15"/>
  <c r="I137" i="38"/>
  <c r="H139" i="15"/>
  <c r="H137" i="38"/>
  <c r="G151" i="14"/>
  <c r="BB158" i="14"/>
  <c r="BC158" i="14" s="1"/>
  <c r="BD158" i="14" s="1"/>
  <c r="BE158" i="14" s="1"/>
  <c r="BJ158" i="14" s="1"/>
  <c r="BK158" i="14" s="1"/>
  <c r="BL158" i="14" s="1"/>
  <c r="BM158" i="14" s="1"/>
  <c r="BS158" i="14" s="1"/>
  <c r="N112" i="6"/>
  <c r="H152" i="14" s="1"/>
  <c r="AL154" i="14"/>
  <c r="AM154" i="14" s="1"/>
  <c r="AO154" i="14" s="1"/>
  <c r="GR154" i="14"/>
  <c r="GS154" i="14" s="1"/>
  <c r="GU154" i="14" s="1"/>
  <c r="GM154" i="14"/>
  <c r="GN154" i="14" s="1"/>
  <c r="GP154" i="14" s="1"/>
  <c r="HU154" i="14" s="1"/>
  <c r="IO154" i="14" s="1"/>
  <c r="AK156" i="14"/>
  <c r="AY156" i="14" s="1"/>
  <c r="S153" i="14"/>
  <c r="AF153" i="14" s="1"/>
  <c r="AL153" i="14" s="1"/>
  <c r="AM153" i="14" s="1"/>
  <c r="AO153" i="14" s="1"/>
  <c r="GO155" i="14"/>
  <c r="GP155" i="14"/>
  <c r="HU155" i="14" s="1"/>
  <c r="IO155" i="14" s="1"/>
  <c r="Q111" i="6"/>
  <c r="J152" i="14"/>
  <c r="P110" i="6"/>
  <c r="F151" i="14"/>
  <c r="I152" i="14"/>
  <c r="I136" i="38" s="1"/>
  <c r="AK155" i="14"/>
  <c r="AY155" i="14" s="1"/>
  <c r="AJ154" i="14"/>
  <c r="BO154" i="14" s="1"/>
  <c r="CI154" i="14" s="1"/>
  <c r="IY154" i="14"/>
  <c r="JA154" i="14" s="1"/>
  <c r="JB154" i="14" s="1"/>
  <c r="Q154" i="14"/>
  <c r="T153" i="14"/>
  <c r="IX153" i="14" s="1"/>
  <c r="IZ153" i="14" s="1"/>
  <c r="R155" i="14"/>
  <c r="P152" i="14"/>
  <c r="AE152" i="14" s="1"/>
  <c r="G150" i="14"/>
  <c r="BJ157" i="14" l="1"/>
  <c r="BK157" i="14" s="1"/>
  <c r="BL157" i="14" s="1"/>
  <c r="BM157" i="14" s="1"/>
  <c r="BS157" i="14" s="1"/>
  <c r="N111" i="6"/>
  <c r="H151" i="14" s="1"/>
  <c r="H137" i="15" s="1"/>
  <c r="H138" i="15"/>
  <c r="H136" i="38"/>
  <c r="G137" i="15"/>
  <c r="G135" i="38"/>
  <c r="J138" i="15"/>
  <c r="J136" i="38"/>
  <c r="G136" i="15"/>
  <c r="G134" i="38"/>
  <c r="F137" i="15"/>
  <c r="F135" i="38"/>
  <c r="GO154" i="14"/>
  <c r="HT154" i="14" s="1"/>
  <c r="IG154" i="14" s="1"/>
  <c r="GM153" i="14"/>
  <c r="GN153" i="14" s="1"/>
  <c r="GP153" i="14" s="1"/>
  <c r="HU153" i="14" s="1"/>
  <c r="IO153" i="14" s="1"/>
  <c r="GR153" i="14"/>
  <c r="GS153" i="14" s="1"/>
  <c r="GU153" i="14" s="1"/>
  <c r="AN156" i="14"/>
  <c r="BG156" i="14"/>
  <c r="AG153" i="14"/>
  <c r="AH153" i="14" s="1"/>
  <c r="AJ153" i="14" s="1"/>
  <c r="BO153" i="14" s="1"/>
  <c r="CI153" i="14" s="1"/>
  <c r="AQ156" i="14"/>
  <c r="AT156" i="14" s="1"/>
  <c r="AU156" i="14" s="1"/>
  <c r="AV156" i="14" s="1"/>
  <c r="HT155" i="14"/>
  <c r="IG155" i="14" s="1"/>
  <c r="GQ155" i="14"/>
  <c r="GT155" i="14" s="1"/>
  <c r="S152" i="14"/>
  <c r="AF152" i="14" s="1"/>
  <c r="GR152" i="14" s="1"/>
  <c r="GS152" i="14" s="1"/>
  <c r="GU152" i="14" s="1"/>
  <c r="I138" i="15"/>
  <c r="I151" i="14"/>
  <c r="I135" i="38" s="1"/>
  <c r="P109" i="6"/>
  <c r="F150" i="14"/>
  <c r="Q110" i="6"/>
  <c r="J151" i="14"/>
  <c r="R156" i="14"/>
  <c r="AN155" i="14"/>
  <c r="BG155" i="14"/>
  <c r="AQ155" i="14"/>
  <c r="AT155" i="14" s="1"/>
  <c r="AU155" i="14" s="1"/>
  <c r="AV155" i="14" s="1"/>
  <c r="AK154" i="14"/>
  <c r="AN154" i="14" s="1"/>
  <c r="IY153" i="14"/>
  <c r="JA153" i="14" s="1"/>
  <c r="JB153" i="14" s="1"/>
  <c r="R154" i="14"/>
  <c r="P151" i="14"/>
  <c r="AE151" i="14" s="1"/>
  <c r="T152" i="14"/>
  <c r="IX152" i="14" s="1"/>
  <c r="IZ152" i="14" s="1"/>
  <c r="Q153" i="14"/>
  <c r="G149" i="14"/>
  <c r="GQ154" i="14" l="1"/>
  <c r="GT154" i="14" s="1"/>
  <c r="H135" i="38"/>
  <c r="N110" i="6"/>
  <c r="H150" i="14" s="1"/>
  <c r="H134" i="38" s="1"/>
  <c r="GO153" i="14"/>
  <c r="HT153" i="14" s="1"/>
  <c r="IG153" i="14" s="1"/>
  <c r="J137" i="15"/>
  <c r="J135" i="38"/>
  <c r="G135" i="15"/>
  <c r="G133" i="38"/>
  <c r="F136" i="15"/>
  <c r="F134" i="38"/>
  <c r="AW156" i="14"/>
  <c r="BB156" i="14" s="1"/>
  <c r="BC156" i="14" s="1"/>
  <c r="BD156" i="14" s="1"/>
  <c r="BE156" i="14" s="1"/>
  <c r="BJ156" i="14" s="1"/>
  <c r="BK156" i="14" s="1"/>
  <c r="BL156" i="14" s="1"/>
  <c r="BM156" i="14" s="1"/>
  <c r="BS156" i="14" s="1"/>
  <c r="GM152" i="14"/>
  <c r="GN152" i="14" s="1"/>
  <c r="GO152" i="14" s="1"/>
  <c r="HT152" i="14" s="1"/>
  <c r="IG152" i="14" s="1"/>
  <c r="AI153" i="14"/>
  <c r="BN153" i="14" s="1"/>
  <c r="CA153" i="14" s="1"/>
  <c r="AL152" i="14"/>
  <c r="AM152" i="14" s="1"/>
  <c r="AO152" i="14" s="1"/>
  <c r="AG152" i="14"/>
  <c r="AH152" i="14" s="1"/>
  <c r="AJ152" i="14" s="1"/>
  <c r="BO152" i="14" s="1"/>
  <c r="CI152" i="14" s="1"/>
  <c r="S151" i="14"/>
  <c r="AF151" i="14" s="1"/>
  <c r="GR151" i="14" s="1"/>
  <c r="GS151" i="14" s="1"/>
  <c r="GU151" i="14" s="1"/>
  <c r="I137" i="15"/>
  <c r="Q109" i="6"/>
  <c r="J150" i="14"/>
  <c r="P108" i="6"/>
  <c r="F149" i="14"/>
  <c r="I150" i="14"/>
  <c r="AW155" i="14"/>
  <c r="BB155" i="14" s="1"/>
  <c r="BC155" i="14" s="1"/>
  <c r="BD155" i="14" s="1"/>
  <c r="BE155" i="14" s="1"/>
  <c r="BJ155" i="14" s="1"/>
  <c r="BK155" i="14" s="1"/>
  <c r="BL155" i="14" s="1"/>
  <c r="BM155" i="14" s="1"/>
  <c r="BS155" i="14" s="1"/>
  <c r="AQ154" i="14"/>
  <c r="AT154" i="14" s="1"/>
  <c r="AU154" i="14" s="1"/>
  <c r="AV154" i="14" s="1"/>
  <c r="AW154" i="14" s="1"/>
  <c r="AY154" i="14"/>
  <c r="BG154" i="14"/>
  <c r="IY152" i="14"/>
  <c r="JA152" i="14" s="1"/>
  <c r="JB152" i="14" s="1"/>
  <c r="T151" i="14"/>
  <c r="IX151" i="14" s="1"/>
  <c r="IZ151" i="14" s="1"/>
  <c r="P150" i="14"/>
  <c r="AE150" i="14" s="1"/>
  <c r="Q152" i="14"/>
  <c r="R153" i="14"/>
  <c r="N109" i="6"/>
  <c r="H149" i="14" s="1"/>
  <c r="G148" i="14"/>
  <c r="GQ153" i="14" l="1"/>
  <c r="GT153" i="14" s="1"/>
  <c r="H136" i="15"/>
  <c r="H135" i="15"/>
  <c r="H133" i="38"/>
  <c r="I136" i="15"/>
  <c r="I134" i="38"/>
  <c r="F135" i="15"/>
  <c r="F133" i="38"/>
  <c r="G134" i="15"/>
  <c r="G132" i="38"/>
  <c r="J136" i="15"/>
  <c r="J134" i="38"/>
  <c r="AI152" i="14"/>
  <c r="BN152" i="14" s="1"/>
  <c r="CA152" i="14" s="1"/>
  <c r="AL151" i="14"/>
  <c r="AM151" i="14" s="1"/>
  <c r="AO151" i="14" s="1"/>
  <c r="GP152" i="14"/>
  <c r="HU152" i="14" s="1"/>
  <c r="IO152" i="14" s="1"/>
  <c r="S150" i="14"/>
  <c r="AF150" i="14" s="1"/>
  <c r="GM150" i="14" s="1"/>
  <c r="GN150" i="14" s="1"/>
  <c r="AK153" i="14"/>
  <c r="BG153" i="14" s="1"/>
  <c r="GM151" i="14"/>
  <c r="GN151" i="14" s="1"/>
  <c r="AG151" i="14"/>
  <c r="AH151" i="14" s="1"/>
  <c r="AJ151" i="14" s="1"/>
  <c r="BO151" i="14" s="1"/>
  <c r="CI151" i="14" s="1"/>
  <c r="P107" i="6"/>
  <c r="F148" i="14"/>
  <c r="Q108" i="6"/>
  <c r="J149" i="14"/>
  <c r="I149" i="14"/>
  <c r="I133" i="38" s="1"/>
  <c r="BB154" i="14"/>
  <c r="BC154" i="14" s="1"/>
  <c r="BD154" i="14" s="1"/>
  <c r="BE154" i="14" s="1"/>
  <c r="BJ154" i="14" s="1"/>
  <c r="BK154" i="14" s="1"/>
  <c r="BL154" i="14" s="1"/>
  <c r="BM154" i="14" s="1"/>
  <c r="BS154" i="14" s="1"/>
  <c r="IY151" i="14"/>
  <c r="JA151" i="14" s="1"/>
  <c r="JB151" i="14" s="1"/>
  <c r="P149" i="14"/>
  <c r="AE149" i="14" s="1"/>
  <c r="T150" i="14"/>
  <c r="IX150" i="14" s="1"/>
  <c r="IZ150" i="14" s="1"/>
  <c r="Q151" i="14"/>
  <c r="N108" i="6"/>
  <c r="H148" i="14" s="1"/>
  <c r="G147" i="14"/>
  <c r="J135" i="15" l="1"/>
  <c r="J133" i="38"/>
  <c r="H134" i="15"/>
  <c r="H132" i="38"/>
  <c r="F134" i="15"/>
  <c r="F132" i="38"/>
  <c r="AL150" i="14"/>
  <c r="AM150" i="14" s="1"/>
  <c r="AO150" i="14" s="1"/>
  <c r="G133" i="15"/>
  <c r="G131" i="38"/>
  <c r="AG150" i="14"/>
  <c r="AH150" i="14" s="1"/>
  <c r="AI150" i="14" s="1"/>
  <c r="BN150" i="14" s="1"/>
  <c r="CA150" i="14" s="1"/>
  <c r="GR150" i="14"/>
  <c r="GS150" i="14" s="1"/>
  <c r="GU150" i="14" s="1"/>
  <c r="AY153" i="14"/>
  <c r="AQ153" i="14"/>
  <c r="AT153" i="14" s="1"/>
  <c r="AU153" i="14" s="1"/>
  <c r="AV153" i="14" s="1"/>
  <c r="GQ152" i="14"/>
  <c r="GT152" i="14" s="1"/>
  <c r="AN153" i="14"/>
  <c r="AK152" i="14"/>
  <c r="AY152" i="14" s="1"/>
  <c r="AI151" i="14"/>
  <c r="GO151" i="14"/>
  <c r="GP151" i="14"/>
  <c r="HU151" i="14" s="1"/>
  <c r="IO151" i="14" s="1"/>
  <c r="S149" i="14"/>
  <c r="AF149" i="14" s="1"/>
  <c r="GM149" i="14" s="1"/>
  <c r="GN149" i="14" s="1"/>
  <c r="GO149" i="14" s="1"/>
  <c r="I135" i="15"/>
  <c r="I148" i="14"/>
  <c r="Q107" i="6"/>
  <c r="J148" i="14"/>
  <c r="P106" i="6"/>
  <c r="F147" i="14"/>
  <c r="R152" i="14"/>
  <c r="GO150" i="14"/>
  <c r="GP150" i="14"/>
  <c r="HU150" i="14" s="1"/>
  <c r="IO150" i="14" s="1"/>
  <c r="IY150" i="14"/>
  <c r="JA150" i="14" s="1"/>
  <c r="JC159" i="14" s="1"/>
  <c r="P148" i="14"/>
  <c r="AE148" i="14" s="1"/>
  <c r="T149" i="14"/>
  <c r="IX149" i="14" s="1"/>
  <c r="IZ149" i="14" s="1"/>
  <c r="R151" i="14"/>
  <c r="Q150" i="14"/>
  <c r="G146" i="14"/>
  <c r="N107" i="6"/>
  <c r="H147" i="14" s="1"/>
  <c r="AJ150" i="14" l="1"/>
  <c r="BO150" i="14" s="1"/>
  <c r="CI150" i="14" s="1"/>
  <c r="GR149" i="14"/>
  <c r="GS149" i="14" s="1"/>
  <c r="GU149" i="14" s="1"/>
  <c r="I134" i="15"/>
  <c r="I132" i="38"/>
  <c r="F133" i="15"/>
  <c r="F131" i="38"/>
  <c r="H133" i="15"/>
  <c r="H131" i="38"/>
  <c r="G132" i="15"/>
  <c r="G130" i="38"/>
  <c r="AF143" i="38"/>
  <c r="AH143" i="38"/>
  <c r="J134" i="15"/>
  <c r="J132" i="38"/>
  <c r="AW153" i="14"/>
  <c r="BB153" i="14" s="1"/>
  <c r="BC153" i="14" s="1"/>
  <c r="BD153" i="14" s="1"/>
  <c r="BE153" i="14" s="1"/>
  <c r="BJ153" i="14" s="1"/>
  <c r="BK153" i="14" s="1"/>
  <c r="BL153" i="14" s="1"/>
  <c r="BM153" i="14" s="1"/>
  <c r="BS153" i="14" s="1"/>
  <c r="AN152" i="14"/>
  <c r="AQ152" i="14"/>
  <c r="AT152" i="14" s="1"/>
  <c r="AU152" i="14" s="1"/>
  <c r="AV152" i="14" s="1"/>
  <c r="BG152" i="14"/>
  <c r="AG149" i="14"/>
  <c r="AH149" i="14" s="1"/>
  <c r="AI149" i="14" s="1"/>
  <c r="BN149" i="14" s="1"/>
  <c r="CA149" i="14" s="1"/>
  <c r="AL149" i="14"/>
  <c r="AM149" i="14" s="1"/>
  <c r="AO149" i="14" s="1"/>
  <c r="HT151" i="14"/>
  <c r="IG151" i="14" s="1"/>
  <c r="GQ151" i="14"/>
  <c r="GT151" i="14" s="1"/>
  <c r="S148" i="14"/>
  <c r="AF148" i="14" s="1"/>
  <c r="AL148" i="14" s="1"/>
  <c r="AM148" i="14" s="1"/>
  <c r="AO148" i="14" s="1"/>
  <c r="BN151" i="14"/>
  <c r="CA151" i="14" s="1"/>
  <c r="AK151" i="14"/>
  <c r="P105" i="6"/>
  <c r="F146" i="14"/>
  <c r="Q106" i="6"/>
  <c r="J147" i="14"/>
  <c r="I147" i="14"/>
  <c r="JC155" i="14"/>
  <c r="JB150" i="14"/>
  <c r="JD151" i="14" s="1"/>
  <c r="GP149" i="14"/>
  <c r="HU149" i="14" s="1"/>
  <c r="IO149" i="14" s="1"/>
  <c r="JC157" i="14"/>
  <c r="JC150" i="14"/>
  <c r="JC154" i="14"/>
  <c r="JC158" i="14"/>
  <c r="JC151" i="14"/>
  <c r="JC160" i="14"/>
  <c r="IY149" i="14"/>
  <c r="JA149" i="14" s="1"/>
  <c r="JB149" i="14" s="1"/>
  <c r="JC152" i="14"/>
  <c r="JC153" i="14"/>
  <c r="JC156" i="14"/>
  <c r="HT150" i="14"/>
  <c r="IG150" i="14" s="1"/>
  <c r="GQ150" i="14"/>
  <c r="GT150" i="14" s="1"/>
  <c r="R150" i="14"/>
  <c r="AW145" i="15"/>
  <c r="BI145" i="15" s="1"/>
  <c r="AU145" i="15"/>
  <c r="BH145" i="15" s="1"/>
  <c r="Q149" i="14"/>
  <c r="T148" i="14"/>
  <c r="IX148" i="14" s="1"/>
  <c r="IZ148" i="14" s="1"/>
  <c r="P147" i="14"/>
  <c r="AE147" i="14" s="1"/>
  <c r="HT149" i="14"/>
  <c r="IG149" i="14" s="1"/>
  <c r="G145" i="14"/>
  <c r="N106" i="6"/>
  <c r="H146" i="14" s="1"/>
  <c r="AJ149" i="14" l="1"/>
  <c r="BO149" i="14" s="1"/>
  <c r="CI149" i="14" s="1"/>
  <c r="AK150" i="14"/>
  <c r="AQ150" i="14" s="1"/>
  <c r="AT150" i="14" s="1"/>
  <c r="AU150" i="14" s="1"/>
  <c r="AV150" i="14" s="1"/>
  <c r="GR148" i="14"/>
  <c r="GS148" i="14" s="1"/>
  <c r="GU148" i="14" s="1"/>
  <c r="AW152" i="14"/>
  <c r="BB152" i="14" s="1"/>
  <c r="BC152" i="14" s="1"/>
  <c r="BD152" i="14" s="1"/>
  <c r="BE152" i="14" s="1"/>
  <c r="BJ152" i="14" s="1"/>
  <c r="BK152" i="14" s="1"/>
  <c r="BL152" i="14" s="1"/>
  <c r="BM152" i="14" s="1"/>
  <c r="BS152" i="14" s="1"/>
  <c r="AU146" i="15"/>
  <c r="BH146" i="15" s="1"/>
  <c r="AH144" i="38"/>
  <c r="AF144" i="38"/>
  <c r="AW137" i="15"/>
  <c r="BI137" i="15" s="1"/>
  <c r="AH135" i="38"/>
  <c r="AF135" i="38"/>
  <c r="AW141" i="15"/>
  <c r="BI141" i="15" s="1"/>
  <c r="AF139" i="38"/>
  <c r="AH139" i="38"/>
  <c r="G131" i="15"/>
  <c r="G129" i="38"/>
  <c r="AF142" i="38"/>
  <c r="AH142" i="38"/>
  <c r="AU140" i="15"/>
  <c r="BH140" i="15" s="1"/>
  <c r="AF138" i="38"/>
  <c r="AH138" i="38"/>
  <c r="AU142" i="15"/>
  <c r="BH142" i="15" s="1"/>
  <c r="AF140" i="38"/>
  <c r="AH140" i="38"/>
  <c r="AW136" i="15"/>
  <c r="BI136" i="15" s="1"/>
  <c r="AH134" i="38"/>
  <c r="AF134" i="38"/>
  <c r="J133" i="15"/>
  <c r="J131" i="38"/>
  <c r="H132" i="15"/>
  <c r="H130" i="38"/>
  <c r="AG135" i="38"/>
  <c r="AI135" i="38"/>
  <c r="I133" i="15"/>
  <c r="I131" i="38"/>
  <c r="AW139" i="15"/>
  <c r="BI139" i="15" s="1"/>
  <c r="AF137" i="38"/>
  <c r="AH137" i="38"/>
  <c r="AW143" i="15"/>
  <c r="BI143" i="15" s="1"/>
  <c r="AF141" i="38"/>
  <c r="AH141" i="38"/>
  <c r="AH136" i="38"/>
  <c r="AF136" i="38"/>
  <c r="F132" i="15"/>
  <c r="F130" i="38"/>
  <c r="GM148" i="14"/>
  <c r="GN148" i="14" s="1"/>
  <c r="GO148" i="14" s="1"/>
  <c r="HT148" i="14" s="1"/>
  <c r="IG148" i="14" s="1"/>
  <c r="AG148" i="14"/>
  <c r="AH148" i="14" s="1"/>
  <c r="AJ148" i="14" s="1"/>
  <c r="BO148" i="14" s="1"/>
  <c r="CI148" i="14" s="1"/>
  <c r="AU141" i="15"/>
  <c r="BH141" i="15" s="1"/>
  <c r="JD159" i="14"/>
  <c r="AV145" i="15" s="1"/>
  <c r="JD157" i="14"/>
  <c r="AY151" i="14"/>
  <c r="AQ151" i="14"/>
  <c r="AT151" i="14" s="1"/>
  <c r="AU151" i="14" s="1"/>
  <c r="AV151" i="14" s="1"/>
  <c r="BG151" i="14"/>
  <c r="AN151" i="14"/>
  <c r="S147" i="14"/>
  <c r="AF147" i="14" s="1"/>
  <c r="GR147" i="14" s="1"/>
  <c r="GS147" i="14" s="1"/>
  <c r="GU147" i="14" s="1"/>
  <c r="I146" i="14"/>
  <c r="S146" i="14" s="1"/>
  <c r="AF146" i="14" s="1"/>
  <c r="Q105" i="6"/>
  <c r="J146" i="14"/>
  <c r="P104" i="6"/>
  <c r="F145" i="14"/>
  <c r="JD155" i="14"/>
  <c r="JD153" i="14"/>
  <c r="JD152" i="14"/>
  <c r="JD150" i="14"/>
  <c r="JD156" i="14"/>
  <c r="JD154" i="14"/>
  <c r="JD160" i="14"/>
  <c r="JD158" i="14"/>
  <c r="GQ149" i="14"/>
  <c r="GT149" i="14" s="1"/>
  <c r="BG150" i="14"/>
  <c r="AY150" i="14"/>
  <c r="AN150" i="14"/>
  <c r="AU137" i="15"/>
  <c r="BH137" i="15" s="1"/>
  <c r="AU144" i="15"/>
  <c r="BH144" i="15" s="1"/>
  <c r="AW140" i="15"/>
  <c r="BI140" i="15" s="1"/>
  <c r="AW144" i="15"/>
  <c r="BI144" i="15" s="1"/>
  <c r="AU136" i="15"/>
  <c r="BH136" i="15" s="1"/>
  <c r="AU143" i="15"/>
  <c r="BH143" i="15" s="1"/>
  <c r="AW146" i="15"/>
  <c r="BI146" i="15" s="1"/>
  <c r="AW138" i="15"/>
  <c r="BI138" i="15" s="1"/>
  <c r="AU138" i="15"/>
  <c r="BH138" i="15" s="1"/>
  <c r="AU139" i="15"/>
  <c r="BH139" i="15" s="1"/>
  <c r="AK149" i="14"/>
  <c r="AN149" i="14" s="1"/>
  <c r="AW142" i="15"/>
  <c r="BI142" i="15" s="1"/>
  <c r="Q148" i="14"/>
  <c r="IY148" i="14"/>
  <c r="JA148" i="14" s="1"/>
  <c r="JB148" i="14" s="1"/>
  <c r="AX137" i="15"/>
  <c r="AV137" i="15"/>
  <c r="R149" i="14"/>
  <c r="P146" i="14"/>
  <c r="AE146" i="14" s="1"/>
  <c r="T147" i="14"/>
  <c r="IX147" i="14" s="1"/>
  <c r="IZ147" i="14" s="1"/>
  <c r="G144" i="14"/>
  <c r="N105" i="6"/>
  <c r="H145" i="14" s="1"/>
  <c r="AW150" i="14" l="1"/>
  <c r="GP148" i="14"/>
  <c r="HU148" i="14" s="1"/>
  <c r="IO148" i="14" s="1"/>
  <c r="AI148" i="14"/>
  <c r="BN148" i="14" s="1"/>
  <c r="CA148" i="14" s="1"/>
  <c r="G130" i="15"/>
  <c r="G128" i="38"/>
  <c r="AG140" i="38"/>
  <c r="AI140" i="38"/>
  <c r="J132" i="15"/>
  <c r="J130" i="38"/>
  <c r="AV143" i="15"/>
  <c r="AG141" i="38"/>
  <c r="AI141" i="38"/>
  <c r="AV138" i="15"/>
  <c r="AG136" i="38"/>
  <c r="AI136" i="38"/>
  <c r="I132" i="15"/>
  <c r="I130" i="38"/>
  <c r="AX145" i="15"/>
  <c r="AG143" i="38"/>
  <c r="AI143" i="38"/>
  <c r="AX140" i="15"/>
  <c r="AG138" i="38"/>
  <c r="AI138" i="38"/>
  <c r="AX136" i="15"/>
  <c r="AG134" i="38"/>
  <c r="AI134" i="38"/>
  <c r="AX139" i="15"/>
  <c r="AG137" i="38"/>
  <c r="AI137" i="38"/>
  <c r="H131" i="15"/>
  <c r="H129" i="38"/>
  <c r="AV141" i="15"/>
  <c r="AG139" i="38"/>
  <c r="AI139" i="38"/>
  <c r="AX143" i="15"/>
  <c r="AX144" i="15"/>
  <c r="AG142" i="38"/>
  <c r="AI142" i="38"/>
  <c r="AV146" i="15"/>
  <c r="AI144" i="38"/>
  <c r="AG144" i="38"/>
  <c r="F131" i="15"/>
  <c r="F129" i="38"/>
  <c r="GM147" i="14"/>
  <c r="GN147" i="14" s="1"/>
  <c r="GP147" i="14" s="1"/>
  <c r="HU147" i="14" s="1"/>
  <c r="IO147" i="14" s="1"/>
  <c r="AL147" i="14"/>
  <c r="AM147" i="14" s="1"/>
  <c r="AO147" i="14" s="1"/>
  <c r="AG147" i="14"/>
  <c r="AH147" i="14" s="1"/>
  <c r="AJ147" i="14" s="1"/>
  <c r="BO147" i="14" s="1"/>
  <c r="CI147" i="14" s="1"/>
  <c r="AW151" i="14"/>
  <c r="BB151" i="14" s="1"/>
  <c r="BC151" i="14" s="1"/>
  <c r="BD151" i="14" s="1"/>
  <c r="BE151" i="14" s="1"/>
  <c r="BJ151" i="14" s="1"/>
  <c r="BK151" i="14" s="1"/>
  <c r="BL151" i="14" s="1"/>
  <c r="BM151" i="14" s="1"/>
  <c r="BS151" i="14" s="1"/>
  <c r="GQ148" i="14"/>
  <c r="GT148" i="14" s="1"/>
  <c r="AX141" i="15"/>
  <c r="P103" i="6"/>
  <c r="F144" i="14"/>
  <c r="Q104" i="6"/>
  <c r="J145" i="14"/>
  <c r="I145" i="14"/>
  <c r="I129" i="38" s="1"/>
  <c r="AX142" i="15"/>
  <c r="AV142" i="15"/>
  <c r="AX138" i="15"/>
  <c r="T146" i="14"/>
  <c r="IX146" i="14" s="1"/>
  <c r="IZ146" i="14" s="1"/>
  <c r="AV136" i="15"/>
  <c r="AV139" i="15"/>
  <c r="GR146" i="14"/>
  <c r="GS146" i="14" s="1"/>
  <c r="GU146" i="14" s="1"/>
  <c r="BB150" i="14"/>
  <c r="BC150" i="14" s="1"/>
  <c r="BD150" i="14" s="1"/>
  <c r="BE150" i="14" s="1"/>
  <c r="BJ150" i="14" s="1"/>
  <c r="BK150" i="14" s="1"/>
  <c r="BL150" i="14" s="1"/>
  <c r="BM150" i="14" s="1"/>
  <c r="BS150" i="14" s="1"/>
  <c r="AV144" i="15"/>
  <c r="AX146" i="15"/>
  <c r="AV140" i="15"/>
  <c r="P145" i="14"/>
  <c r="AE145" i="14" s="1"/>
  <c r="BG149" i="14"/>
  <c r="AQ149" i="14"/>
  <c r="AT149" i="14" s="1"/>
  <c r="AU149" i="14" s="1"/>
  <c r="AV149" i="14" s="1"/>
  <c r="AW149" i="14" s="1"/>
  <c r="AY149" i="14"/>
  <c r="IY147" i="14"/>
  <c r="JA147" i="14" s="1"/>
  <c r="JB147" i="14" s="1"/>
  <c r="AL146" i="14"/>
  <c r="AM146" i="14" s="1"/>
  <c r="AG146" i="14"/>
  <c r="AH146" i="14" s="1"/>
  <c r="AJ146" i="14" s="1"/>
  <c r="BO146" i="14" s="1"/>
  <c r="CI146" i="14" s="1"/>
  <c r="GM146" i="14"/>
  <c r="GN146" i="14" s="1"/>
  <c r="GP146" i="14" s="1"/>
  <c r="HU146" i="14" s="1"/>
  <c r="IO146" i="14" s="1"/>
  <c r="R148" i="14"/>
  <c r="Q147" i="14"/>
  <c r="N104" i="6"/>
  <c r="H144" i="14" s="1"/>
  <c r="G143" i="14"/>
  <c r="AK148" i="14" l="1"/>
  <c r="AY148" i="14" s="1"/>
  <c r="H130" i="15"/>
  <c r="H128" i="38"/>
  <c r="J131" i="15"/>
  <c r="J129" i="38"/>
  <c r="F130" i="15"/>
  <c r="F128" i="38"/>
  <c r="G129" i="15"/>
  <c r="G127" i="38"/>
  <c r="GO147" i="14"/>
  <c r="HT147" i="14" s="1"/>
  <c r="IG147" i="14" s="1"/>
  <c r="AI147" i="14"/>
  <c r="BN147" i="14" s="1"/>
  <c r="CA147" i="14" s="1"/>
  <c r="S145" i="14"/>
  <c r="AF145" i="14" s="1"/>
  <c r="AL145" i="14" s="1"/>
  <c r="AM145" i="14" s="1"/>
  <c r="AO145" i="14" s="1"/>
  <c r="I131" i="15"/>
  <c r="I144" i="14"/>
  <c r="Q103" i="6"/>
  <c r="J144" i="14"/>
  <c r="P102" i="6"/>
  <c r="F143" i="14"/>
  <c r="AK147" i="14"/>
  <c r="AN147" i="14" s="1"/>
  <c r="IY146" i="14"/>
  <c r="JA146" i="14" s="1"/>
  <c r="JB146" i="14" s="1"/>
  <c r="BG148" i="14"/>
  <c r="AN148" i="14"/>
  <c r="AQ148" i="14"/>
  <c r="AT148" i="14" s="1"/>
  <c r="AU148" i="14" s="1"/>
  <c r="AV148" i="14" s="1"/>
  <c r="AO146" i="14"/>
  <c r="BB149" i="14"/>
  <c r="BC149" i="14" s="1"/>
  <c r="BD149" i="14" s="1"/>
  <c r="BE149" i="14" s="1"/>
  <c r="BJ149" i="14" s="1"/>
  <c r="BK149" i="14" s="1"/>
  <c r="BL149" i="14" s="1"/>
  <c r="BM149" i="14" s="1"/>
  <c r="BS149" i="14" s="1"/>
  <c r="AI146" i="14"/>
  <c r="BN146" i="14" s="1"/>
  <c r="CA146" i="14" s="1"/>
  <c r="GO146" i="14"/>
  <c r="HT146" i="14" s="1"/>
  <c r="IG146" i="14" s="1"/>
  <c r="P144" i="14"/>
  <c r="AE144" i="14" s="1"/>
  <c r="T145" i="14"/>
  <c r="IX145" i="14" s="1"/>
  <c r="IZ145" i="14" s="1"/>
  <c r="Q146" i="14"/>
  <c r="N103" i="6"/>
  <c r="H143" i="14" s="1"/>
  <c r="G142" i="14"/>
  <c r="I130" i="15" l="1"/>
  <c r="I128" i="38"/>
  <c r="J130" i="15"/>
  <c r="J128" i="38"/>
  <c r="G128" i="15"/>
  <c r="G126" i="38"/>
  <c r="H129" i="15"/>
  <c r="H127" i="38"/>
  <c r="F129" i="15"/>
  <c r="F127" i="38"/>
  <c r="AG145" i="14"/>
  <c r="AH145" i="14" s="1"/>
  <c r="AI145" i="14" s="1"/>
  <c r="BN145" i="14" s="1"/>
  <c r="CA145" i="14" s="1"/>
  <c r="GQ147" i="14"/>
  <c r="GT147" i="14" s="1"/>
  <c r="T144" i="14"/>
  <c r="IX144" i="14" s="1"/>
  <c r="IY144" i="14" s="1"/>
  <c r="S144" i="14"/>
  <c r="AF144" i="14" s="1"/>
  <c r="AL144" i="14" s="1"/>
  <c r="AM144" i="14" s="1"/>
  <c r="AO144" i="14" s="1"/>
  <c r="GR145" i="14"/>
  <c r="GS145" i="14" s="1"/>
  <c r="GU145" i="14" s="1"/>
  <c r="GM145" i="14"/>
  <c r="GN145" i="14" s="1"/>
  <c r="P101" i="6"/>
  <c r="F142" i="14"/>
  <c r="Q102" i="6"/>
  <c r="J143" i="14"/>
  <c r="I143" i="14"/>
  <c r="AY147" i="14"/>
  <c r="R147" i="14"/>
  <c r="BG147" i="14"/>
  <c r="AQ147" i="14"/>
  <c r="AT147" i="14" s="1"/>
  <c r="AU147" i="14" s="1"/>
  <c r="AV147" i="14" s="1"/>
  <c r="AW147" i="14" s="1"/>
  <c r="AW148" i="14"/>
  <c r="BB148" i="14" s="1"/>
  <c r="BC148" i="14" s="1"/>
  <c r="BD148" i="14" s="1"/>
  <c r="BE148" i="14" s="1"/>
  <c r="BJ148" i="14" s="1"/>
  <c r="BK148" i="14" s="1"/>
  <c r="BL148" i="14" s="1"/>
  <c r="BM148" i="14" s="1"/>
  <c r="BS148" i="14" s="1"/>
  <c r="AK146" i="14"/>
  <c r="BG146" i="14" s="1"/>
  <c r="GQ146" i="14"/>
  <c r="GT146" i="14" s="1"/>
  <c r="IY145" i="14"/>
  <c r="JA145" i="14" s="1"/>
  <c r="JB145" i="14" s="1"/>
  <c r="R146" i="14"/>
  <c r="P143" i="14"/>
  <c r="AE143" i="14" s="1"/>
  <c r="Q145" i="14"/>
  <c r="N102" i="6"/>
  <c r="H142" i="14" s="1"/>
  <c r="G141" i="14"/>
  <c r="AJ145" i="14" l="1"/>
  <c r="BO145" i="14" s="1"/>
  <c r="CI145" i="14" s="1"/>
  <c r="GR144" i="14"/>
  <c r="GS144" i="14" s="1"/>
  <c r="GU144" i="14" s="1"/>
  <c r="J129" i="15"/>
  <c r="J127" i="38"/>
  <c r="G127" i="15"/>
  <c r="G125" i="38"/>
  <c r="I129" i="15"/>
  <c r="I127" i="38"/>
  <c r="H128" i="15"/>
  <c r="H126" i="38"/>
  <c r="F128" i="15"/>
  <c r="F126" i="38"/>
  <c r="AG144" i="14"/>
  <c r="AH144" i="14" s="1"/>
  <c r="AI144" i="14" s="1"/>
  <c r="BN144" i="14" s="1"/>
  <c r="CA144" i="14" s="1"/>
  <c r="GM144" i="14"/>
  <c r="GN144" i="14" s="1"/>
  <c r="GP144" i="14" s="1"/>
  <c r="HU144" i="14" s="1"/>
  <c r="IO144" i="14" s="1"/>
  <c r="IZ144" i="14"/>
  <c r="JA144" i="14" s="1"/>
  <c r="JB144" i="14" s="1"/>
  <c r="BB147" i="14"/>
  <c r="BC147" i="14" s="1"/>
  <c r="BD147" i="14" s="1"/>
  <c r="BE147" i="14" s="1"/>
  <c r="BJ147" i="14" s="1"/>
  <c r="BK147" i="14" s="1"/>
  <c r="BL147" i="14" s="1"/>
  <c r="BM147" i="14" s="1"/>
  <c r="BS147" i="14" s="1"/>
  <c r="S143" i="14"/>
  <c r="AF143" i="14" s="1"/>
  <c r="AG143" i="14" s="1"/>
  <c r="AH143" i="14" s="1"/>
  <c r="AI143" i="14" s="1"/>
  <c r="BN143" i="14" s="1"/>
  <c r="CA143" i="14" s="1"/>
  <c r="GO145" i="14"/>
  <c r="GP145" i="14"/>
  <c r="HU145" i="14" s="1"/>
  <c r="IO145" i="14" s="1"/>
  <c r="I142" i="14"/>
  <c r="Q101" i="6"/>
  <c r="J142" i="14"/>
  <c r="P100" i="6"/>
  <c r="F141" i="14"/>
  <c r="AK145" i="14"/>
  <c r="AN145" i="14" s="1"/>
  <c r="AY146" i="14"/>
  <c r="AN146" i="14"/>
  <c r="AQ146" i="14"/>
  <c r="AT146" i="14" s="1"/>
  <c r="AU146" i="14" s="1"/>
  <c r="AV146" i="14" s="1"/>
  <c r="P142" i="14"/>
  <c r="AE142" i="14" s="1"/>
  <c r="T143" i="14"/>
  <c r="IX143" i="14" s="1"/>
  <c r="IZ143" i="14" s="1"/>
  <c r="R145" i="14"/>
  <c r="Q144" i="14"/>
  <c r="N101" i="6"/>
  <c r="H141" i="14" s="1"/>
  <c r="G140" i="14"/>
  <c r="GO144" i="14" l="1"/>
  <c r="F127" i="15"/>
  <c r="F125" i="38"/>
  <c r="G126" i="15"/>
  <c r="G124" i="38"/>
  <c r="J128" i="15"/>
  <c r="J126" i="38"/>
  <c r="H127" i="15"/>
  <c r="H125" i="38"/>
  <c r="I128" i="15"/>
  <c r="I126" i="38"/>
  <c r="AL143" i="14"/>
  <c r="AM143" i="14" s="1"/>
  <c r="AO143" i="14" s="1"/>
  <c r="GR143" i="14"/>
  <c r="GS143" i="14" s="1"/>
  <c r="GU143" i="14" s="1"/>
  <c r="AJ144" i="14"/>
  <c r="BO144" i="14" s="1"/>
  <c r="CI144" i="14" s="1"/>
  <c r="GM143" i="14"/>
  <c r="GN143" i="14" s="1"/>
  <c r="GP143" i="14" s="1"/>
  <c r="HU143" i="14" s="1"/>
  <c r="IO143" i="14" s="1"/>
  <c r="S142" i="14"/>
  <c r="AF142" i="14" s="1"/>
  <c r="AG142" i="14" s="1"/>
  <c r="AH142" i="14" s="1"/>
  <c r="AI142" i="14" s="1"/>
  <c r="BN142" i="14" s="1"/>
  <c r="CA142" i="14" s="1"/>
  <c r="HT145" i="14"/>
  <c r="IG145" i="14" s="1"/>
  <c r="GQ145" i="14"/>
  <c r="GT145" i="14" s="1"/>
  <c r="P99" i="6"/>
  <c r="F140" i="14"/>
  <c r="AQ145" i="14"/>
  <c r="AT145" i="14" s="1"/>
  <c r="AU145" i="14" s="1"/>
  <c r="AV145" i="14" s="1"/>
  <c r="AW145" i="14" s="1"/>
  <c r="Q100" i="6"/>
  <c r="J141" i="14"/>
  <c r="I141" i="14"/>
  <c r="I125" i="38" s="1"/>
  <c r="BG145" i="14"/>
  <c r="AY145" i="14"/>
  <c r="AJ143" i="14"/>
  <c r="BO143" i="14" s="1"/>
  <c r="CI143" i="14" s="1"/>
  <c r="AW146" i="14"/>
  <c r="BB146" i="14" s="1"/>
  <c r="BC146" i="14" s="1"/>
  <c r="BD146" i="14" s="1"/>
  <c r="BE146" i="14" s="1"/>
  <c r="BJ146" i="14" s="1"/>
  <c r="BK146" i="14" s="1"/>
  <c r="BL146" i="14" s="1"/>
  <c r="BM146" i="14" s="1"/>
  <c r="BS146" i="14" s="1"/>
  <c r="IY143" i="14"/>
  <c r="JA143" i="14" s="1"/>
  <c r="JB143" i="14" s="1"/>
  <c r="P141" i="14"/>
  <c r="AE141" i="14" s="1"/>
  <c r="R144" i="14"/>
  <c r="T142" i="14"/>
  <c r="IX142" i="14" s="1"/>
  <c r="IZ142" i="14" s="1"/>
  <c r="Q143" i="14"/>
  <c r="HT144" i="14"/>
  <c r="IG144" i="14" s="1"/>
  <c r="GQ144" i="14"/>
  <c r="GT144" i="14" s="1"/>
  <c r="G139" i="14"/>
  <c r="N100" i="6"/>
  <c r="H140" i="14" s="1"/>
  <c r="AK144" i="14" l="1"/>
  <c r="BG144" i="14" s="1"/>
  <c r="AL142" i="14"/>
  <c r="AM142" i="14" s="1"/>
  <c r="AO142" i="14" s="1"/>
  <c r="G125" i="15"/>
  <c r="G123" i="38"/>
  <c r="J127" i="15"/>
  <c r="J125" i="38"/>
  <c r="H126" i="15"/>
  <c r="H124" i="38"/>
  <c r="GO143" i="14"/>
  <c r="GQ143" i="14" s="1"/>
  <c r="GT143" i="14" s="1"/>
  <c r="F126" i="15"/>
  <c r="F124" i="38"/>
  <c r="GR142" i="14"/>
  <c r="GS142" i="14" s="1"/>
  <c r="GU142" i="14" s="1"/>
  <c r="GM142" i="14"/>
  <c r="GN142" i="14" s="1"/>
  <c r="GO142" i="14" s="1"/>
  <c r="HT142" i="14" s="1"/>
  <c r="IG142" i="14" s="1"/>
  <c r="S141" i="14"/>
  <c r="AF141" i="14" s="1"/>
  <c r="GR141" i="14" s="1"/>
  <c r="GS141" i="14" s="1"/>
  <c r="GU141" i="14" s="1"/>
  <c r="I127" i="15"/>
  <c r="I140" i="14"/>
  <c r="Q99" i="6"/>
  <c r="J140" i="14"/>
  <c r="BB145" i="14"/>
  <c r="BC145" i="14" s="1"/>
  <c r="BD145" i="14" s="1"/>
  <c r="BE145" i="14" s="1"/>
  <c r="BJ145" i="14" s="1"/>
  <c r="BK145" i="14" s="1"/>
  <c r="BL145" i="14" s="1"/>
  <c r="BM145" i="14" s="1"/>
  <c r="BS145" i="14" s="1"/>
  <c r="P98" i="6"/>
  <c r="F139" i="14"/>
  <c r="AK143" i="14"/>
  <c r="AY143" i="14" s="1"/>
  <c r="AJ142" i="14"/>
  <c r="BO142" i="14" s="1"/>
  <c r="CI142" i="14" s="1"/>
  <c r="IY142" i="14"/>
  <c r="JA142" i="14" s="1"/>
  <c r="JB142" i="14" s="1"/>
  <c r="P140" i="14"/>
  <c r="AE140" i="14" s="1"/>
  <c r="T141" i="14"/>
  <c r="IX141" i="14" s="1"/>
  <c r="Q142" i="14"/>
  <c r="R143" i="14"/>
  <c r="G138" i="14"/>
  <c r="N99" i="6"/>
  <c r="H139" i="14" s="1"/>
  <c r="AQ144" i="14" l="1"/>
  <c r="AT144" i="14" s="1"/>
  <c r="AU144" i="14" s="1"/>
  <c r="AV144" i="14" s="1"/>
  <c r="AY144" i="14"/>
  <c r="HT143" i="14"/>
  <c r="IG143" i="14" s="1"/>
  <c r="AN144" i="14"/>
  <c r="GM141" i="14"/>
  <c r="GN141" i="14" s="1"/>
  <c r="GO141" i="14" s="1"/>
  <c r="HT141" i="14" s="1"/>
  <c r="IG141" i="14" s="1"/>
  <c r="AL141" i="14"/>
  <c r="AM141" i="14" s="1"/>
  <c r="AO141" i="14" s="1"/>
  <c r="AG141" i="14"/>
  <c r="AH141" i="14" s="1"/>
  <c r="AJ141" i="14" s="1"/>
  <c r="BO141" i="14" s="1"/>
  <c r="CI141" i="14" s="1"/>
  <c r="GP142" i="14"/>
  <c r="HU142" i="14" s="1"/>
  <c r="IO142" i="14" s="1"/>
  <c r="I126" i="15"/>
  <c r="I124" i="38"/>
  <c r="G124" i="15"/>
  <c r="G122" i="38"/>
  <c r="F125" i="15"/>
  <c r="F123" i="38"/>
  <c r="H125" i="15"/>
  <c r="H123" i="38"/>
  <c r="J126" i="15"/>
  <c r="J124" i="38"/>
  <c r="AN143" i="14"/>
  <c r="S140" i="14"/>
  <c r="AF140" i="14" s="1"/>
  <c r="GM140" i="14" s="1"/>
  <c r="GN140" i="14" s="1"/>
  <c r="GP140" i="14" s="1"/>
  <c r="HU140" i="14" s="1"/>
  <c r="IO140" i="14" s="1"/>
  <c r="P97" i="6"/>
  <c r="F138" i="14"/>
  <c r="Q98" i="6"/>
  <c r="J139" i="14"/>
  <c r="BG143" i="14"/>
  <c r="AQ143" i="14"/>
  <c r="AT143" i="14" s="1"/>
  <c r="AU143" i="14" s="1"/>
  <c r="AV143" i="14" s="1"/>
  <c r="I139" i="14"/>
  <c r="I123" i="38" s="1"/>
  <c r="AK142" i="14"/>
  <c r="BG142" i="14" s="1"/>
  <c r="AW144" i="14"/>
  <c r="BB144" i="14" s="1"/>
  <c r="BC144" i="14" s="1"/>
  <c r="BD144" i="14" s="1"/>
  <c r="BE144" i="14" s="1"/>
  <c r="BJ144" i="14" s="1"/>
  <c r="BK144" i="14" s="1"/>
  <c r="BL144" i="14" s="1"/>
  <c r="BM144" i="14" s="1"/>
  <c r="BS144" i="14" s="1"/>
  <c r="P139" i="14"/>
  <c r="AE139" i="14" s="1"/>
  <c r="Q141" i="14"/>
  <c r="IZ141" i="14"/>
  <c r="IY141" i="14"/>
  <c r="R142" i="14"/>
  <c r="T140" i="14"/>
  <c r="IX140" i="14" s="1"/>
  <c r="IZ140" i="14" s="1"/>
  <c r="N98" i="6"/>
  <c r="H138" i="14" s="1"/>
  <c r="G137" i="14"/>
  <c r="GP141" i="14" l="1"/>
  <c r="HU141" i="14" s="1"/>
  <c r="IO141" i="14" s="1"/>
  <c r="GQ142" i="14"/>
  <c r="GT142" i="14" s="1"/>
  <c r="AI141" i="14"/>
  <c r="BN141" i="14" s="1"/>
  <c r="CA141" i="14" s="1"/>
  <c r="AW143" i="14"/>
  <c r="BB143" i="14" s="1"/>
  <c r="BC143" i="14" s="1"/>
  <c r="BD143" i="14" s="1"/>
  <c r="BE143" i="14" s="1"/>
  <c r="BJ143" i="14" s="1"/>
  <c r="BK143" i="14" s="1"/>
  <c r="BL143" i="14" s="1"/>
  <c r="BM143" i="14" s="1"/>
  <c r="BS143" i="14" s="1"/>
  <c r="AL140" i="14"/>
  <c r="AM140" i="14" s="1"/>
  <c r="AO140" i="14" s="1"/>
  <c r="G123" i="15"/>
  <c r="G121" i="38"/>
  <c r="F124" i="15"/>
  <c r="F122" i="38"/>
  <c r="J125" i="15"/>
  <c r="J123" i="38"/>
  <c r="H124" i="15"/>
  <c r="H122" i="38"/>
  <c r="GR140" i="14"/>
  <c r="GS140" i="14" s="1"/>
  <c r="GU140" i="14" s="1"/>
  <c r="AG140" i="14"/>
  <c r="AH140" i="14" s="1"/>
  <c r="AJ140" i="14" s="1"/>
  <c r="BO140" i="14" s="1"/>
  <c r="CI140" i="14" s="1"/>
  <c r="P138" i="14"/>
  <c r="AE138" i="14" s="1"/>
  <c r="S139" i="14"/>
  <c r="AF139" i="14" s="1"/>
  <c r="GM139" i="14" s="1"/>
  <c r="GN139" i="14" s="1"/>
  <c r="GO139" i="14" s="1"/>
  <c r="HT139" i="14" s="1"/>
  <c r="IG139" i="14" s="1"/>
  <c r="I125" i="15"/>
  <c r="I138" i="14"/>
  <c r="Q97" i="6"/>
  <c r="J138" i="14"/>
  <c r="J122" i="38" s="1"/>
  <c r="P96" i="6"/>
  <c r="F137" i="14"/>
  <c r="GO140" i="14"/>
  <c r="GQ140" i="14" s="1"/>
  <c r="GT140" i="14" s="1"/>
  <c r="GQ141" i="14"/>
  <c r="GT141" i="14" s="1"/>
  <c r="AN142" i="14"/>
  <c r="AQ142" i="14"/>
  <c r="AT142" i="14" s="1"/>
  <c r="AU142" i="14" s="1"/>
  <c r="AV142" i="14" s="1"/>
  <c r="AY142" i="14"/>
  <c r="T139" i="14"/>
  <c r="IX139" i="14" s="1"/>
  <c r="IZ139" i="14" s="1"/>
  <c r="AK141" i="14"/>
  <c r="AN141" i="14" s="1"/>
  <c r="IY140" i="14"/>
  <c r="JA140" i="14" s="1"/>
  <c r="JB140" i="14" s="1"/>
  <c r="JA141" i="14"/>
  <c r="JB141" i="14" s="1"/>
  <c r="R141" i="14"/>
  <c r="Q140" i="14"/>
  <c r="G136" i="14"/>
  <c r="N97" i="6"/>
  <c r="H137" i="14" s="1"/>
  <c r="AL139" i="14" l="1"/>
  <c r="AM139" i="14" s="1"/>
  <c r="AO139" i="14" s="1"/>
  <c r="I124" i="15"/>
  <c r="I122" i="38"/>
  <c r="G122" i="15"/>
  <c r="G120" i="38"/>
  <c r="F123" i="15"/>
  <c r="F121" i="38"/>
  <c r="H123" i="15"/>
  <c r="H121" i="38"/>
  <c r="AI140" i="14"/>
  <c r="BN140" i="14" s="1"/>
  <c r="CA140" i="14" s="1"/>
  <c r="AG139" i="14"/>
  <c r="AH139" i="14" s="1"/>
  <c r="AI139" i="14" s="1"/>
  <c r="BN139" i="14" s="1"/>
  <c r="CA139" i="14" s="1"/>
  <c r="GP139" i="14"/>
  <c r="HU139" i="14" s="1"/>
  <c r="IO139" i="14" s="1"/>
  <c r="GR139" i="14"/>
  <c r="GS139" i="14" s="1"/>
  <c r="GU139" i="14" s="1"/>
  <c r="T138" i="14"/>
  <c r="IX138" i="14" s="1"/>
  <c r="IZ138" i="14" s="1"/>
  <c r="J124" i="15"/>
  <c r="S138" i="14"/>
  <c r="AF138" i="14" s="1"/>
  <c r="AG138" i="14" s="1"/>
  <c r="AH138" i="14" s="1"/>
  <c r="AJ138" i="14" s="1"/>
  <c r="BO138" i="14" s="1"/>
  <c r="CI138" i="14" s="1"/>
  <c r="P95" i="6"/>
  <c r="F136" i="14"/>
  <c r="Q96" i="6"/>
  <c r="J137" i="14"/>
  <c r="I137" i="14"/>
  <c r="HT140" i="14"/>
  <c r="IG140" i="14" s="1"/>
  <c r="AW142" i="14"/>
  <c r="BB142" i="14" s="1"/>
  <c r="BC142" i="14" s="1"/>
  <c r="BD142" i="14" s="1"/>
  <c r="BE142" i="14" s="1"/>
  <c r="BJ142" i="14" s="1"/>
  <c r="BK142" i="14" s="1"/>
  <c r="BL142" i="14" s="1"/>
  <c r="BM142" i="14" s="1"/>
  <c r="BS142" i="14" s="1"/>
  <c r="BG141" i="14"/>
  <c r="AQ141" i="14"/>
  <c r="AT141" i="14" s="1"/>
  <c r="AU141" i="14" s="1"/>
  <c r="AV141" i="14" s="1"/>
  <c r="AW141" i="14" s="1"/>
  <c r="IY139" i="14"/>
  <c r="JA139" i="14" s="1"/>
  <c r="JB139" i="14" s="1"/>
  <c r="AY141" i="14"/>
  <c r="JC144" i="14"/>
  <c r="JC141" i="14"/>
  <c r="JC142" i="14"/>
  <c r="JC145" i="14"/>
  <c r="JC148" i="14"/>
  <c r="JC149" i="14"/>
  <c r="JC146" i="14"/>
  <c r="JC143" i="14"/>
  <c r="JC147" i="14"/>
  <c r="JC140" i="14"/>
  <c r="P137" i="14"/>
  <c r="AE137" i="14" s="1"/>
  <c r="Q139" i="14"/>
  <c r="R140" i="14"/>
  <c r="JD148" i="14"/>
  <c r="JD144" i="14"/>
  <c r="JD140" i="14"/>
  <c r="JD141" i="14"/>
  <c r="JD147" i="14"/>
  <c r="JD143" i="14"/>
  <c r="JD145" i="14"/>
  <c r="JD149" i="14"/>
  <c r="JD146" i="14"/>
  <c r="JD142" i="14"/>
  <c r="N96" i="6"/>
  <c r="H136" i="14" s="1"/>
  <c r="G135" i="14"/>
  <c r="GQ139" i="14" l="1"/>
  <c r="GT139" i="14" s="1"/>
  <c r="IY138" i="14"/>
  <c r="JA138" i="14" s="1"/>
  <c r="JB138" i="14" s="1"/>
  <c r="AJ139" i="14"/>
  <c r="BO139" i="14" s="1"/>
  <c r="CI139" i="14" s="1"/>
  <c r="G121" i="15"/>
  <c r="G119" i="38"/>
  <c r="AU133" i="15"/>
  <c r="BH133" i="15" s="1"/>
  <c r="AH131" i="38"/>
  <c r="AF131" i="38"/>
  <c r="AW127" i="15"/>
  <c r="BI127" i="15" s="1"/>
  <c r="AH125" i="38"/>
  <c r="AF125" i="38"/>
  <c r="AU130" i="15"/>
  <c r="BH130" i="15" s="1"/>
  <c r="AH128" i="38"/>
  <c r="AF128" i="38"/>
  <c r="I123" i="15"/>
  <c r="I121" i="38"/>
  <c r="AI131" i="38"/>
  <c r="AG131" i="38"/>
  <c r="AF124" i="38"/>
  <c r="AH124" i="38"/>
  <c r="H122" i="15"/>
  <c r="H120" i="38"/>
  <c r="AI128" i="38"/>
  <c r="AG128" i="38"/>
  <c r="AI132" i="38"/>
  <c r="AG132" i="38"/>
  <c r="AW135" i="15"/>
  <c r="BI135" i="15" s="1"/>
  <c r="AH133" i="38"/>
  <c r="AF133" i="38"/>
  <c r="J123" i="15"/>
  <c r="J121" i="38"/>
  <c r="AI124" i="38"/>
  <c r="AG124" i="38"/>
  <c r="AI126" i="38"/>
  <c r="AG126" i="38"/>
  <c r="AI130" i="38"/>
  <c r="AG130" i="38"/>
  <c r="AH132" i="38"/>
  <c r="AF132" i="38"/>
  <c r="AI125" i="38"/>
  <c r="AG125" i="38"/>
  <c r="F122" i="15"/>
  <c r="F120" i="38"/>
  <c r="AW129" i="15"/>
  <c r="BI129" i="15" s="1"/>
  <c r="AH127" i="38"/>
  <c r="AF127" i="38"/>
  <c r="AW132" i="15"/>
  <c r="BI132" i="15" s="1"/>
  <c r="AH130" i="38"/>
  <c r="AF130" i="38"/>
  <c r="AI133" i="38"/>
  <c r="AG133" i="38"/>
  <c r="AI129" i="38"/>
  <c r="AG129" i="38"/>
  <c r="AU131" i="15"/>
  <c r="BH131" i="15" s="1"/>
  <c r="AH129" i="38"/>
  <c r="AF129" i="38"/>
  <c r="AI127" i="38"/>
  <c r="AG127" i="38"/>
  <c r="AW128" i="15"/>
  <c r="BI128" i="15" s="1"/>
  <c r="AH126" i="38"/>
  <c r="AF126" i="38"/>
  <c r="S137" i="14"/>
  <c r="AF137" i="14" s="1"/>
  <c r="AG137" i="14" s="1"/>
  <c r="AH137" i="14" s="1"/>
  <c r="AJ137" i="14" s="1"/>
  <c r="BO137" i="14" s="1"/>
  <c r="CI137" i="14" s="1"/>
  <c r="AK140" i="14"/>
  <c r="AN140" i="14" s="1"/>
  <c r="AK139" i="14"/>
  <c r="AN139" i="14" s="1"/>
  <c r="AL138" i="14"/>
  <c r="AM138" i="14" s="1"/>
  <c r="AO138" i="14" s="1"/>
  <c r="GR138" i="14"/>
  <c r="GS138" i="14" s="1"/>
  <c r="GU138" i="14" s="1"/>
  <c r="GM138" i="14"/>
  <c r="GN138" i="14" s="1"/>
  <c r="GP138" i="14" s="1"/>
  <c r="HU138" i="14" s="1"/>
  <c r="IO138" i="14" s="1"/>
  <c r="I136" i="14"/>
  <c r="Q95" i="6"/>
  <c r="J136" i="14"/>
  <c r="P94" i="6"/>
  <c r="F135" i="14"/>
  <c r="BB141" i="14"/>
  <c r="BC141" i="14" s="1"/>
  <c r="BD141" i="14" s="1"/>
  <c r="BE141" i="14" s="1"/>
  <c r="BJ141" i="14" s="1"/>
  <c r="BK141" i="14" s="1"/>
  <c r="BL141" i="14" s="1"/>
  <c r="BM141" i="14" s="1"/>
  <c r="BS141" i="14" s="1"/>
  <c r="AI138" i="14"/>
  <c r="BN138" i="14" s="1"/>
  <c r="CA138" i="14" s="1"/>
  <c r="AU128" i="15"/>
  <c r="BH128" i="15" s="1"/>
  <c r="AW130" i="15"/>
  <c r="BI130" i="15" s="1"/>
  <c r="AU127" i="15"/>
  <c r="BH127" i="15" s="1"/>
  <c r="AW131" i="15"/>
  <c r="BI131" i="15" s="1"/>
  <c r="AU135" i="15"/>
  <c r="BH135" i="15" s="1"/>
  <c r="AW134" i="15"/>
  <c r="BI134" i="15" s="1"/>
  <c r="AU126" i="15"/>
  <c r="BH126" i="15" s="1"/>
  <c r="AW133" i="15"/>
  <c r="BI133" i="15" s="1"/>
  <c r="AU134" i="15"/>
  <c r="BH134" i="15" s="1"/>
  <c r="AW126" i="15"/>
  <c r="BI126" i="15" s="1"/>
  <c r="AU132" i="15"/>
  <c r="BH132" i="15" s="1"/>
  <c r="AU129" i="15"/>
  <c r="BH129" i="15" s="1"/>
  <c r="AX127" i="15"/>
  <c r="AV127" i="15"/>
  <c r="Q138" i="14"/>
  <c r="AX133" i="15"/>
  <c r="AV133" i="15"/>
  <c r="AX126" i="15"/>
  <c r="AV126" i="15"/>
  <c r="AX128" i="15"/>
  <c r="AV128" i="15"/>
  <c r="AX130" i="15"/>
  <c r="AV130" i="15"/>
  <c r="T137" i="14"/>
  <c r="IX137" i="14" s="1"/>
  <c r="IZ137" i="14" s="1"/>
  <c r="R139" i="14"/>
  <c r="AX132" i="15"/>
  <c r="AV132" i="15"/>
  <c r="AX134" i="15"/>
  <c r="AV134" i="15"/>
  <c r="AX135" i="15"/>
  <c r="AV135" i="15"/>
  <c r="AX131" i="15"/>
  <c r="AV131" i="15"/>
  <c r="P136" i="14"/>
  <c r="AE136" i="14" s="1"/>
  <c r="S136" i="14"/>
  <c r="AF136" i="14" s="1"/>
  <c r="AX129" i="15"/>
  <c r="AV129" i="15"/>
  <c r="G134" i="14"/>
  <c r="N95" i="6"/>
  <c r="H135" i="14" s="1"/>
  <c r="GM137" i="14" l="1"/>
  <c r="GN137" i="14" s="1"/>
  <c r="GP137" i="14" s="1"/>
  <c r="HU137" i="14" s="1"/>
  <c r="IO137" i="14" s="1"/>
  <c r="GR137" i="14"/>
  <c r="GS137" i="14" s="1"/>
  <c r="GU137" i="14" s="1"/>
  <c r="AL137" i="14"/>
  <c r="AM137" i="14" s="1"/>
  <c r="AO137" i="14" s="1"/>
  <c r="AY139" i="14"/>
  <c r="BG139" i="14"/>
  <c r="AQ139" i="14"/>
  <c r="AT139" i="14" s="1"/>
  <c r="AU139" i="14" s="1"/>
  <c r="AV139" i="14" s="1"/>
  <c r="AW139" i="14" s="1"/>
  <c r="BB139" i="14" s="1"/>
  <c r="BC139" i="14" s="1"/>
  <c r="BD139" i="14" s="1"/>
  <c r="BE139" i="14" s="1"/>
  <c r="BJ139" i="14" s="1"/>
  <c r="BK139" i="14" s="1"/>
  <c r="BL139" i="14" s="1"/>
  <c r="BG140" i="14"/>
  <c r="G120" i="15"/>
  <c r="G118" i="38"/>
  <c r="F121" i="15"/>
  <c r="F119" i="38"/>
  <c r="J122" i="15"/>
  <c r="J120" i="38"/>
  <c r="AQ140" i="14"/>
  <c r="AT140" i="14" s="1"/>
  <c r="AU140" i="14" s="1"/>
  <c r="AV140" i="14" s="1"/>
  <c r="AW140" i="14" s="1"/>
  <c r="I122" i="15"/>
  <c r="I120" i="38"/>
  <c r="H121" i="15"/>
  <c r="H119" i="38"/>
  <c r="AY140" i="14"/>
  <c r="GO138" i="14"/>
  <c r="HT138" i="14" s="1"/>
  <c r="IG138" i="14" s="1"/>
  <c r="P93" i="6"/>
  <c r="F134" i="14"/>
  <c r="Q94" i="6"/>
  <c r="J135" i="14"/>
  <c r="I135" i="14"/>
  <c r="GM136" i="14"/>
  <c r="GN136" i="14" s="1"/>
  <c r="GO136" i="14" s="1"/>
  <c r="AK138" i="14"/>
  <c r="AN138" i="14" s="1"/>
  <c r="AI137" i="14"/>
  <c r="BN137" i="14" s="1"/>
  <c r="CA137" i="14" s="1"/>
  <c r="GR136" i="14"/>
  <c r="GS136" i="14" s="1"/>
  <c r="GU136" i="14" s="1"/>
  <c r="GO137" i="14"/>
  <c r="HT137" i="14" s="1"/>
  <c r="IG137" i="14" s="1"/>
  <c r="AL136" i="14"/>
  <c r="AM136" i="14" s="1"/>
  <c r="AO136" i="14" s="1"/>
  <c r="Q137" i="14"/>
  <c r="IY137" i="14"/>
  <c r="JA137" i="14" s="1"/>
  <c r="JB137" i="14" s="1"/>
  <c r="R138" i="14"/>
  <c r="T136" i="14"/>
  <c r="IX136" i="14" s="1"/>
  <c r="IZ136" i="14" s="1"/>
  <c r="P135" i="14"/>
  <c r="AE135" i="14" s="1"/>
  <c r="AG136" i="14"/>
  <c r="AH136" i="14" s="1"/>
  <c r="AI136" i="14" s="1"/>
  <c r="BN136" i="14" s="1"/>
  <c r="CA136" i="14" s="1"/>
  <c r="N94" i="6"/>
  <c r="H134" i="14" s="1"/>
  <c r="G133" i="14"/>
  <c r="GQ138" i="14" l="1"/>
  <c r="GT138" i="14" s="1"/>
  <c r="BB140" i="14"/>
  <c r="BC140" i="14" s="1"/>
  <c r="BD140" i="14" s="1"/>
  <c r="BE140" i="14" s="1"/>
  <c r="BJ140" i="14" s="1"/>
  <c r="BK140" i="14" s="1"/>
  <c r="BL140" i="14" s="1"/>
  <c r="BM140" i="14" s="1"/>
  <c r="BS140" i="14" s="1"/>
  <c r="F120" i="15"/>
  <c r="F118" i="38"/>
  <c r="I121" i="15"/>
  <c r="I119" i="38"/>
  <c r="G119" i="15"/>
  <c r="G117" i="38"/>
  <c r="H120" i="15"/>
  <c r="H118" i="38"/>
  <c r="J121" i="15"/>
  <c r="J119" i="38"/>
  <c r="P134" i="14"/>
  <c r="AE134" i="14" s="1"/>
  <c r="S135" i="14"/>
  <c r="AF135" i="14" s="1"/>
  <c r="AL135" i="14" s="1"/>
  <c r="AM135" i="14" s="1"/>
  <c r="AO135" i="14" s="1"/>
  <c r="I134" i="14"/>
  <c r="Q93" i="6"/>
  <c r="J134" i="14"/>
  <c r="P92" i="6"/>
  <c r="F133" i="14"/>
  <c r="BM139" i="14"/>
  <c r="BS139" i="14" s="1"/>
  <c r="R137" i="14"/>
  <c r="GP136" i="14"/>
  <c r="HU136" i="14" s="1"/>
  <c r="IO136" i="14" s="1"/>
  <c r="AK137" i="14"/>
  <c r="AN137" i="14" s="1"/>
  <c r="AQ138" i="14"/>
  <c r="AT138" i="14" s="1"/>
  <c r="AU138" i="14" s="1"/>
  <c r="AV138" i="14" s="1"/>
  <c r="AW138" i="14" s="1"/>
  <c r="AY138" i="14"/>
  <c r="BG138" i="14"/>
  <c r="GQ137" i="14"/>
  <c r="GT137" i="14" s="1"/>
  <c r="AJ136" i="14"/>
  <c r="BO136" i="14" s="1"/>
  <c r="CI136" i="14" s="1"/>
  <c r="IY136" i="14"/>
  <c r="JA136" i="14" s="1"/>
  <c r="JB136" i="14" s="1"/>
  <c r="Q136" i="14"/>
  <c r="T135" i="14"/>
  <c r="IX135" i="14" s="1"/>
  <c r="IZ135" i="14" s="1"/>
  <c r="HT136" i="14"/>
  <c r="IG136" i="14" s="1"/>
  <c r="N93" i="6"/>
  <c r="H133" i="14" s="1"/>
  <c r="G132" i="14"/>
  <c r="GM135" i="14" l="1"/>
  <c r="GN135" i="14" s="1"/>
  <c r="GO135" i="14" s="1"/>
  <c r="HT135" i="14" s="1"/>
  <c r="IG135" i="14" s="1"/>
  <c r="IK60" i="14" s="1"/>
  <c r="J120" i="15"/>
  <c r="J118" i="38"/>
  <c r="I120" i="15"/>
  <c r="I118" i="38"/>
  <c r="G118" i="15"/>
  <c r="G116" i="38"/>
  <c r="H119" i="15"/>
  <c r="H117" i="38"/>
  <c r="AG135" i="14"/>
  <c r="AH135" i="14" s="1"/>
  <c r="AJ135" i="14" s="1"/>
  <c r="BO135" i="14" s="1"/>
  <c r="CI135" i="14" s="1"/>
  <c r="F119" i="15"/>
  <c r="F117" i="38"/>
  <c r="S134" i="14"/>
  <c r="AF134" i="14" s="1"/>
  <c r="GR134" i="14" s="1"/>
  <c r="GS134" i="14" s="1"/>
  <c r="GU134" i="14" s="1"/>
  <c r="GQ136" i="14"/>
  <c r="GT136" i="14" s="1"/>
  <c r="GR135" i="14"/>
  <c r="GS135" i="14" s="1"/>
  <c r="GU135" i="14" s="1"/>
  <c r="P91" i="6"/>
  <c r="F132" i="14"/>
  <c r="Q92" i="6"/>
  <c r="J133" i="14"/>
  <c r="I133" i="14"/>
  <c r="I117" i="38" s="1"/>
  <c r="BG137" i="14"/>
  <c r="AY137" i="14"/>
  <c r="AQ137" i="14"/>
  <c r="AT137" i="14" s="1"/>
  <c r="AU137" i="14" s="1"/>
  <c r="AV137" i="14" s="1"/>
  <c r="AW137" i="14" s="1"/>
  <c r="BB138" i="14"/>
  <c r="BC138" i="14" s="1"/>
  <c r="BD138" i="14" s="1"/>
  <c r="BE138" i="14" s="1"/>
  <c r="BJ138" i="14" s="1"/>
  <c r="BK138" i="14" s="1"/>
  <c r="BL138" i="14" s="1"/>
  <c r="BM138" i="14" s="1"/>
  <c r="BS138" i="14" s="1"/>
  <c r="GP135" i="14"/>
  <c r="HU135" i="14" s="1"/>
  <c r="IO135" i="14" s="1"/>
  <c r="AK136" i="14"/>
  <c r="AN136" i="14" s="1"/>
  <c r="IY135" i="14"/>
  <c r="JA135" i="14" s="1"/>
  <c r="JB135" i="14" s="1"/>
  <c r="T134" i="14"/>
  <c r="IX134" i="14" s="1"/>
  <c r="IZ134" i="14" s="1"/>
  <c r="R136" i="14"/>
  <c r="P133" i="14"/>
  <c r="AE133" i="14" s="1"/>
  <c r="Q135" i="14"/>
  <c r="G131" i="14"/>
  <c r="N92" i="6"/>
  <c r="H132" i="14" s="1"/>
  <c r="AI135" i="14" l="1"/>
  <c r="BN135" i="14" s="1"/>
  <c r="CA135" i="14" s="1"/>
  <c r="GM134" i="14"/>
  <c r="GN134" i="14" s="1"/>
  <c r="GP134" i="14" s="1"/>
  <c r="HU134" i="14" s="1"/>
  <c r="AL134" i="14"/>
  <c r="AM134" i="14" s="1"/>
  <c r="AO134" i="14" s="1"/>
  <c r="AG134" i="14"/>
  <c r="AH134" i="14" s="1"/>
  <c r="AI134" i="14" s="1"/>
  <c r="BN134" i="14" s="1"/>
  <c r="F118" i="15"/>
  <c r="F116" i="38"/>
  <c r="H118" i="15"/>
  <c r="H116" i="38"/>
  <c r="G117" i="15"/>
  <c r="G115" i="38"/>
  <c r="J119" i="15"/>
  <c r="J117" i="38"/>
  <c r="S133" i="14"/>
  <c r="AF133" i="14" s="1"/>
  <c r="GM133" i="14" s="1"/>
  <c r="GN133" i="14" s="1"/>
  <c r="GP133" i="14" s="1"/>
  <c r="HU133" i="14" s="1"/>
  <c r="I119" i="15"/>
  <c r="I132" i="14"/>
  <c r="S132" i="14" s="1"/>
  <c r="AF132" i="14" s="1"/>
  <c r="Q91" i="6"/>
  <c r="J132" i="14"/>
  <c r="P90" i="6"/>
  <c r="F131" i="14"/>
  <c r="BB137" i="14"/>
  <c r="BC137" i="14" s="1"/>
  <c r="BD137" i="14" s="1"/>
  <c r="BE137" i="14" s="1"/>
  <c r="BJ137" i="14" s="1"/>
  <c r="BK137" i="14" s="1"/>
  <c r="BL137" i="14" s="1"/>
  <c r="BM137" i="14" s="1"/>
  <c r="BS137" i="14" s="1"/>
  <c r="AK135" i="14"/>
  <c r="AN135" i="14" s="1"/>
  <c r="AY136" i="14"/>
  <c r="BG136" i="14"/>
  <c r="AQ136" i="14"/>
  <c r="AT136" i="14" s="1"/>
  <c r="AU136" i="14" s="1"/>
  <c r="AV136" i="14" s="1"/>
  <c r="AW136" i="14" s="1"/>
  <c r="GQ135" i="14"/>
  <c r="GT135" i="14" s="1"/>
  <c r="IY134" i="14"/>
  <c r="JA134" i="14" s="1"/>
  <c r="JB134" i="14" s="1"/>
  <c r="R135" i="14"/>
  <c r="P132" i="14"/>
  <c r="AE132" i="14" s="1"/>
  <c r="Q134" i="14"/>
  <c r="T133" i="14"/>
  <c r="IX133" i="14" s="1"/>
  <c r="G130" i="14"/>
  <c r="N91" i="6"/>
  <c r="H131" i="14" s="1"/>
  <c r="IN133" i="14" l="1"/>
  <c r="IO133" i="14"/>
  <c r="BZ134" i="14"/>
  <c r="CA134" i="14"/>
  <c r="IN134" i="14"/>
  <c r="IO134" i="14"/>
  <c r="AJ134" i="14"/>
  <c r="BO134" i="14" s="1"/>
  <c r="GO134" i="14"/>
  <c r="GQ134" i="14" s="1"/>
  <c r="GT134" i="14" s="1"/>
  <c r="G116" i="15"/>
  <c r="G114" i="38"/>
  <c r="I118" i="15"/>
  <c r="I116" i="38"/>
  <c r="H117" i="15"/>
  <c r="H115" i="38"/>
  <c r="F117" i="15"/>
  <c r="F115" i="38"/>
  <c r="J118" i="15"/>
  <c r="J116" i="38"/>
  <c r="GR133" i="14"/>
  <c r="GS133" i="14" s="1"/>
  <c r="GU133" i="14" s="1"/>
  <c r="AG133" i="14"/>
  <c r="AH133" i="14" s="1"/>
  <c r="AI133" i="14" s="1"/>
  <c r="BN133" i="14" s="1"/>
  <c r="AL133" i="14"/>
  <c r="AM133" i="14" s="1"/>
  <c r="AO133" i="14" s="1"/>
  <c r="P89" i="6"/>
  <c r="F130" i="14"/>
  <c r="Q90" i="6"/>
  <c r="J131" i="14"/>
  <c r="I131" i="14"/>
  <c r="GO133" i="14"/>
  <c r="HT133" i="14" s="1"/>
  <c r="GM132" i="14"/>
  <c r="GN132" i="14" s="1"/>
  <c r="GP132" i="14" s="1"/>
  <c r="HU132" i="14" s="1"/>
  <c r="BG135" i="14"/>
  <c r="AQ135" i="14"/>
  <c r="AT135" i="14" s="1"/>
  <c r="AU135" i="14" s="1"/>
  <c r="AV135" i="14" s="1"/>
  <c r="AW135" i="14" s="1"/>
  <c r="AY135" i="14"/>
  <c r="BB136" i="14"/>
  <c r="BC136" i="14" s="1"/>
  <c r="BD136" i="14" s="1"/>
  <c r="BE136" i="14" s="1"/>
  <c r="BJ136" i="14" s="1"/>
  <c r="BK136" i="14" s="1"/>
  <c r="BL136" i="14" s="1"/>
  <c r="BM136" i="14" s="1"/>
  <c r="BS136" i="14" s="1"/>
  <c r="AL132" i="14"/>
  <c r="AM132" i="14" s="1"/>
  <c r="AO132" i="14" s="1"/>
  <c r="AG132" i="14"/>
  <c r="AH132" i="14" s="1"/>
  <c r="AJ132" i="14" s="1"/>
  <c r="BO132" i="14" s="1"/>
  <c r="GR132" i="14"/>
  <c r="GS132" i="14" s="1"/>
  <c r="GU132" i="14" s="1"/>
  <c r="R134" i="14"/>
  <c r="P131" i="14"/>
  <c r="AE131" i="14" s="1"/>
  <c r="Q133" i="14"/>
  <c r="T132" i="14"/>
  <c r="IX132" i="14" s="1"/>
  <c r="IZ132" i="14" s="1"/>
  <c r="IZ133" i="14"/>
  <c r="IY133" i="14"/>
  <c r="N90" i="6"/>
  <c r="H130" i="14" s="1"/>
  <c r="G129" i="14"/>
  <c r="CH134" i="14" l="1"/>
  <c r="CI134" i="14"/>
  <c r="BZ133" i="14"/>
  <c r="CA133" i="14"/>
  <c r="CH132" i="14"/>
  <c r="CI132" i="14"/>
  <c r="IN132" i="14"/>
  <c r="IO132" i="14"/>
  <c r="IF133" i="14"/>
  <c r="IG133" i="14"/>
  <c r="HT134" i="14"/>
  <c r="AK134" i="14"/>
  <c r="AN134" i="14" s="1"/>
  <c r="AJ133" i="14"/>
  <c r="BO133" i="14" s="1"/>
  <c r="F116" i="15"/>
  <c r="F114" i="38"/>
  <c r="H116" i="15"/>
  <c r="H114" i="38"/>
  <c r="I117" i="15"/>
  <c r="I115" i="38"/>
  <c r="G115" i="15"/>
  <c r="G113" i="38"/>
  <c r="J117" i="15"/>
  <c r="J115" i="38"/>
  <c r="S131" i="14"/>
  <c r="AF131" i="14" s="1"/>
  <c r="GM131" i="14" s="1"/>
  <c r="GN131" i="14" s="1"/>
  <c r="GO131" i="14" s="1"/>
  <c r="GQ133" i="14"/>
  <c r="GT133" i="14" s="1"/>
  <c r="I130" i="14"/>
  <c r="Q89" i="6"/>
  <c r="J130" i="14"/>
  <c r="GO132" i="14"/>
  <c r="GQ132" i="14" s="1"/>
  <c r="GT132" i="14" s="1"/>
  <c r="P88" i="6"/>
  <c r="F129" i="14"/>
  <c r="BB135" i="14"/>
  <c r="BC135" i="14" s="1"/>
  <c r="BD135" i="14" s="1"/>
  <c r="BE135" i="14" s="1"/>
  <c r="BJ135" i="14" s="1"/>
  <c r="BK135" i="14" s="1"/>
  <c r="BL135" i="14" s="1"/>
  <c r="BM135" i="14" s="1"/>
  <c r="BS135" i="14" s="1"/>
  <c r="JA133" i="14"/>
  <c r="JB133" i="14" s="1"/>
  <c r="AI132" i="14"/>
  <c r="BN132" i="14" s="1"/>
  <c r="IY132" i="14"/>
  <c r="JA132" i="14" s="1"/>
  <c r="JB132" i="14" s="1"/>
  <c r="P130" i="14"/>
  <c r="AE130" i="14" s="1"/>
  <c r="Q132" i="14"/>
  <c r="T131" i="14"/>
  <c r="IX131" i="14" s="1"/>
  <c r="IZ131" i="14" s="1"/>
  <c r="R133" i="14"/>
  <c r="N89" i="6"/>
  <c r="H129" i="14" s="1"/>
  <c r="G128" i="14"/>
  <c r="IF134" i="14" l="1"/>
  <c r="IG134" i="14"/>
  <c r="BZ132" i="14"/>
  <c r="CA132" i="14"/>
  <c r="AY134" i="14"/>
  <c r="CH133" i="14"/>
  <c r="CI133" i="14"/>
  <c r="BG134" i="14"/>
  <c r="AG131" i="14"/>
  <c r="AH131" i="14" s="1"/>
  <c r="AI131" i="14" s="1"/>
  <c r="BN131" i="14" s="1"/>
  <c r="AQ134" i="14"/>
  <c r="AT134" i="14" s="1"/>
  <c r="AU134" i="14" s="1"/>
  <c r="AV134" i="14" s="1"/>
  <c r="AW134" i="14" s="1"/>
  <c r="GR131" i="14"/>
  <c r="GS131" i="14" s="1"/>
  <c r="GU131" i="14" s="1"/>
  <c r="AL131" i="14"/>
  <c r="AM131" i="14" s="1"/>
  <c r="AO131" i="14" s="1"/>
  <c r="AK133" i="14"/>
  <c r="AN133" i="14" s="1"/>
  <c r="I116" i="15"/>
  <c r="I114" i="38"/>
  <c r="J116" i="15"/>
  <c r="J114" i="38"/>
  <c r="H115" i="15"/>
  <c r="H113" i="38"/>
  <c r="F115" i="15"/>
  <c r="F113" i="38"/>
  <c r="G114" i="15"/>
  <c r="G112" i="38"/>
  <c r="S130" i="14"/>
  <c r="AF130" i="14" s="1"/>
  <c r="GM130" i="14" s="1"/>
  <c r="GN130" i="14" s="1"/>
  <c r="HT132" i="14"/>
  <c r="P87" i="6"/>
  <c r="F128" i="14"/>
  <c r="Q88" i="6"/>
  <c r="J129" i="14"/>
  <c r="I129" i="14"/>
  <c r="I113" i="38" s="1"/>
  <c r="GP131" i="14"/>
  <c r="HU131" i="14" s="1"/>
  <c r="AK132" i="14"/>
  <c r="AN132" i="14" s="1"/>
  <c r="IY131" i="14"/>
  <c r="JA131" i="14" s="1"/>
  <c r="JB131" i="14" s="1"/>
  <c r="Q131" i="14"/>
  <c r="T130" i="14"/>
  <c r="IX130" i="14" s="1"/>
  <c r="IZ130" i="14" s="1"/>
  <c r="P129" i="14"/>
  <c r="AE129" i="14" s="1"/>
  <c r="R132" i="14"/>
  <c r="HT131" i="14"/>
  <c r="N88" i="6"/>
  <c r="H128" i="14" s="1"/>
  <c r="G127" i="14"/>
  <c r="AJ131" i="14" l="1"/>
  <c r="BO131" i="14" s="1"/>
  <c r="BB134" i="14"/>
  <c r="BC134" i="14" s="1"/>
  <c r="BD134" i="14" s="1"/>
  <c r="BE134" i="14" s="1"/>
  <c r="BJ134" i="14" s="1"/>
  <c r="BK134" i="14" s="1"/>
  <c r="BL134" i="14" s="1"/>
  <c r="BM134" i="14" s="1"/>
  <c r="BS134" i="14" s="1"/>
  <c r="IN131" i="14"/>
  <c r="IO131" i="14"/>
  <c r="CH131" i="14"/>
  <c r="CI131" i="14"/>
  <c r="IF132" i="14"/>
  <c r="IG132" i="14"/>
  <c r="BZ131" i="14"/>
  <c r="CA131" i="14"/>
  <c r="IF131" i="14"/>
  <c r="IG131" i="14"/>
  <c r="BG133" i="14"/>
  <c r="AY133" i="14"/>
  <c r="AQ133" i="14"/>
  <c r="AT133" i="14" s="1"/>
  <c r="AU133" i="14" s="1"/>
  <c r="AV133" i="14" s="1"/>
  <c r="AW133" i="14" s="1"/>
  <c r="BB133" i="14" s="1"/>
  <c r="BC133" i="14" s="1"/>
  <c r="BD133" i="14" s="1"/>
  <c r="BE133" i="14" s="1"/>
  <c r="BJ133" i="14" s="1"/>
  <c r="BK133" i="14" s="1"/>
  <c r="BL133" i="14" s="1"/>
  <c r="BM133" i="14" s="1"/>
  <c r="F114" i="15"/>
  <c r="F112" i="38"/>
  <c r="H114" i="15"/>
  <c r="H112" i="38"/>
  <c r="J115" i="15"/>
  <c r="J113" i="38"/>
  <c r="G113" i="15"/>
  <c r="G111" i="38"/>
  <c r="AG130" i="14"/>
  <c r="AH130" i="14" s="1"/>
  <c r="AJ130" i="14" s="1"/>
  <c r="BO130" i="14" s="1"/>
  <c r="AL130" i="14"/>
  <c r="AM130" i="14" s="1"/>
  <c r="AO130" i="14" s="1"/>
  <c r="GR130" i="14"/>
  <c r="GS130" i="14" s="1"/>
  <c r="GU130" i="14" s="1"/>
  <c r="S129" i="14"/>
  <c r="AF129" i="14" s="1"/>
  <c r="AG129" i="14" s="1"/>
  <c r="AH129" i="14" s="1"/>
  <c r="AI129" i="14" s="1"/>
  <c r="BN129" i="14" s="1"/>
  <c r="I115" i="15"/>
  <c r="I128" i="14"/>
  <c r="I112" i="38" s="1"/>
  <c r="Q87" i="6"/>
  <c r="J128" i="14"/>
  <c r="P86" i="6"/>
  <c r="F127" i="14"/>
  <c r="GQ131" i="14"/>
  <c r="GT131" i="14" s="1"/>
  <c r="AY132" i="14"/>
  <c r="AQ132" i="14"/>
  <c r="AT132" i="14" s="1"/>
  <c r="AU132" i="14" s="1"/>
  <c r="AV132" i="14" s="1"/>
  <c r="AW132" i="14" s="1"/>
  <c r="BG132" i="14"/>
  <c r="AK131" i="14"/>
  <c r="AN131" i="14" s="1"/>
  <c r="R131" i="14"/>
  <c r="Q130" i="14"/>
  <c r="IY130" i="14"/>
  <c r="JA130" i="14" s="1"/>
  <c r="JC138" i="14" s="1"/>
  <c r="GO130" i="14"/>
  <c r="GP130" i="14"/>
  <c r="HU130" i="14" s="1"/>
  <c r="P128" i="14"/>
  <c r="AE128" i="14" s="1"/>
  <c r="T129" i="14"/>
  <c r="IX129" i="14" s="1"/>
  <c r="IZ129" i="14" s="1"/>
  <c r="N87" i="6"/>
  <c r="H127" i="14" s="1"/>
  <c r="G126" i="14"/>
  <c r="BR134" i="14" l="1"/>
  <c r="BR133" i="14"/>
  <c r="BS133" i="14"/>
  <c r="IN130" i="14"/>
  <c r="IO130" i="14"/>
  <c r="BZ129" i="14"/>
  <c r="CA129" i="14"/>
  <c r="CH130" i="14"/>
  <c r="CI130" i="14"/>
  <c r="AI130" i="14"/>
  <c r="BN130" i="14" s="1"/>
  <c r="AL129" i="14"/>
  <c r="AM129" i="14" s="1"/>
  <c r="AO129" i="14" s="1"/>
  <c r="G112" i="15"/>
  <c r="G110" i="38"/>
  <c r="F113" i="15"/>
  <c r="F111" i="38"/>
  <c r="AF122" i="38"/>
  <c r="AH122" i="38"/>
  <c r="H113" i="15"/>
  <c r="H111" i="38"/>
  <c r="J114" i="15"/>
  <c r="J112" i="38"/>
  <c r="AJ129" i="14"/>
  <c r="BO129" i="14" s="1"/>
  <c r="S128" i="14"/>
  <c r="AF128" i="14" s="1"/>
  <c r="GM128" i="14" s="1"/>
  <c r="GN128" i="14" s="1"/>
  <c r="GP128" i="14" s="1"/>
  <c r="HU128" i="14" s="1"/>
  <c r="I114" i="15"/>
  <c r="GM129" i="14"/>
  <c r="GN129" i="14" s="1"/>
  <c r="GR129" i="14"/>
  <c r="GS129" i="14" s="1"/>
  <c r="GU129" i="14" s="1"/>
  <c r="P85" i="6"/>
  <c r="F126" i="14"/>
  <c r="Q86" i="6"/>
  <c r="J127" i="14"/>
  <c r="I127" i="14"/>
  <c r="I111" i="38" s="1"/>
  <c r="BB132" i="14"/>
  <c r="BC132" i="14" s="1"/>
  <c r="BD132" i="14" s="1"/>
  <c r="BE132" i="14" s="1"/>
  <c r="BJ132" i="14" s="1"/>
  <c r="BK132" i="14" s="1"/>
  <c r="BL132" i="14" s="1"/>
  <c r="BM132" i="14" s="1"/>
  <c r="BG131" i="14"/>
  <c r="AY131" i="14"/>
  <c r="AQ131" i="14"/>
  <c r="AT131" i="14" s="1"/>
  <c r="AU131" i="14" s="1"/>
  <c r="AV131" i="14" s="1"/>
  <c r="AW131" i="14" s="1"/>
  <c r="JC135" i="14"/>
  <c r="IY129" i="14"/>
  <c r="JA129" i="14" s="1"/>
  <c r="JB129" i="14" s="1"/>
  <c r="JC139" i="14"/>
  <c r="JC132" i="14"/>
  <c r="JB130" i="14"/>
  <c r="JD130" i="14" s="1"/>
  <c r="JC133" i="14"/>
  <c r="JC136" i="14"/>
  <c r="JC137" i="14"/>
  <c r="JC130" i="14"/>
  <c r="JC134" i="14"/>
  <c r="JC131" i="14"/>
  <c r="AW124" i="15"/>
  <c r="BI124" i="15" s="1"/>
  <c r="AU124" i="15"/>
  <c r="BH124" i="15" s="1"/>
  <c r="R130" i="14"/>
  <c r="HT130" i="14"/>
  <c r="GQ130" i="14"/>
  <c r="GT130" i="14" s="1"/>
  <c r="T128" i="14"/>
  <c r="IX128" i="14" s="1"/>
  <c r="IZ128" i="14" s="1"/>
  <c r="Q129" i="14"/>
  <c r="P127" i="14"/>
  <c r="AE127" i="14" s="1"/>
  <c r="G125" i="14"/>
  <c r="N86" i="6"/>
  <c r="H126" i="14" s="1"/>
  <c r="AK130" i="14" l="1"/>
  <c r="AN130" i="14" s="1"/>
  <c r="BR132" i="14"/>
  <c r="BS132" i="14"/>
  <c r="IN128" i="14"/>
  <c r="IO128" i="14"/>
  <c r="CH129" i="14"/>
  <c r="CI129" i="14"/>
  <c r="IF130" i="14"/>
  <c r="IG130" i="14"/>
  <c r="BZ130" i="14"/>
  <c r="CA130" i="14"/>
  <c r="AK129" i="14"/>
  <c r="G111" i="15"/>
  <c r="G109" i="38"/>
  <c r="AI114" i="38"/>
  <c r="AG114" i="38"/>
  <c r="AF123" i="38"/>
  <c r="AH123" i="38"/>
  <c r="H112" i="15"/>
  <c r="H110" i="38"/>
  <c r="AU120" i="15"/>
  <c r="BH120" i="15" s="1"/>
  <c r="AH118" i="38"/>
  <c r="AF118" i="38"/>
  <c r="AW119" i="15"/>
  <c r="BI119" i="15" s="1"/>
  <c r="AH117" i="38"/>
  <c r="AF117" i="38"/>
  <c r="AH116" i="38"/>
  <c r="AF116" i="38"/>
  <c r="AW117" i="15"/>
  <c r="BI117" i="15" s="1"/>
  <c r="AH115" i="38"/>
  <c r="AF115" i="38"/>
  <c r="AH114" i="38"/>
  <c r="AF114" i="38"/>
  <c r="AW121" i="15"/>
  <c r="BI121" i="15" s="1"/>
  <c r="AH119" i="38"/>
  <c r="AF119" i="38"/>
  <c r="J113" i="15"/>
  <c r="J111" i="38"/>
  <c r="AF121" i="38"/>
  <c r="AH121" i="38"/>
  <c r="AU122" i="15"/>
  <c r="BH122" i="15" s="1"/>
  <c r="AH120" i="38"/>
  <c r="AF120" i="38"/>
  <c r="F112" i="15"/>
  <c r="F110" i="38"/>
  <c r="GR128" i="14"/>
  <c r="GS128" i="14" s="1"/>
  <c r="GU128" i="14" s="1"/>
  <c r="AL128" i="14"/>
  <c r="AM128" i="14" s="1"/>
  <c r="AO128" i="14" s="1"/>
  <c r="AG128" i="14"/>
  <c r="AH128" i="14" s="1"/>
  <c r="AI128" i="14" s="1"/>
  <c r="BN128" i="14" s="1"/>
  <c r="GP129" i="14"/>
  <c r="HU129" i="14" s="1"/>
  <c r="GO129" i="14"/>
  <c r="S127" i="14"/>
  <c r="AF127" i="14" s="1"/>
  <c r="AG127" i="14" s="1"/>
  <c r="AH127" i="14" s="1"/>
  <c r="I113" i="15"/>
  <c r="I126" i="14"/>
  <c r="Q85" i="6"/>
  <c r="J126" i="14"/>
  <c r="P84" i="6"/>
  <c r="F125" i="14"/>
  <c r="JD134" i="14"/>
  <c r="BG130" i="14"/>
  <c r="AQ130" i="14"/>
  <c r="AT130" i="14" s="1"/>
  <c r="AU130" i="14" s="1"/>
  <c r="AV130" i="14" s="1"/>
  <c r="AW130" i="14" s="1"/>
  <c r="AY130" i="14"/>
  <c r="AU121" i="15"/>
  <c r="BH121" i="15" s="1"/>
  <c r="BB131" i="14"/>
  <c r="BC131" i="14" s="1"/>
  <c r="BD131" i="14" s="1"/>
  <c r="BE131" i="14" s="1"/>
  <c r="BJ131" i="14" s="1"/>
  <c r="BK131" i="14" s="1"/>
  <c r="BL131" i="14" s="1"/>
  <c r="BM131" i="14" s="1"/>
  <c r="GO128" i="14"/>
  <c r="GQ128" i="14" s="1"/>
  <c r="GT128" i="14" s="1"/>
  <c r="AU123" i="15"/>
  <c r="BH123" i="15" s="1"/>
  <c r="AW123" i="15"/>
  <c r="BI123" i="15" s="1"/>
  <c r="Q128" i="14"/>
  <c r="AW125" i="15"/>
  <c r="BI125" i="15" s="1"/>
  <c r="AW122" i="15"/>
  <c r="BI122" i="15" s="1"/>
  <c r="AU125" i="15"/>
  <c r="BH125" i="15" s="1"/>
  <c r="AU116" i="15"/>
  <c r="BH116" i="15" s="1"/>
  <c r="AW116" i="15"/>
  <c r="BI116" i="15" s="1"/>
  <c r="JD133" i="14"/>
  <c r="JD138" i="14"/>
  <c r="JD131" i="14"/>
  <c r="JD135" i="14"/>
  <c r="JD139" i="14"/>
  <c r="AW118" i="15"/>
  <c r="BI118" i="15" s="1"/>
  <c r="JD132" i="14"/>
  <c r="JD137" i="14"/>
  <c r="JD136" i="14"/>
  <c r="AU118" i="15"/>
  <c r="BH118" i="15" s="1"/>
  <c r="AW120" i="15"/>
  <c r="BI120" i="15" s="1"/>
  <c r="AU119" i="15"/>
  <c r="BH119" i="15" s="1"/>
  <c r="AU117" i="15"/>
  <c r="BH117" i="15" s="1"/>
  <c r="IY128" i="14"/>
  <c r="JA128" i="14" s="1"/>
  <c r="JB128" i="14" s="1"/>
  <c r="AX116" i="15"/>
  <c r="AV116" i="15"/>
  <c r="T127" i="14"/>
  <c r="IX127" i="14" s="1"/>
  <c r="IZ127" i="14" s="1"/>
  <c r="R129" i="14"/>
  <c r="P126" i="14"/>
  <c r="AE126" i="14" s="1"/>
  <c r="AN129" i="14"/>
  <c r="AQ129" i="14"/>
  <c r="AT129" i="14" s="1"/>
  <c r="AU129" i="14" s="1"/>
  <c r="AV129" i="14" s="1"/>
  <c r="BG129" i="14"/>
  <c r="AY129" i="14"/>
  <c r="G124" i="14"/>
  <c r="N85" i="6"/>
  <c r="H125" i="14" s="1"/>
  <c r="BZ128" i="14" l="1"/>
  <c r="CA128" i="14"/>
  <c r="IN129" i="14"/>
  <c r="IO129" i="14"/>
  <c r="BR131" i="14"/>
  <c r="BS131" i="14"/>
  <c r="AV125" i="15"/>
  <c r="AG123" i="38"/>
  <c r="AI123" i="38"/>
  <c r="AG122" i="38"/>
  <c r="AI122" i="38"/>
  <c r="AX120" i="15"/>
  <c r="AI118" i="38"/>
  <c r="AG118" i="38"/>
  <c r="H111" i="15"/>
  <c r="H109" i="38"/>
  <c r="AI120" i="38"/>
  <c r="AG120" i="38"/>
  <c r="AV119" i="15"/>
  <c r="AI117" i="38"/>
  <c r="AG117" i="38"/>
  <c r="F111" i="15"/>
  <c r="F109" i="38"/>
  <c r="G110" i="15"/>
  <c r="G108" i="38"/>
  <c r="AX123" i="15"/>
  <c r="AG121" i="38"/>
  <c r="AI121" i="38"/>
  <c r="J112" i="15"/>
  <c r="J110" i="38"/>
  <c r="AV117" i="15"/>
  <c r="AI115" i="38"/>
  <c r="AG115" i="38"/>
  <c r="AI116" i="38"/>
  <c r="AG116" i="38"/>
  <c r="I112" i="15"/>
  <c r="I110" i="38"/>
  <c r="AI119" i="38"/>
  <c r="AG119" i="38"/>
  <c r="AJ128" i="14"/>
  <c r="BO128" i="14" s="1"/>
  <c r="S126" i="14"/>
  <c r="AF126" i="14" s="1"/>
  <c r="GM126" i="14" s="1"/>
  <c r="GN126" i="14" s="1"/>
  <c r="AJ127" i="14"/>
  <c r="BO127" i="14" s="1"/>
  <c r="AI127" i="14"/>
  <c r="BN127" i="14" s="1"/>
  <c r="AL127" i="14"/>
  <c r="AM127" i="14" s="1"/>
  <c r="AO127" i="14" s="1"/>
  <c r="GR127" i="14"/>
  <c r="GS127" i="14" s="1"/>
  <c r="GU127" i="14" s="1"/>
  <c r="GM127" i="14"/>
  <c r="GN127" i="14" s="1"/>
  <c r="GQ129" i="14"/>
  <c r="GT129" i="14" s="1"/>
  <c r="HT129" i="14"/>
  <c r="P83" i="6"/>
  <c r="F124" i="14"/>
  <c r="Q84" i="6"/>
  <c r="J125" i="14"/>
  <c r="I125" i="14"/>
  <c r="AV120" i="15"/>
  <c r="BB130" i="14"/>
  <c r="BC130" i="14" s="1"/>
  <c r="BD130" i="14" s="1"/>
  <c r="BE130" i="14" s="1"/>
  <c r="BJ130" i="14" s="1"/>
  <c r="BK130" i="14" s="1"/>
  <c r="BL130" i="14" s="1"/>
  <c r="BM130" i="14" s="1"/>
  <c r="HT128" i="14"/>
  <c r="AV121" i="15"/>
  <c r="AX121" i="15"/>
  <c r="AX124" i="15"/>
  <c r="AV118" i="15"/>
  <c r="AX118" i="15"/>
  <c r="AV122" i="15"/>
  <c r="AV124" i="15"/>
  <c r="AX122" i="15"/>
  <c r="AX119" i="15"/>
  <c r="AV123" i="15"/>
  <c r="AX117" i="15"/>
  <c r="AX125" i="15"/>
  <c r="T126" i="14"/>
  <c r="IX126" i="14" s="1"/>
  <c r="IY127" i="14"/>
  <c r="JA127" i="14" s="1"/>
  <c r="JB127" i="14" s="1"/>
  <c r="R128" i="14"/>
  <c r="P125" i="14"/>
  <c r="AE125" i="14" s="1"/>
  <c r="Q127" i="14"/>
  <c r="AW129" i="14"/>
  <c r="BB129" i="14" s="1"/>
  <c r="BC129" i="14" s="1"/>
  <c r="BD129" i="14" s="1"/>
  <c r="BE129" i="14" s="1"/>
  <c r="BJ129" i="14" s="1"/>
  <c r="BK129" i="14" s="1"/>
  <c r="BL129" i="14" s="1"/>
  <c r="BM129" i="14" s="1"/>
  <c r="N84" i="6"/>
  <c r="H124" i="14" s="1"/>
  <c r="G123" i="14"/>
  <c r="AG126" i="14" l="1"/>
  <c r="AH126" i="14" s="1"/>
  <c r="AI126" i="14" s="1"/>
  <c r="BN126" i="14" s="1"/>
  <c r="AL126" i="14"/>
  <c r="AM126" i="14" s="1"/>
  <c r="AO126" i="14" s="1"/>
  <c r="GR126" i="14"/>
  <c r="GS126" i="14" s="1"/>
  <c r="GU126" i="14" s="1"/>
  <c r="IF128" i="14"/>
  <c r="IG128" i="14"/>
  <c r="BR129" i="14"/>
  <c r="BS129" i="14"/>
  <c r="BR130" i="14"/>
  <c r="BS130" i="14"/>
  <c r="BZ126" i="14"/>
  <c r="CA126" i="14"/>
  <c r="BZ127" i="14"/>
  <c r="CA127" i="14"/>
  <c r="CH128" i="14"/>
  <c r="CI128" i="14"/>
  <c r="CH127" i="14"/>
  <c r="CI127" i="14"/>
  <c r="IF129" i="14"/>
  <c r="IG129" i="14"/>
  <c r="J111" i="15"/>
  <c r="J109" i="38"/>
  <c r="AK128" i="14"/>
  <c r="AQ128" i="14" s="1"/>
  <c r="AT128" i="14" s="1"/>
  <c r="AU128" i="14" s="1"/>
  <c r="AV128" i="14" s="1"/>
  <c r="I111" i="15"/>
  <c r="I109" i="38"/>
  <c r="F110" i="15"/>
  <c r="F108" i="38"/>
  <c r="G109" i="15"/>
  <c r="G107" i="38"/>
  <c r="H110" i="15"/>
  <c r="H108" i="38"/>
  <c r="S125" i="14"/>
  <c r="AF125" i="14" s="1"/>
  <c r="GR125" i="14" s="1"/>
  <c r="GS125" i="14" s="1"/>
  <c r="GU125" i="14" s="1"/>
  <c r="AK127" i="14"/>
  <c r="AQ127" i="14" s="1"/>
  <c r="AT127" i="14" s="1"/>
  <c r="AU127" i="14" s="1"/>
  <c r="AV127" i="14" s="1"/>
  <c r="P124" i="14"/>
  <c r="AE124" i="14" s="1"/>
  <c r="GO127" i="14"/>
  <c r="GP127" i="14"/>
  <c r="HU127" i="14" s="1"/>
  <c r="I124" i="14"/>
  <c r="Q83" i="6"/>
  <c r="J124" i="14"/>
  <c r="P82" i="6"/>
  <c r="F123" i="14"/>
  <c r="AJ126" i="14"/>
  <c r="BO126" i="14" s="1"/>
  <c r="IZ126" i="14"/>
  <c r="IY126" i="14"/>
  <c r="Q126" i="14"/>
  <c r="R127" i="14"/>
  <c r="GP126" i="14"/>
  <c r="HU126" i="14" s="1"/>
  <c r="GO126" i="14"/>
  <c r="T125" i="14"/>
  <c r="IX125" i="14" s="1"/>
  <c r="IZ125" i="14" s="1"/>
  <c r="G122" i="14"/>
  <c r="N83" i="6"/>
  <c r="H123" i="14" s="1"/>
  <c r="AG125" i="14" l="1"/>
  <c r="AH125" i="14" s="1"/>
  <c r="AJ125" i="14" s="1"/>
  <c r="BO125" i="14" s="1"/>
  <c r="GM125" i="14"/>
  <c r="GN125" i="14" s="1"/>
  <c r="GP125" i="14" s="1"/>
  <c r="HU125" i="14" s="1"/>
  <c r="CH125" i="14"/>
  <c r="CI125" i="14"/>
  <c r="IN127" i="14"/>
  <c r="IO127" i="14"/>
  <c r="IN125" i="14"/>
  <c r="IO125" i="14"/>
  <c r="IN126" i="14"/>
  <c r="IO126" i="14"/>
  <c r="CH126" i="14"/>
  <c r="CI126" i="14"/>
  <c r="AL125" i="14"/>
  <c r="AM125" i="14" s="1"/>
  <c r="AO125" i="14" s="1"/>
  <c r="AY127" i="14"/>
  <c r="AN127" i="14"/>
  <c r="AW127" i="14" s="1"/>
  <c r="BB127" i="14" s="1"/>
  <c r="BC127" i="14" s="1"/>
  <c r="BD127" i="14" s="1"/>
  <c r="BE127" i="14" s="1"/>
  <c r="BJ127" i="14" s="1"/>
  <c r="BK127" i="14" s="1"/>
  <c r="BL127" i="14" s="1"/>
  <c r="BM127" i="14" s="1"/>
  <c r="BG128" i="14"/>
  <c r="AY128" i="14"/>
  <c r="AN128" i="14"/>
  <c r="AW128" i="14" s="1"/>
  <c r="BB128" i="14" s="1"/>
  <c r="BC128" i="14" s="1"/>
  <c r="BD128" i="14" s="1"/>
  <c r="BE128" i="14" s="1"/>
  <c r="F109" i="15"/>
  <c r="F107" i="38"/>
  <c r="J110" i="15"/>
  <c r="J108" i="38"/>
  <c r="G108" i="15"/>
  <c r="G106" i="38"/>
  <c r="I110" i="15"/>
  <c r="I108" i="38"/>
  <c r="H109" i="15"/>
  <c r="H107" i="38"/>
  <c r="BG127" i="14"/>
  <c r="S124" i="14"/>
  <c r="AF124" i="14" s="1"/>
  <c r="GR124" i="14" s="1"/>
  <c r="GS124" i="14" s="1"/>
  <c r="GU124" i="14" s="1"/>
  <c r="HT127" i="14"/>
  <c r="GQ127" i="14"/>
  <c r="GT127" i="14" s="1"/>
  <c r="P81" i="6"/>
  <c r="F122" i="14"/>
  <c r="Q82" i="6"/>
  <c r="J123" i="14"/>
  <c r="I123" i="14"/>
  <c r="JA126" i="14"/>
  <c r="JB126" i="14" s="1"/>
  <c r="GO125" i="14"/>
  <c r="HT125" i="14" s="1"/>
  <c r="AI125" i="14"/>
  <c r="BN125" i="14" s="1"/>
  <c r="T124" i="14"/>
  <c r="IX124" i="14" s="1"/>
  <c r="IZ124" i="14" s="1"/>
  <c r="IY125" i="14"/>
  <c r="JA125" i="14" s="1"/>
  <c r="JB125" i="14" s="1"/>
  <c r="AK126" i="14"/>
  <c r="BG126" i="14" s="1"/>
  <c r="Q125" i="14"/>
  <c r="R126" i="14"/>
  <c r="P123" i="14"/>
  <c r="AE123" i="14" s="1"/>
  <c r="GQ126" i="14"/>
  <c r="GT126" i="14" s="1"/>
  <c r="HT126" i="14"/>
  <c r="G121" i="14"/>
  <c r="N82" i="6"/>
  <c r="H122" i="14" s="1"/>
  <c r="BJ128" i="14" l="1"/>
  <c r="BK128" i="14" s="1"/>
  <c r="BL128" i="14" s="1"/>
  <c r="BM128" i="14" s="1"/>
  <c r="IF126" i="14"/>
  <c r="IG126" i="14"/>
  <c r="BR127" i="14"/>
  <c r="BS127" i="14"/>
  <c r="BR128" i="14"/>
  <c r="BS128" i="14"/>
  <c r="BZ125" i="14"/>
  <c r="CA125" i="14"/>
  <c r="IF125" i="14"/>
  <c r="IG125" i="14"/>
  <c r="IF127" i="14"/>
  <c r="IG127" i="14"/>
  <c r="GM124" i="14"/>
  <c r="GN124" i="14" s="1"/>
  <c r="GO124" i="14" s="1"/>
  <c r="HT124" i="14" s="1"/>
  <c r="F108" i="15"/>
  <c r="F106" i="38"/>
  <c r="H108" i="15"/>
  <c r="H106" i="38"/>
  <c r="I109" i="15"/>
  <c r="I107" i="38"/>
  <c r="G107" i="15"/>
  <c r="G105" i="38"/>
  <c r="J109" i="15"/>
  <c r="J107" i="38"/>
  <c r="AG124" i="14"/>
  <c r="AH124" i="14" s="1"/>
  <c r="AI124" i="14" s="1"/>
  <c r="BN124" i="14" s="1"/>
  <c r="AL124" i="14"/>
  <c r="AM124" i="14" s="1"/>
  <c r="AO124" i="14" s="1"/>
  <c r="S123" i="14"/>
  <c r="AF123" i="14" s="1"/>
  <c r="GR123" i="14" s="1"/>
  <c r="GS123" i="14" s="1"/>
  <c r="GU123" i="14" s="1"/>
  <c r="I122" i="14"/>
  <c r="Q81" i="6"/>
  <c r="J122" i="14"/>
  <c r="GQ125" i="14"/>
  <c r="GT125" i="14" s="1"/>
  <c r="P80" i="6"/>
  <c r="F121" i="14"/>
  <c r="AK125" i="14"/>
  <c r="AQ125" i="14" s="1"/>
  <c r="AT125" i="14" s="1"/>
  <c r="AU125" i="14" s="1"/>
  <c r="AV125" i="14" s="1"/>
  <c r="IY124" i="14"/>
  <c r="JA124" i="14" s="1"/>
  <c r="JB124" i="14" s="1"/>
  <c r="AQ126" i="14"/>
  <c r="AT126" i="14" s="1"/>
  <c r="AU126" i="14" s="1"/>
  <c r="AV126" i="14" s="1"/>
  <c r="AN126" i="14"/>
  <c r="AY126" i="14"/>
  <c r="R125" i="14"/>
  <c r="Q124" i="14"/>
  <c r="T123" i="14"/>
  <c r="IX123" i="14" s="1"/>
  <c r="IZ123" i="14" s="1"/>
  <c r="P122" i="14"/>
  <c r="AE122" i="14" s="1"/>
  <c r="N81" i="6"/>
  <c r="H121" i="14" s="1"/>
  <c r="G120" i="14"/>
  <c r="IF124" i="14" l="1"/>
  <c r="IG124" i="14"/>
  <c r="GP124" i="14"/>
  <c r="HU124" i="14" s="1"/>
  <c r="BZ124" i="14"/>
  <c r="CA124" i="14"/>
  <c r="AL123" i="14"/>
  <c r="AM123" i="14" s="1"/>
  <c r="AO123" i="14" s="1"/>
  <c r="AJ124" i="14"/>
  <c r="BO124" i="14" s="1"/>
  <c r="AG123" i="14"/>
  <c r="AH123" i="14" s="1"/>
  <c r="AI123" i="14" s="1"/>
  <c r="BN123" i="14" s="1"/>
  <c r="GM123" i="14"/>
  <c r="GN123" i="14" s="1"/>
  <c r="GP123" i="14" s="1"/>
  <c r="HU123" i="14" s="1"/>
  <c r="I108" i="15"/>
  <c r="I106" i="38"/>
  <c r="G106" i="15"/>
  <c r="G104" i="38"/>
  <c r="F107" i="15"/>
  <c r="F105" i="38"/>
  <c r="H107" i="15"/>
  <c r="H105" i="38"/>
  <c r="J108" i="15"/>
  <c r="J106" i="38"/>
  <c r="S122" i="14"/>
  <c r="AF122" i="14" s="1"/>
  <c r="AL122" i="14" s="1"/>
  <c r="AM122" i="14" s="1"/>
  <c r="AO122" i="14" s="1"/>
  <c r="P79" i="6"/>
  <c r="F120" i="14"/>
  <c r="Q80" i="6"/>
  <c r="J121" i="14"/>
  <c r="I121" i="14"/>
  <c r="AY125" i="14"/>
  <c r="AN125" i="14"/>
  <c r="AW125" i="14" s="1"/>
  <c r="BG125" i="14"/>
  <c r="GQ124" i="14"/>
  <c r="GT124" i="14" s="1"/>
  <c r="AW126" i="14"/>
  <c r="BB126" i="14" s="1"/>
  <c r="BC126" i="14" s="1"/>
  <c r="BD126" i="14" s="1"/>
  <c r="BE126" i="14" s="1"/>
  <c r="BJ126" i="14" s="1"/>
  <c r="BK126" i="14" s="1"/>
  <c r="BL126" i="14" s="1"/>
  <c r="BM126" i="14" s="1"/>
  <c r="IY123" i="14"/>
  <c r="JA123" i="14" s="1"/>
  <c r="JB123" i="14" s="1"/>
  <c r="R124" i="14"/>
  <c r="P121" i="14"/>
  <c r="AE121" i="14" s="1"/>
  <c r="T122" i="14"/>
  <c r="IX122" i="14" s="1"/>
  <c r="IZ122" i="14" s="1"/>
  <c r="Q123" i="14"/>
  <c r="G119" i="14"/>
  <c r="N80" i="6"/>
  <c r="H120" i="14" s="1"/>
  <c r="CH124" i="14" l="1"/>
  <c r="CI124" i="14"/>
  <c r="BZ123" i="14"/>
  <c r="CA123" i="14"/>
  <c r="IN124" i="14"/>
  <c r="IO124" i="14"/>
  <c r="BR126" i="14"/>
  <c r="BS126" i="14"/>
  <c r="IN123" i="14"/>
  <c r="IO123" i="14"/>
  <c r="GO123" i="14"/>
  <c r="AJ123" i="14"/>
  <c r="BO123" i="14" s="1"/>
  <c r="GR122" i="14"/>
  <c r="GS122" i="14" s="1"/>
  <c r="GU122" i="14" s="1"/>
  <c r="AG122" i="14"/>
  <c r="AH122" i="14" s="1"/>
  <c r="AJ122" i="14" s="1"/>
  <c r="BO122" i="14" s="1"/>
  <c r="AK124" i="14"/>
  <c r="AN124" i="14" s="1"/>
  <c r="GM122" i="14"/>
  <c r="GN122" i="14" s="1"/>
  <c r="GP122" i="14" s="1"/>
  <c r="HU122" i="14" s="1"/>
  <c r="J107" i="15"/>
  <c r="J105" i="38"/>
  <c r="F106" i="15"/>
  <c r="F104" i="38"/>
  <c r="G105" i="15"/>
  <c r="G103" i="38"/>
  <c r="H106" i="15"/>
  <c r="H104" i="38"/>
  <c r="I107" i="15"/>
  <c r="I105" i="38"/>
  <c r="BB125" i="14"/>
  <c r="BC125" i="14" s="1"/>
  <c r="BD125" i="14" s="1"/>
  <c r="BE125" i="14" s="1"/>
  <c r="BJ125" i="14" s="1"/>
  <c r="BK125" i="14" s="1"/>
  <c r="BL125" i="14" s="1"/>
  <c r="BM125" i="14" s="1"/>
  <c r="S121" i="14"/>
  <c r="AF121" i="14" s="1"/>
  <c r="GM121" i="14" s="1"/>
  <c r="GN121" i="14" s="1"/>
  <c r="GP121" i="14" s="1"/>
  <c r="HU121" i="14" s="1"/>
  <c r="I120" i="14"/>
  <c r="Q79" i="6"/>
  <c r="J120" i="14"/>
  <c r="P78" i="6"/>
  <c r="F119" i="14"/>
  <c r="Q122" i="14"/>
  <c r="P120" i="14"/>
  <c r="AE120" i="14" s="1"/>
  <c r="IY122" i="14"/>
  <c r="JA122" i="14" s="1"/>
  <c r="JB122" i="14" s="1"/>
  <c r="R123" i="14"/>
  <c r="HT123" i="14"/>
  <c r="GQ123" i="14"/>
  <c r="GT123" i="14" s="1"/>
  <c r="T121" i="14"/>
  <c r="IX121" i="14" s="1"/>
  <c r="IZ121" i="14" s="1"/>
  <c r="G118" i="14"/>
  <c r="N79" i="6"/>
  <c r="H119" i="14" s="1"/>
  <c r="IF123" i="14" l="1"/>
  <c r="IG123" i="14"/>
  <c r="CH122" i="14"/>
  <c r="CI122" i="14"/>
  <c r="IN121" i="14"/>
  <c r="IO121" i="14"/>
  <c r="IN122" i="14"/>
  <c r="IO122" i="14"/>
  <c r="CH123" i="14"/>
  <c r="CI123" i="14"/>
  <c r="BR125" i="14"/>
  <c r="BS125" i="14"/>
  <c r="BG124" i="14"/>
  <c r="AK123" i="14"/>
  <c r="AY123" i="14" s="1"/>
  <c r="AQ124" i="14"/>
  <c r="AT124" i="14" s="1"/>
  <c r="AU124" i="14" s="1"/>
  <c r="AV124" i="14" s="1"/>
  <c r="AW124" i="14" s="1"/>
  <c r="AI122" i="14"/>
  <c r="BN122" i="14" s="1"/>
  <c r="GO122" i="14"/>
  <c r="HT122" i="14" s="1"/>
  <c r="AY124" i="14"/>
  <c r="I106" i="15"/>
  <c r="I104" i="38"/>
  <c r="J106" i="15"/>
  <c r="J104" i="38"/>
  <c r="S120" i="14"/>
  <c r="AF120" i="14" s="1"/>
  <c r="GR120" i="14" s="1"/>
  <c r="GS120" i="14" s="1"/>
  <c r="GU120" i="14" s="1"/>
  <c r="H105" i="15"/>
  <c r="H103" i="38"/>
  <c r="F105" i="15"/>
  <c r="F103" i="38"/>
  <c r="G104" i="15"/>
  <c r="G102" i="38"/>
  <c r="AL121" i="14"/>
  <c r="AM121" i="14" s="1"/>
  <c r="AO121" i="14" s="1"/>
  <c r="AG121" i="14"/>
  <c r="AH121" i="14" s="1"/>
  <c r="AI121" i="14" s="1"/>
  <c r="BN121" i="14" s="1"/>
  <c r="GR121" i="14"/>
  <c r="GS121" i="14" s="1"/>
  <c r="GU121" i="14" s="1"/>
  <c r="P77" i="6"/>
  <c r="F118" i="14"/>
  <c r="Q78" i="6"/>
  <c r="J119" i="14"/>
  <c r="I119" i="14"/>
  <c r="GO121" i="14"/>
  <c r="HT121" i="14" s="1"/>
  <c r="IY121" i="14"/>
  <c r="JA121" i="14" s="1"/>
  <c r="JB121" i="14" s="1"/>
  <c r="Q121" i="14"/>
  <c r="R122" i="14"/>
  <c r="P119" i="14"/>
  <c r="AE119" i="14" s="1"/>
  <c r="T120" i="14"/>
  <c r="IX120" i="14" s="1"/>
  <c r="IZ120" i="14" s="1"/>
  <c r="N78" i="6"/>
  <c r="H118" i="14" s="1"/>
  <c r="G117" i="14"/>
  <c r="AN123" i="14" l="1"/>
  <c r="BZ121" i="14"/>
  <c r="CA121" i="14"/>
  <c r="IF121" i="14"/>
  <c r="IG121" i="14"/>
  <c r="BZ122" i="14"/>
  <c r="CA122" i="14"/>
  <c r="AK122" i="14"/>
  <c r="AN122" i="14" s="1"/>
  <c r="BG123" i="14"/>
  <c r="AQ123" i="14"/>
  <c r="AT123" i="14" s="1"/>
  <c r="AU123" i="14" s="1"/>
  <c r="AV123" i="14" s="1"/>
  <c r="AW123" i="14" s="1"/>
  <c r="BB123" i="14" s="1"/>
  <c r="BC123" i="14" s="1"/>
  <c r="BD123" i="14" s="1"/>
  <c r="BE123" i="14" s="1"/>
  <c r="IF122" i="14"/>
  <c r="IG122" i="14"/>
  <c r="GQ122" i="14"/>
  <c r="GT122" i="14" s="1"/>
  <c r="BB124" i="14"/>
  <c r="BC124" i="14" s="1"/>
  <c r="BD124" i="14" s="1"/>
  <c r="BE124" i="14" s="1"/>
  <c r="BJ124" i="14" s="1"/>
  <c r="BK124" i="14" s="1"/>
  <c r="BL124" i="14" s="1"/>
  <c r="BM124" i="14" s="1"/>
  <c r="AJ121" i="14"/>
  <c r="BO121" i="14" s="1"/>
  <c r="GM120" i="14"/>
  <c r="GN120" i="14" s="1"/>
  <c r="GP120" i="14" s="1"/>
  <c r="HU120" i="14" s="1"/>
  <c r="AG120" i="14"/>
  <c r="AH120" i="14" s="1"/>
  <c r="AI120" i="14" s="1"/>
  <c r="BN120" i="14" s="1"/>
  <c r="AL120" i="14"/>
  <c r="AM120" i="14" s="1"/>
  <c r="AO120" i="14" s="1"/>
  <c r="F104" i="15"/>
  <c r="F102" i="38"/>
  <c r="G103" i="15"/>
  <c r="G101" i="38"/>
  <c r="H104" i="15"/>
  <c r="H102" i="38"/>
  <c r="I105" i="15"/>
  <c r="I103" i="38"/>
  <c r="J105" i="15"/>
  <c r="J103" i="38"/>
  <c r="S119" i="14"/>
  <c r="AF119" i="14" s="1"/>
  <c r="AG119" i="14" s="1"/>
  <c r="AH119" i="14" s="1"/>
  <c r="AI119" i="14" s="1"/>
  <c r="BN119" i="14" s="1"/>
  <c r="BZ119" i="14" s="1"/>
  <c r="GQ121" i="14"/>
  <c r="GT121" i="14" s="1"/>
  <c r="I118" i="14"/>
  <c r="Q77" i="6"/>
  <c r="J118" i="14"/>
  <c r="P76" i="6"/>
  <c r="F117" i="14"/>
  <c r="IY120" i="14"/>
  <c r="JA120" i="14" s="1"/>
  <c r="JC123" i="14" s="1"/>
  <c r="P118" i="14"/>
  <c r="AE118" i="14" s="1"/>
  <c r="T119" i="14"/>
  <c r="IX119" i="14" s="1"/>
  <c r="IZ119" i="14" s="1"/>
  <c r="Q120" i="14"/>
  <c r="R121" i="14"/>
  <c r="G116" i="14"/>
  <c r="N77" i="6"/>
  <c r="H117" i="14" s="1"/>
  <c r="GO120" i="14" l="1"/>
  <c r="HT120" i="14" s="1"/>
  <c r="AY122" i="14"/>
  <c r="BJ123" i="14"/>
  <c r="BK123" i="14" s="1"/>
  <c r="BL123" i="14" s="1"/>
  <c r="BM123" i="14" s="1"/>
  <c r="BS123" i="14" s="1"/>
  <c r="AK121" i="14"/>
  <c r="AY121" i="14" s="1"/>
  <c r="IF120" i="14"/>
  <c r="IG120" i="14"/>
  <c r="BZ120" i="14"/>
  <c r="CA120" i="14"/>
  <c r="CH121" i="14"/>
  <c r="CI121" i="14"/>
  <c r="BR124" i="14"/>
  <c r="BS124" i="14"/>
  <c r="BG122" i="14"/>
  <c r="BR123" i="14"/>
  <c r="IN120" i="14"/>
  <c r="IO120" i="14"/>
  <c r="AQ122" i="14"/>
  <c r="AT122" i="14" s="1"/>
  <c r="AU122" i="14" s="1"/>
  <c r="AV122" i="14" s="1"/>
  <c r="AW122" i="14" s="1"/>
  <c r="AJ120" i="14"/>
  <c r="BO120" i="14" s="1"/>
  <c r="GM119" i="14"/>
  <c r="GN119" i="14" s="1"/>
  <c r="GO119" i="14" s="1"/>
  <c r="I104" i="15"/>
  <c r="I102" i="38"/>
  <c r="J104" i="15"/>
  <c r="J102" i="38"/>
  <c r="H103" i="15"/>
  <c r="H101" i="38"/>
  <c r="AH107" i="38"/>
  <c r="AF107" i="38"/>
  <c r="G102" i="15"/>
  <c r="G100" i="38"/>
  <c r="AL119" i="14"/>
  <c r="AM119" i="14" s="1"/>
  <c r="AO119" i="14" s="1"/>
  <c r="F103" i="15"/>
  <c r="F101" i="38"/>
  <c r="GR119" i="14"/>
  <c r="GS119" i="14" s="1"/>
  <c r="GU119" i="14" s="1"/>
  <c r="S118" i="14"/>
  <c r="AF118" i="14" s="1"/>
  <c r="GM118" i="14" s="1"/>
  <c r="GN118" i="14" s="1"/>
  <c r="GO118" i="14" s="1"/>
  <c r="P75" i="6"/>
  <c r="F116" i="14"/>
  <c r="P116" i="14" s="1"/>
  <c r="AE116" i="14" s="1"/>
  <c r="Q76" i="6"/>
  <c r="J117" i="14"/>
  <c r="T117" i="14" s="1"/>
  <c r="IX117" i="14" s="1"/>
  <c r="IZ117" i="14" s="1"/>
  <c r="I117" i="14"/>
  <c r="I101" i="38" s="1"/>
  <c r="GQ120" i="14"/>
  <c r="GT120" i="14" s="1"/>
  <c r="AJ119" i="14"/>
  <c r="BO119" i="14" s="1"/>
  <c r="CH119" i="14" s="1"/>
  <c r="JB120" i="14"/>
  <c r="JD127" i="14" s="1"/>
  <c r="JC121" i="14"/>
  <c r="JC125" i="14"/>
  <c r="JC120" i="14"/>
  <c r="JC124" i="14"/>
  <c r="JC128" i="14"/>
  <c r="JC129" i="14"/>
  <c r="JC122" i="14"/>
  <c r="JC126" i="14"/>
  <c r="JC127" i="14"/>
  <c r="T118" i="14"/>
  <c r="IX118" i="14" s="1"/>
  <c r="IZ118" i="14" s="1"/>
  <c r="AW109" i="15"/>
  <c r="BI109" i="15" s="1"/>
  <c r="AU109" i="15"/>
  <c r="BH109" i="15" s="1"/>
  <c r="R120" i="14"/>
  <c r="IY119" i="14"/>
  <c r="JA119" i="14" s="1"/>
  <c r="JB119" i="14" s="1"/>
  <c r="Q119" i="14"/>
  <c r="P117" i="14"/>
  <c r="AE117" i="14" s="1"/>
  <c r="G115" i="14"/>
  <c r="N76" i="6"/>
  <c r="H116" i="14" s="1"/>
  <c r="AQ121" i="14" l="1"/>
  <c r="AT121" i="14" s="1"/>
  <c r="AU121" i="14" s="1"/>
  <c r="AV121" i="14" s="1"/>
  <c r="BG121" i="14"/>
  <c r="BB122" i="14"/>
  <c r="BC122" i="14" s="1"/>
  <c r="BD122" i="14" s="1"/>
  <c r="BE122" i="14" s="1"/>
  <c r="BJ122" i="14" s="1"/>
  <c r="BK122" i="14" s="1"/>
  <c r="BL122" i="14" s="1"/>
  <c r="BM122" i="14" s="1"/>
  <c r="BS122" i="14" s="1"/>
  <c r="AN121" i="14"/>
  <c r="CH120" i="14"/>
  <c r="CI120" i="14"/>
  <c r="GP119" i="14"/>
  <c r="HU119" i="14" s="1"/>
  <c r="IN119" i="14" s="1"/>
  <c r="AK120" i="14"/>
  <c r="BG120" i="14" s="1"/>
  <c r="AU108" i="15"/>
  <c r="BH108" i="15" s="1"/>
  <c r="AF106" i="38"/>
  <c r="AH106" i="38"/>
  <c r="AW115" i="15"/>
  <c r="BI115" i="15" s="1"/>
  <c r="AF113" i="38"/>
  <c r="AH113" i="38"/>
  <c r="AI111" i="38"/>
  <c r="AG111" i="38"/>
  <c r="AW107" i="15"/>
  <c r="BI107" i="15" s="1"/>
  <c r="AF105" i="38"/>
  <c r="AH105" i="38"/>
  <c r="H102" i="15"/>
  <c r="H100" i="38"/>
  <c r="AL118" i="14"/>
  <c r="AM118" i="14" s="1"/>
  <c r="AO118" i="14" s="1"/>
  <c r="GR118" i="14"/>
  <c r="GS118" i="14" s="1"/>
  <c r="GU118" i="14" s="1"/>
  <c r="AW114" i="15"/>
  <c r="BI114" i="15" s="1"/>
  <c r="AF112" i="38"/>
  <c r="AH112" i="38"/>
  <c r="G101" i="15"/>
  <c r="G99" i="38"/>
  <c r="AG118" i="14"/>
  <c r="AH118" i="14" s="1"/>
  <c r="AJ118" i="14" s="1"/>
  <c r="BO118" i="14" s="1"/>
  <c r="CH118" i="14" s="1"/>
  <c r="AU110" i="15"/>
  <c r="BH110" i="15" s="1"/>
  <c r="AH108" i="38"/>
  <c r="AF108" i="38"/>
  <c r="J103" i="15"/>
  <c r="J101" i="38"/>
  <c r="AF111" i="38"/>
  <c r="AH111" i="38"/>
  <c r="AF104" i="38"/>
  <c r="AH104" i="38"/>
  <c r="AF110" i="38"/>
  <c r="AH110" i="38"/>
  <c r="AW111" i="15"/>
  <c r="BI111" i="15" s="1"/>
  <c r="AF109" i="38"/>
  <c r="AH109" i="38"/>
  <c r="F102" i="15"/>
  <c r="F100" i="38"/>
  <c r="S117" i="14"/>
  <c r="AF117" i="14" s="1"/>
  <c r="GM117" i="14" s="1"/>
  <c r="GN117" i="14" s="1"/>
  <c r="I103" i="15"/>
  <c r="I116" i="14"/>
  <c r="Q75" i="6"/>
  <c r="J116" i="14"/>
  <c r="P74" i="6"/>
  <c r="F115" i="14"/>
  <c r="AW121" i="14"/>
  <c r="BB121" i="14" s="1"/>
  <c r="BC121" i="14" s="1"/>
  <c r="BD121" i="14" s="1"/>
  <c r="BE121" i="14" s="1"/>
  <c r="BJ121" i="14" s="1"/>
  <c r="BK121" i="14" s="1"/>
  <c r="BL121" i="14" s="1"/>
  <c r="BM121" i="14" s="1"/>
  <c r="GP118" i="14"/>
  <c r="HU118" i="14" s="1"/>
  <c r="IN118" i="14" s="1"/>
  <c r="AW106" i="15"/>
  <c r="BI106" i="15" s="1"/>
  <c r="AU106" i="15"/>
  <c r="BH106" i="15" s="1"/>
  <c r="AU112" i="15"/>
  <c r="BH112" i="15" s="1"/>
  <c r="AW112" i="15"/>
  <c r="BI112" i="15" s="1"/>
  <c r="AU113" i="15"/>
  <c r="BH113" i="15" s="1"/>
  <c r="AW113" i="15"/>
  <c r="BI113" i="15" s="1"/>
  <c r="AK119" i="14"/>
  <c r="AN119" i="14" s="1"/>
  <c r="JD129" i="14"/>
  <c r="JD120" i="14"/>
  <c r="JD122" i="14"/>
  <c r="JD128" i="14"/>
  <c r="JD124" i="14"/>
  <c r="JD126" i="14"/>
  <c r="JD121" i="14"/>
  <c r="JD125" i="14"/>
  <c r="JD123" i="14"/>
  <c r="AU115" i="15"/>
  <c r="BH115" i="15" s="1"/>
  <c r="AW110" i="15"/>
  <c r="BI110" i="15" s="1"/>
  <c r="AW108" i="15"/>
  <c r="BI108" i="15" s="1"/>
  <c r="AU107" i="15"/>
  <c r="BH107" i="15" s="1"/>
  <c r="AU111" i="15"/>
  <c r="BH111" i="15" s="1"/>
  <c r="AU114" i="15"/>
  <c r="BH114" i="15" s="1"/>
  <c r="IY118" i="14"/>
  <c r="JA118" i="14" s="1"/>
  <c r="JB118" i="14" s="1"/>
  <c r="R119" i="14"/>
  <c r="IY117" i="14"/>
  <c r="JA117" i="14" s="1"/>
  <c r="JB117" i="14" s="1"/>
  <c r="Q118" i="14"/>
  <c r="HT119" i="14"/>
  <c r="IF119" i="14" s="1"/>
  <c r="AX113" i="15"/>
  <c r="AV113" i="15"/>
  <c r="HT118" i="14"/>
  <c r="IF118" i="14" s="1"/>
  <c r="N75" i="6"/>
  <c r="H115" i="14" s="1"/>
  <c r="G114" i="14"/>
  <c r="BR122" i="14" l="1"/>
  <c r="AI118" i="14"/>
  <c r="BN118" i="14" s="1"/>
  <c r="BZ118" i="14" s="1"/>
  <c r="GQ119" i="14"/>
  <c r="GT119" i="14" s="1"/>
  <c r="AY120" i="14"/>
  <c r="AN120" i="14"/>
  <c r="AQ120" i="14"/>
  <c r="AT120" i="14" s="1"/>
  <c r="AU120" i="14" s="1"/>
  <c r="AV120" i="14" s="1"/>
  <c r="BR121" i="14"/>
  <c r="BS121" i="14"/>
  <c r="AL117" i="14"/>
  <c r="AM117" i="14" s="1"/>
  <c r="AO117" i="14" s="1"/>
  <c r="AG117" i="14"/>
  <c r="AH117" i="14" s="1"/>
  <c r="AJ117" i="14" s="1"/>
  <c r="BO117" i="14" s="1"/>
  <c r="CH117" i="14" s="1"/>
  <c r="AX108" i="15"/>
  <c r="AG106" i="38"/>
  <c r="AI106" i="38"/>
  <c r="AV114" i="15"/>
  <c r="AI112" i="38"/>
  <c r="AG112" i="38"/>
  <c r="AG104" i="38"/>
  <c r="AI104" i="38"/>
  <c r="AX109" i="15"/>
  <c r="AI107" i="38"/>
  <c r="AG107" i="38"/>
  <c r="F101" i="15"/>
  <c r="F99" i="38"/>
  <c r="AV115" i="15"/>
  <c r="AI113" i="38"/>
  <c r="AG113" i="38"/>
  <c r="H101" i="15"/>
  <c r="H99" i="38"/>
  <c r="AG109" i="38"/>
  <c r="AI109" i="38"/>
  <c r="G100" i="15"/>
  <c r="G98" i="38"/>
  <c r="AV107" i="15"/>
  <c r="AI105" i="38"/>
  <c r="AG105" i="38"/>
  <c r="GR117" i="14"/>
  <c r="GS117" i="14" s="1"/>
  <c r="GU117" i="14" s="1"/>
  <c r="J102" i="15"/>
  <c r="J100" i="38"/>
  <c r="AX112" i="15"/>
  <c r="AI110" i="38"/>
  <c r="AG110" i="38"/>
  <c r="AG108" i="38"/>
  <c r="AI108" i="38"/>
  <c r="I102" i="15"/>
  <c r="I100" i="38"/>
  <c r="S116" i="14"/>
  <c r="AF116" i="14" s="1"/>
  <c r="GM116" i="14" s="1"/>
  <c r="GN116" i="14" s="1"/>
  <c r="GQ118" i="14"/>
  <c r="GT118" i="14" s="1"/>
  <c r="P73" i="6"/>
  <c r="F114" i="14"/>
  <c r="Q74" i="6"/>
  <c r="J115" i="14"/>
  <c r="I115" i="14"/>
  <c r="I99" i="38" s="1"/>
  <c r="GO117" i="14"/>
  <c r="GP117" i="14"/>
  <c r="HU117" i="14" s="1"/>
  <c r="IN117" i="14" s="1"/>
  <c r="BG119" i="14"/>
  <c r="AQ119" i="14"/>
  <c r="AT119" i="14" s="1"/>
  <c r="AU119" i="14" s="1"/>
  <c r="AV119" i="14" s="1"/>
  <c r="AW119" i="14" s="1"/>
  <c r="AX115" i="15"/>
  <c r="AY119" i="14"/>
  <c r="AV106" i="15"/>
  <c r="AX106" i="15"/>
  <c r="AV109" i="15"/>
  <c r="AX114" i="15"/>
  <c r="AV108" i="15"/>
  <c r="AV110" i="15"/>
  <c r="AX110" i="15"/>
  <c r="AX107" i="15"/>
  <c r="AV112" i="15"/>
  <c r="AV111" i="15"/>
  <c r="AK118" i="14"/>
  <c r="AN118" i="14" s="1"/>
  <c r="AX111" i="15"/>
  <c r="P115" i="14"/>
  <c r="AE115" i="14" s="1"/>
  <c r="Q117" i="14"/>
  <c r="T116" i="14"/>
  <c r="IX116" i="14" s="1"/>
  <c r="IZ116" i="14" s="1"/>
  <c r="R118" i="14"/>
  <c r="G113" i="14"/>
  <c r="N74" i="6"/>
  <c r="H114" i="14" s="1"/>
  <c r="AW120" i="14" l="1"/>
  <c r="BB120" i="14" s="1"/>
  <c r="BC120" i="14" s="1"/>
  <c r="BD120" i="14" s="1"/>
  <c r="BE120" i="14" s="1"/>
  <c r="BJ120" i="14" s="1"/>
  <c r="BK120" i="14" s="1"/>
  <c r="BL120" i="14" s="1"/>
  <c r="BM120" i="14" s="1"/>
  <c r="BS120" i="14" s="1"/>
  <c r="BW139" i="14" s="1"/>
  <c r="AG116" i="14"/>
  <c r="AH116" i="14" s="1"/>
  <c r="AI116" i="14" s="1"/>
  <c r="GR116" i="14"/>
  <c r="GS116" i="14" s="1"/>
  <c r="GU116" i="14" s="1"/>
  <c r="AI117" i="14"/>
  <c r="AL116" i="14"/>
  <c r="AM116" i="14" s="1"/>
  <c r="AO116" i="14" s="1"/>
  <c r="F100" i="15"/>
  <c r="F98" i="38"/>
  <c r="G99" i="15"/>
  <c r="G97" i="38"/>
  <c r="H100" i="15"/>
  <c r="H98" i="38"/>
  <c r="J101" i="15"/>
  <c r="J99" i="38"/>
  <c r="T115" i="14"/>
  <c r="IX115" i="14" s="1"/>
  <c r="IY115" i="14" s="1"/>
  <c r="S115" i="14"/>
  <c r="AF115" i="14" s="1"/>
  <c r="GM115" i="14" s="1"/>
  <c r="GN115" i="14" s="1"/>
  <c r="I101" i="15"/>
  <c r="I114" i="14"/>
  <c r="Q73" i="6"/>
  <c r="J114" i="14"/>
  <c r="P72" i="6"/>
  <c r="F113" i="14"/>
  <c r="BB119" i="14"/>
  <c r="BC119" i="14" s="1"/>
  <c r="BD119" i="14" s="1"/>
  <c r="BE119" i="14" s="1"/>
  <c r="BJ119" i="14" s="1"/>
  <c r="BK119" i="14" s="1"/>
  <c r="BL119" i="14" s="1"/>
  <c r="BM119" i="14" s="1"/>
  <c r="BR119" i="14" s="1"/>
  <c r="HT117" i="14"/>
  <c r="IF117" i="14" s="1"/>
  <c r="GQ117" i="14"/>
  <c r="GT117" i="14" s="1"/>
  <c r="BG118" i="14"/>
  <c r="AQ118" i="14"/>
  <c r="AT118" i="14" s="1"/>
  <c r="AU118" i="14" s="1"/>
  <c r="AV118" i="14" s="1"/>
  <c r="AW118" i="14" s="1"/>
  <c r="AY118" i="14"/>
  <c r="IY116" i="14"/>
  <c r="JA116" i="14" s="1"/>
  <c r="JB116" i="14" s="1"/>
  <c r="Q116" i="14"/>
  <c r="GO116" i="14"/>
  <c r="GP116" i="14"/>
  <c r="HU116" i="14" s="1"/>
  <c r="IN116" i="14" s="1"/>
  <c r="R117" i="14"/>
  <c r="P114" i="14"/>
  <c r="AE114" i="14" s="1"/>
  <c r="N73" i="6"/>
  <c r="H113" i="14" s="1"/>
  <c r="G112" i="14"/>
  <c r="BR120" i="14" l="1"/>
  <c r="AJ116" i="14"/>
  <c r="BO116" i="14" s="1"/>
  <c r="CH116" i="14" s="1"/>
  <c r="IZ115" i="14"/>
  <c r="BN117" i="14"/>
  <c r="BZ117" i="14" s="1"/>
  <c r="AK117" i="14"/>
  <c r="J100" i="15"/>
  <c r="J98" i="38"/>
  <c r="H99" i="15"/>
  <c r="H97" i="38"/>
  <c r="GR115" i="14"/>
  <c r="GS115" i="14" s="1"/>
  <c r="GU115" i="14" s="1"/>
  <c r="I100" i="15"/>
  <c r="I98" i="38"/>
  <c r="AL115" i="14"/>
  <c r="AM115" i="14" s="1"/>
  <c r="AO115" i="14" s="1"/>
  <c r="AG115" i="14"/>
  <c r="AH115" i="14" s="1"/>
  <c r="AJ115" i="14" s="1"/>
  <c r="BO115" i="14" s="1"/>
  <c r="CH115" i="14" s="1"/>
  <c r="G98" i="15"/>
  <c r="G96" i="38"/>
  <c r="F99" i="15"/>
  <c r="F97" i="38"/>
  <c r="S114" i="14"/>
  <c r="AF114" i="14" s="1"/>
  <c r="GM114" i="14" s="1"/>
  <c r="GN114" i="14" s="1"/>
  <c r="GO114" i="14" s="1"/>
  <c r="T114" i="14"/>
  <c r="IX114" i="14" s="1"/>
  <c r="IZ114" i="14" s="1"/>
  <c r="P71" i="6"/>
  <c r="F112" i="14"/>
  <c r="Q72" i="6"/>
  <c r="J113" i="14"/>
  <c r="J97" i="38" s="1"/>
  <c r="I113" i="14"/>
  <c r="BB118" i="14"/>
  <c r="BC118" i="14" s="1"/>
  <c r="BD118" i="14" s="1"/>
  <c r="BE118" i="14" s="1"/>
  <c r="BJ118" i="14" s="1"/>
  <c r="BK118" i="14" s="1"/>
  <c r="BL118" i="14" s="1"/>
  <c r="BM118" i="14" s="1"/>
  <c r="BR118" i="14" s="1"/>
  <c r="JA115" i="14"/>
  <c r="JB115" i="14" s="1"/>
  <c r="GP115" i="14"/>
  <c r="HU115" i="14" s="1"/>
  <c r="IN115" i="14" s="1"/>
  <c r="GO115" i="14"/>
  <c r="HT116" i="14"/>
  <c r="IF116" i="14" s="1"/>
  <c r="GQ116" i="14"/>
  <c r="GT116" i="14" s="1"/>
  <c r="Q115" i="14"/>
  <c r="BN116" i="14"/>
  <c r="BZ116" i="14" s="1"/>
  <c r="AK116" i="14"/>
  <c r="P113" i="14"/>
  <c r="AE113" i="14" s="1"/>
  <c r="R116" i="14"/>
  <c r="N72" i="6"/>
  <c r="H112" i="14" s="1"/>
  <c r="G111" i="14"/>
  <c r="AN117" i="14" l="1"/>
  <c r="AY117" i="14"/>
  <c r="BG117" i="14"/>
  <c r="AQ117" i="14"/>
  <c r="AT117" i="14" s="1"/>
  <c r="AU117" i="14" s="1"/>
  <c r="AV117" i="14" s="1"/>
  <c r="AW117" i="14" s="1"/>
  <c r="BB117" i="14" s="1"/>
  <c r="BC117" i="14" s="1"/>
  <c r="BD117" i="14" s="1"/>
  <c r="BE117" i="14" s="1"/>
  <c r="AI115" i="14"/>
  <c r="BN115" i="14" s="1"/>
  <c r="BZ115" i="14" s="1"/>
  <c r="AL114" i="14"/>
  <c r="AM114" i="14" s="1"/>
  <c r="AO114" i="14" s="1"/>
  <c r="GR114" i="14"/>
  <c r="GS114" i="14" s="1"/>
  <c r="GU114" i="14" s="1"/>
  <c r="I99" i="15"/>
  <c r="I97" i="38"/>
  <c r="AG114" i="14"/>
  <c r="AH114" i="14" s="1"/>
  <c r="AJ114" i="14" s="1"/>
  <c r="BO114" i="14" s="1"/>
  <c r="CH114" i="14" s="1"/>
  <c r="IY114" i="14"/>
  <c r="JA114" i="14" s="1"/>
  <c r="JB114" i="14" s="1"/>
  <c r="H98" i="15"/>
  <c r="H96" i="38"/>
  <c r="G97" i="15"/>
  <c r="G95" i="38"/>
  <c r="F98" i="15"/>
  <c r="F96" i="38"/>
  <c r="S113" i="14"/>
  <c r="AF113" i="14" s="1"/>
  <c r="GM113" i="14" s="1"/>
  <c r="GN113" i="14" s="1"/>
  <c r="GO113" i="14" s="1"/>
  <c r="T113" i="14"/>
  <c r="IX113" i="14" s="1"/>
  <c r="IZ113" i="14" s="1"/>
  <c r="J99" i="15"/>
  <c r="I112" i="14"/>
  <c r="Q71" i="6"/>
  <c r="J112" i="14"/>
  <c r="P70" i="6"/>
  <c r="F111" i="14"/>
  <c r="GP114" i="14"/>
  <c r="HU114" i="14" s="1"/>
  <c r="IN114" i="14" s="1"/>
  <c r="HT115" i="14"/>
  <c r="IF115" i="14" s="1"/>
  <c r="GQ115" i="14"/>
  <c r="GT115" i="14" s="1"/>
  <c r="R115" i="14"/>
  <c r="Q114" i="14"/>
  <c r="AQ116" i="14"/>
  <c r="AT116" i="14" s="1"/>
  <c r="AU116" i="14" s="1"/>
  <c r="AV116" i="14" s="1"/>
  <c r="AY116" i="14"/>
  <c r="AN116" i="14"/>
  <c r="BG116" i="14"/>
  <c r="P112" i="14"/>
  <c r="AE112" i="14" s="1"/>
  <c r="HT114" i="14"/>
  <c r="IF114" i="14" s="1"/>
  <c r="N71" i="6"/>
  <c r="H111" i="14" s="1"/>
  <c r="G110" i="14"/>
  <c r="BJ117" i="14" l="1"/>
  <c r="BK117" i="14" s="1"/>
  <c r="BL117" i="14" s="1"/>
  <c r="BM117" i="14" s="1"/>
  <c r="BR117" i="14" s="1"/>
  <c r="AI114" i="14"/>
  <c r="BN114" i="14" s="1"/>
  <c r="BZ114" i="14" s="1"/>
  <c r="AK115" i="14"/>
  <c r="BG115" i="14" s="1"/>
  <c r="IY113" i="14"/>
  <c r="JA113" i="14" s="1"/>
  <c r="JB113" i="14" s="1"/>
  <c r="AG113" i="14"/>
  <c r="AH113" i="14" s="1"/>
  <c r="AI113" i="14" s="1"/>
  <c r="BN113" i="14" s="1"/>
  <c r="BZ113" i="14" s="1"/>
  <c r="GR113" i="14"/>
  <c r="GS113" i="14" s="1"/>
  <c r="GU113" i="14" s="1"/>
  <c r="I98" i="15"/>
  <c r="I96" i="38"/>
  <c r="F97" i="15"/>
  <c r="F95" i="38"/>
  <c r="G96" i="15"/>
  <c r="G94" i="38"/>
  <c r="H97" i="15"/>
  <c r="H95" i="38"/>
  <c r="AL113" i="14"/>
  <c r="AM113" i="14" s="1"/>
  <c r="AO113" i="14" s="1"/>
  <c r="J98" i="15"/>
  <c r="J96" i="38"/>
  <c r="S112" i="14"/>
  <c r="AF112" i="14" s="1"/>
  <c r="AL112" i="14" s="1"/>
  <c r="AM112" i="14" s="1"/>
  <c r="AO112" i="14" s="1"/>
  <c r="P69" i="6"/>
  <c r="F110" i="14"/>
  <c r="Q70" i="6"/>
  <c r="J111" i="14"/>
  <c r="I111" i="14"/>
  <c r="I95" i="38" s="1"/>
  <c r="GQ114" i="14"/>
  <c r="GT114" i="14" s="1"/>
  <c r="GP113" i="14"/>
  <c r="HU113" i="14" s="1"/>
  <c r="IN113" i="14" s="1"/>
  <c r="AK114" i="14"/>
  <c r="BG114" i="14" s="1"/>
  <c r="P111" i="14"/>
  <c r="AE111" i="14" s="1"/>
  <c r="Q113" i="14"/>
  <c r="R114" i="14"/>
  <c r="T112" i="14"/>
  <c r="IX112" i="14" s="1"/>
  <c r="IZ112" i="14" s="1"/>
  <c r="AW116" i="14"/>
  <c r="BB116" i="14" s="1"/>
  <c r="BC116" i="14" s="1"/>
  <c r="BD116" i="14" s="1"/>
  <c r="BE116" i="14" s="1"/>
  <c r="BJ116" i="14" s="1"/>
  <c r="BK116" i="14" s="1"/>
  <c r="BL116" i="14" s="1"/>
  <c r="BM116" i="14" s="1"/>
  <c r="BR116" i="14" s="1"/>
  <c r="HT113" i="14"/>
  <c r="IF113" i="14" s="1"/>
  <c r="N70" i="6"/>
  <c r="H110" i="14" s="1"/>
  <c r="G109" i="14"/>
  <c r="AQ115" i="14" l="1"/>
  <c r="AT115" i="14" s="1"/>
  <c r="AU115" i="14" s="1"/>
  <c r="AV115" i="14" s="1"/>
  <c r="AN115" i="14"/>
  <c r="AY115" i="14"/>
  <c r="AJ113" i="14"/>
  <c r="BO113" i="14" s="1"/>
  <c r="CH113" i="14" s="1"/>
  <c r="AG112" i="14"/>
  <c r="AH112" i="14" s="1"/>
  <c r="AI112" i="14" s="1"/>
  <c r="BN112" i="14" s="1"/>
  <c r="BZ112" i="14" s="1"/>
  <c r="GR112" i="14"/>
  <c r="GS112" i="14" s="1"/>
  <c r="GU112" i="14" s="1"/>
  <c r="GM112" i="14"/>
  <c r="GN112" i="14" s="1"/>
  <c r="GO112" i="14" s="1"/>
  <c r="HT112" i="14" s="1"/>
  <c r="IF112" i="14" s="1"/>
  <c r="J97" i="15"/>
  <c r="J95" i="38"/>
  <c r="F96" i="15"/>
  <c r="F94" i="38"/>
  <c r="H96" i="15"/>
  <c r="H94" i="38"/>
  <c r="G95" i="15"/>
  <c r="G93" i="38"/>
  <c r="S111" i="14"/>
  <c r="AF111" i="14" s="1"/>
  <c r="AL111" i="14" s="1"/>
  <c r="AM111" i="14" s="1"/>
  <c r="AO111" i="14" s="1"/>
  <c r="I97" i="15"/>
  <c r="I110" i="14"/>
  <c r="S110" i="14" s="1"/>
  <c r="AF110" i="14" s="1"/>
  <c r="Q69" i="6"/>
  <c r="J110" i="14"/>
  <c r="P68" i="6"/>
  <c r="F109" i="14"/>
  <c r="AW115" i="14"/>
  <c r="BB115" i="14" s="1"/>
  <c r="BC115" i="14" s="1"/>
  <c r="BD115" i="14" s="1"/>
  <c r="BE115" i="14" s="1"/>
  <c r="BJ115" i="14" s="1"/>
  <c r="BK115" i="14" s="1"/>
  <c r="BL115" i="14" s="1"/>
  <c r="BM115" i="14" s="1"/>
  <c r="BR115" i="14" s="1"/>
  <c r="GQ113" i="14"/>
  <c r="GT113" i="14" s="1"/>
  <c r="AQ114" i="14"/>
  <c r="AT114" i="14" s="1"/>
  <c r="AU114" i="14" s="1"/>
  <c r="AV114" i="14" s="1"/>
  <c r="AY114" i="14"/>
  <c r="AN114" i="14"/>
  <c r="IY112" i="14"/>
  <c r="JA112" i="14" s="1"/>
  <c r="JB112" i="14" s="1"/>
  <c r="R113" i="14"/>
  <c r="Q112" i="14"/>
  <c r="P110" i="14"/>
  <c r="AE110" i="14" s="1"/>
  <c r="T111" i="14"/>
  <c r="IX111" i="14" s="1"/>
  <c r="IZ111" i="14" s="1"/>
  <c r="N69" i="6"/>
  <c r="H109" i="14" s="1"/>
  <c r="G108" i="14"/>
  <c r="AK113" i="14" l="1"/>
  <c r="AQ113" i="14" s="1"/>
  <c r="AT113" i="14" s="1"/>
  <c r="AU113" i="14" s="1"/>
  <c r="AV113" i="14" s="1"/>
  <c r="AJ112" i="14"/>
  <c r="BO112" i="14" s="1"/>
  <c r="CH112" i="14" s="1"/>
  <c r="GR111" i="14"/>
  <c r="GS111" i="14" s="1"/>
  <c r="GU111" i="14" s="1"/>
  <c r="AG111" i="14"/>
  <c r="AH111" i="14" s="1"/>
  <c r="AJ111" i="14" s="1"/>
  <c r="BO111" i="14" s="1"/>
  <c r="CH111" i="14" s="1"/>
  <c r="GM111" i="14"/>
  <c r="GN111" i="14" s="1"/>
  <c r="GO111" i="14" s="1"/>
  <c r="HT111" i="14" s="1"/>
  <c r="IF111" i="14" s="1"/>
  <c r="GP112" i="14"/>
  <c r="HU112" i="14" s="1"/>
  <c r="IN112" i="14" s="1"/>
  <c r="F95" i="15"/>
  <c r="F93" i="38"/>
  <c r="J96" i="15"/>
  <c r="J94" i="38"/>
  <c r="G94" i="15"/>
  <c r="G92" i="38"/>
  <c r="H95" i="15"/>
  <c r="H93" i="38"/>
  <c r="I96" i="15"/>
  <c r="I94" i="38"/>
  <c r="P67" i="6"/>
  <c r="F108" i="14"/>
  <c r="Q68" i="6"/>
  <c r="J109" i="14"/>
  <c r="I109" i="14"/>
  <c r="I93" i="38" s="1"/>
  <c r="GM110" i="14"/>
  <c r="GN110" i="14" s="1"/>
  <c r="GO110" i="14" s="1"/>
  <c r="AW114" i="14"/>
  <c r="BB114" i="14" s="1"/>
  <c r="BC114" i="14" s="1"/>
  <c r="BD114" i="14" s="1"/>
  <c r="BE114" i="14" s="1"/>
  <c r="BJ114" i="14" s="1"/>
  <c r="BK114" i="14" s="1"/>
  <c r="BL114" i="14" s="1"/>
  <c r="BM114" i="14" s="1"/>
  <c r="BR114" i="14" s="1"/>
  <c r="AN113" i="14"/>
  <c r="AY113" i="14"/>
  <c r="AG110" i="14"/>
  <c r="AH110" i="14" s="1"/>
  <c r="AJ110" i="14" s="1"/>
  <c r="BO110" i="14" s="1"/>
  <c r="CH110" i="14" s="1"/>
  <c r="IY111" i="14"/>
  <c r="JA111" i="14" s="1"/>
  <c r="JB111" i="14" s="1"/>
  <c r="R112" i="14"/>
  <c r="AL110" i="14"/>
  <c r="AM110" i="14" s="1"/>
  <c r="AO110" i="14" s="1"/>
  <c r="Q111" i="14"/>
  <c r="GR110" i="14"/>
  <c r="GS110" i="14" s="1"/>
  <c r="GU110" i="14" s="1"/>
  <c r="T110" i="14"/>
  <c r="IX110" i="14" s="1"/>
  <c r="IZ110" i="14" s="1"/>
  <c r="P109" i="14"/>
  <c r="AE109" i="14" s="1"/>
  <c r="G107" i="14"/>
  <c r="N68" i="6"/>
  <c r="H108" i="14" s="1"/>
  <c r="AI111" i="14" l="1"/>
  <c r="BN111" i="14" s="1"/>
  <c r="BZ111" i="14" s="1"/>
  <c r="AK112" i="14"/>
  <c r="BG112" i="14" s="1"/>
  <c r="AW113" i="14"/>
  <c r="BB113" i="14" s="1"/>
  <c r="BC113" i="14" s="1"/>
  <c r="BD113" i="14" s="1"/>
  <c r="BE113" i="14" s="1"/>
  <c r="BG113" i="14"/>
  <c r="GP111" i="14"/>
  <c r="HU111" i="14" s="1"/>
  <c r="IN111" i="14" s="1"/>
  <c r="GQ112" i="14"/>
  <c r="GT112" i="14" s="1"/>
  <c r="J95" i="15"/>
  <c r="J93" i="38"/>
  <c r="F94" i="15"/>
  <c r="F92" i="38"/>
  <c r="H94" i="15"/>
  <c r="H92" i="38"/>
  <c r="G93" i="15"/>
  <c r="G91" i="38"/>
  <c r="S109" i="14"/>
  <c r="AF109" i="14" s="1"/>
  <c r="GM109" i="14" s="1"/>
  <c r="GN109" i="14" s="1"/>
  <c r="GO109" i="14" s="1"/>
  <c r="HT109" i="14" s="1"/>
  <c r="I95" i="15"/>
  <c r="I108" i="14"/>
  <c r="S108" i="14" s="1"/>
  <c r="AF108" i="14" s="1"/>
  <c r="Q67" i="6"/>
  <c r="J108" i="14"/>
  <c r="P66" i="6"/>
  <c r="F107" i="14"/>
  <c r="GP110" i="14"/>
  <c r="HU110" i="14" s="1"/>
  <c r="IN110" i="14" s="1"/>
  <c r="AQ112" i="14"/>
  <c r="AT112" i="14" s="1"/>
  <c r="AU112" i="14" s="1"/>
  <c r="AV112" i="14" s="1"/>
  <c r="AI110" i="14"/>
  <c r="BN110" i="14" s="1"/>
  <c r="BZ110" i="14" s="1"/>
  <c r="AK111" i="14"/>
  <c r="AN111" i="14" s="1"/>
  <c r="AY112" i="14"/>
  <c r="AN112" i="14"/>
  <c r="IY110" i="14"/>
  <c r="JA110" i="14" s="1"/>
  <c r="JC114" i="14" s="1"/>
  <c r="R111" i="14"/>
  <c r="Q110" i="14"/>
  <c r="T109" i="14"/>
  <c r="IX109" i="14" s="1"/>
  <c r="IZ109" i="14" s="1"/>
  <c r="P108" i="14"/>
  <c r="AE108" i="14" s="1"/>
  <c r="HT110" i="14"/>
  <c r="IF110" i="14" s="1"/>
  <c r="N67" i="6"/>
  <c r="H107" i="14" s="1"/>
  <c r="G106" i="14"/>
  <c r="BJ113" i="14" l="1"/>
  <c r="BK113" i="14" s="1"/>
  <c r="BL113" i="14" s="1"/>
  <c r="BM113" i="14" s="1"/>
  <c r="BR113" i="14" s="1"/>
  <c r="GR109" i="14"/>
  <c r="GS109" i="14" s="1"/>
  <c r="GU109" i="14" s="1"/>
  <c r="GP109" i="14"/>
  <c r="HU109" i="14" s="1"/>
  <c r="IN109" i="14" s="1"/>
  <c r="AL109" i="14"/>
  <c r="AM109" i="14" s="1"/>
  <c r="AO109" i="14" s="1"/>
  <c r="GQ111" i="14"/>
  <c r="GT111" i="14" s="1"/>
  <c r="IM109" i="14"/>
  <c r="IE109" i="14"/>
  <c r="IF109" i="14"/>
  <c r="AG109" i="14"/>
  <c r="AH109" i="14" s="1"/>
  <c r="AI109" i="14" s="1"/>
  <c r="BN109" i="14" s="1"/>
  <c r="H93" i="15"/>
  <c r="H91" i="38"/>
  <c r="G92" i="15"/>
  <c r="G90" i="38"/>
  <c r="AH98" i="38"/>
  <c r="AF98" i="38"/>
  <c r="I94" i="15"/>
  <c r="I92" i="38"/>
  <c r="J94" i="15"/>
  <c r="J92" i="38"/>
  <c r="F93" i="15"/>
  <c r="F91" i="38"/>
  <c r="P65" i="6"/>
  <c r="F106" i="14"/>
  <c r="Q66" i="6"/>
  <c r="J107" i="14"/>
  <c r="I107" i="14"/>
  <c r="I91" i="38" s="1"/>
  <c r="GQ110" i="14"/>
  <c r="GT110" i="14" s="1"/>
  <c r="GR108" i="14"/>
  <c r="GS108" i="14" s="1"/>
  <c r="GU108" i="14" s="1"/>
  <c r="AK110" i="14"/>
  <c r="AY110" i="14" s="1"/>
  <c r="AW112" i="14"/>
  <c r="BB112" i="14" s="1"/>
  <c r="BC112" i="14" s="1"/>
  <c r="BD112" i="14" s="1"/>
  <c r="BE112" i="14" s="1"/>
  <c r="BJ112" i="14" s="1"/>
  <c r="BK112" i="14" s="1"/>
  <c r="BL112" i="14" s="1"/>
  <c r="BM112" i="14" s="1"/>
  <c r="BR112" i="14" s="1"/>
  <c r="AQ111" i="14"/>
  <c r="AT111" i="14" s="1"/>
  <c r="AU111" i="14" s="1"/>
  <c r="AV111" i="14" s="1"/>
  <c r="AW111" i="14" s="1"/>
  <c r="AY111" i="14"/>
  <c r="BG111" i="14"/>
  <c r="JC118" i="14"/>
  <c r="JC119" i="14"/>
  <c r="JC111" i="14"/>
  <c r="IY109" i="14"/>
  <c r="JA109" i="14" s="1"/>
  <c r="JB109" i="14" s="1"/>
  <c r="JC115" i="14"/>
  <c r="JC113" i="14"/>
  <c r="JC112" i="14"/>
  <c r="JC117" i="14"/>
  <c r="JC116" i="14"/>
  <c r="JC110" i="14"/>
  <c r="JB110" i="14"/>
  <c r="JD118" i="14" s="1"/>
  <c r="GM108" i="14"/>
  <c r="GN108" i="14" s="1"/>
  <c r="GO108" i="14" s="1"/>
  <c r="AG108" i="14"/>
  <c r="AH108" i="14" s="1"/>
  <c r="AI108" i="14" s="1"/>
  <c r="BN108" i="14" s="1"/>
  <c r="AL108" i="14"/>
  <c r="AM108" i="14" s="1"/>
  <c r="AO108" i="14" s="1"/>
  <c r="R110" i="14"/>
  <c r="AW100" i="15"/>
  <c r="BI100" i="15" s="1"/>
  <c r="AU100" i="15"/>
  <c r="BH100" i="15" s="1"/>
  <c r="T108" i="14"/>
  <c r="IX108" i="14" s="1"/>
  <c r="IZ108" i="14" s="1"/>
  <c r="P107" i="14"/>
  <c r="AE107" i="14" s="1"/>
  <c r="Q109" i="14"/>
  <c r="N66" i="6"/>
  <c r="H106" i="14" s="1"/>
  <c r="G105" i="14"/>
  <c r="GQ109" i="14" l="1"/>
  <c r="GT109" i="14" s="1"/>
  <c r="BY108" i="14"/>
  <c r="BZ108" i="14"/>
  <c r="BY109" i="14"/>
  <c r="BZ109" i="14"/>
  <c r="AJ109" i="14"/>
  <c r="AH94" i="38"/>
  <c r="AF94" i="38"/>
  <c r="AW105" i="15"/>
  <c r="BI105" i="15" s="1"/>
  <c r="AF103" i="38"/>
  <c r="AH103" i="38"/>
  <c r="AF95" i="38"/>
  <c r="AH95" i="38"/>
  <c r="AW102" i="15"/>
  <c r="BI102" i="15" s="1"/>
  <c r="AF100" i="38"/>
  <c r="AH100" i="38"/>
  <c r="AU104" i="15"/>
  <c r="BH104" i="15" s="1"/>
  <c r="AF102" i="38"/>
  <c r="AH102" i="38"/>
  <c r="F92" i="15"/>
  <c r="F90" i="38"/>
  <c r="AU103" i="15"/>
  <c r="BH103" i="15" s="1"/>
  <c r="AH101" i="38"/>
  <c r="AF101" i="38"/>
  <c r="G91" i="15"/>
  <c r="G89" i="38"/>
  <c r="AU98" i="15"/>
  <c r="BH98" i="15" s="1"/>
  <c r="AF96" i="38"/>
  <c r="AH96" i="38"/>
  <c r="AG102" i="38"/>
  <c r="AI102" i="38"/>
  <c r="H92" i="15"/>
  <c r="H90" i="38"/>
  <c r="AH97" i="38"/>
  <c r="AF97" i="38"/>
  <c r="AW101" i="15"/>
  <c r="BI101" i="15" s="1"/>
  <c r="AH99" i="38"/>
  <c r="AF99" i="38"/>
  <c r="J93" i="15"/>
  <c r="J91" i="38"/>
  <c r="S107" i="14"/>
  <c r="AF107" i="14" s="1"/>
  <c r="AG107" i="14" s="1"/>
  <c r="AH107" i="14" s="1"/>
  <c r="I93" i="15"/>
  <c r="I106" i="14"/>
  <c r="S106" i="14" s="1"/>
  <c r="AF106" i="14" s="1"/>
  <c r="Q65" i="6"/>
  <c r="J106" i="14"/>
  <c r="P64" i="6"/>
  <c r="F105" i="14"/>
  <c r="AU97" i="15"/>
  <c r="BH97" i="15" s="1"/>
  <c r="AW97" i="15"/>
  <c r="BI97" i="15" s="1"/>
  <c r="AQ110" i="14"/>
  <c r="AT110" i="14" s="1"/>
  <c r="AU110" i="14" s="1"/>
  <c r="AV110" i="14" s="1"/>
  <c r="BG110" i="14"/>
  <c r="AN110" i="14"/>
  <c r="BB111" i="14"/>
  <c r="BC111" i="14" s="1"/>
  <c r="BD111" i="14" s="1"/>
  <c r="BE111" i="14" s="1"/>
  <c r="BJ111" i="14" s="1"/>
  <c r="BK111" i="14" s="1"/>
  <c r="BL111" i="14" s="1"/>
  <c r="BM111" i="14" s="1"/>
  <c r="BR111" i="14" s="1"/>
  <c r="JD111" i="14"/>
  <c r="AW104" i="15"/>
  <c r="BI104" i="15" s="1"/>
  <c r="AU99" i="15"/>
  <c r="BH99" i="15" s="1"/>
  <c r="AU105" i="15"/>
  <c r="BH105" i="15" s="1"/>
  <c r="AU101" i="15"/>
  <c r="BH101" i="15" s="1"/>
  <c r="AW98" i="15"/>
  <c r="BI98" i="15" s="1"/>
  <c r="AW99" i="15"/>
  <c r="BI99" i="15" s="1"/>
  <c r="AW103" i="15"/>
  <c r="BI103" i="15" s="1"/>
  <c r="AU102" i="15"/>
  <c r="BH102" i="15" s="1"/>
  <c r="AU96" i="15"/>
  <c r="BH96" i="15" s="1"/>
  <c r="AW96" i="15"/>
  <c r="BI96" i="15" s="1"/>
  <c r="JD119" i="14"/>
  <c r="JD115" i="14"/>
  <c r="JD117" i="14"/>
  <c r="JD112" i="14"/>
  <c r="JD110" i="14"/>
  <c r="JD116" i="14"/>
  <c r="JD113" i="14"/>
  <c r="JD114" i="14"/>
  <c r="GP108" i="14"/>
  <c r="HU108" i="14" s="1"/>
  <c r="IY108" i="14"/>
  <c r="JA108" i="14" s="1"/>
  <c r="JB108" i="14" s="1"/>
  <c r="AJ108" i="14"/>
  <c r="BO108" i="14" s="1"/>
  <c r="R109" i="14"/>
  <c r="T107" i="14"/>
  <c r="IX107" i="14" s="1"/>
  <c r="IZ107" i="14" s="1"/>
  <c r="P106" i="14"/>
  <c r="AE106" i="14" s="1"/>
  <c r="Q108" i="14"/>
  <c r="AX104" i="15"/>
  <c r="AV104" i="15"/>
  <c r="HT108" i="14"/>
  <c r="G104" i="14"/>
  <c r="N65" i="6"/>
  <c r="H105" i="14" s="1"/>
  <c r="AL107" i="14" l="1"/>
  <c r="AM107" i="14" s="1"/>
  <c r="AO107" i="14" s="1"/>
  <c r="IE108" i="14"/>
  <c r="IF108" i="14"/>
  <c r="CG108" i="14"/>
  <c r="CH108" i="14"/>
  <c r="IM108" i="14"/>
  <c r="IN108" i="14"/>
  <c r="BO109" i="14"/>
  <c r="AK109" i="14"/>
  <c r="I92" i="15"/>
  <c r="I90" i="38"/>
  <c r="G90" i="15"/>
  <c r="G88" i="38"/>
  <c r="AI94" i="38"/>
  <c r="AG94" i="38"/>
  <c r="AV97" i="15"/>
  <c r="AG95" i="38"/>
  <c r="AI95" i="38"/>
  <c r="AI101" i="38"/>
  <c r="AG101" i="38"/>
  <c r="F91" i="15"/>
  <c r="F89" i="38"/>
  <c r="AX98" i="15"/>
  <c r="AG96" i="38"/>
  <c r="AI96" i="38"/>
  <c r="AX101" i="15"/>
  <c r="AG99" i="38"/>
  <c r="AI99" i="38"/>
  <c r="AV99" i="15"/>
  <c r="AG97" i="38"/>
  <c r="AI97" i="38"/>
  <c r="AX102" i="15"/>
  <c r="AG100" i="38"/>
  <c r="AI100" i="38"/>
  <c r="AX105" i="15"/>
  <c r="AG103" i="38"/>
  <c r="AI103" i="38"/>
  <c r="H91" i="15"/>
  <c r="H89" i="38"/>
  <c r="AX100" i="15"/>
  <c r="AG98" i="38"/>
  <c r="AI98" i="38"/>
  <c r="J92" i="15"/>
  <c r="J90" i="38"/>
  <c r="AJ107" i="14"/>
  <c r="BO107" i="14" s="1"/>
  <c r="AI107" i="14"/>
  <c r="BN107" i="14" s="1"/>
  <c r="GM107" i="14"/>
  <c r="GN107" i="14" s="1"/>
  <c r="GR107" i="14"/>
  <c r="GS107" i="14" s="1"/>
  <c r="GU107" i="14" s="1"/>
  <c r="P63" i="6"/>
  <c r="F104" i="14"/>
  <c r="Q64" i="6"/>
  <c r="J105" i="14"/>
  <c r="I105" i="14"/>
  <c r="AW110" i="14"/>
  <c r="BB110" i="14" s="1"/>
  <c r="BC110" i="14" s="1"/>
  <c r="BD110" i="14" s="1"/>
  <c r="BE110" i="14" s="1"/>
  <c r="BJ110" i="14" s="1"/>
  <c r="BK110" i="14" s="1"/>
  <c r="BL110" i="14" s="1"/>
  <c r="BM110" i="14" s="1"/>
  <c r="BR110" i="14" s="1"/>
  <c r="AX97" i="15"/>
  <c r="AV98" i="15"/>
  <c r="AV96" i="15"/>
  <c r="AV105" i="15"/>
  <c r="AX103" i="15"/>
  <c r="AV103" i="15"/>
  <c r="AV101" i="15"/>
  <c r="IY107" i="14"/>
  <c r="JA107" i="14" s="1"/>
  <c r="JB107" i="14" s="1"/>
  <c r="AV102" i="15"/>
  <c r="GQ108" i="14"/>
  <c r="GT108" i="14" s="1"/>
  <c r="AX99" i="15"/>
  <c r="AX96" i="15"/>
  <c r="AV100" i="15"/>
  <c r="AK108" i="14"/>
  <c r="AN108" i="14" s="1"/>
  <c r="AG106" i="14"/>
  <c r="AH106" i="14" s="1"/>
  <c r="AJ106" i="14" s="1"/>
  <c r="BO106" i="14" s="1"/>
  <c r="GR106" i="14"/>
  <c r="GS106" i="14" s="1"/>
  <c r="GU106" i="14" s="1"/>
  <c r="GM106" i="14"/>
  <c r="GN106" i="14" s="1"/>
  <c r="GO106" i="14" s="1"/>
  <c r="P105" i="14"/>
  <c r="AE105" i="14" s="1"/>
  <c r="T106" i="14"/>
  <c r="IX106" i="14" s="1"/>
  <c r="IZ106" i="14" s="1"/>
  <c r="AL106" i="14"/>
  <c r="AM106" i="14" s="1"/>
  <c r="AO106" i="14" s="1"/>
  <c r="R108" i="14"/>
  <c r="Q107" i="14"/>
  <c r="N64" i="6"/>
  <c r="H104" i="14" s="1"/>
  <c r="G103" i="14"/>
  <c r="CG106" i="14" l="1"/>
  <c r="CH106" i="14"/>
  <c r="BY107" i="14"/>
  <c r="BZ107" i="14"/>
  <c r="CG107" i="14"/>
  <c r="CH107" i="14"/>
  <c r="CG109" i="14"/>
  <c r="CH109" i="14"/>
  <c r="AQ109" i="14"/>
  <c r="AT109" i="14" s="1"/>
  <c r="AU109" i="14" s="1"/>
  <c r="AV109" i="14" s="1"/>
  <c r="BG109" i="14"/>
  <c r="AY109" i="14"/>
  <c r="AN109" i="14"/>
  <c r="AK107" i="14"/>
  <c r="AN107" i="14" s="1"/>
  <c r="I91" i="15"/>
  <c r="I89" i="38"/>
  <c r="J91" i="15"/>
  <c r="J89" i="38"/>
  <c r="G89" i="15"/>
  <c r="G87" i="38"/>
  <c r="H90" i="15"/>
  <c r="H88" i="38"/>
  <c r="F90" i="15"/>
  <c r="F88" i="38"/>
  <c r="S105" i="14"/>
  <c r="AF105" i="14" s="1"/>
  <c r="AG105" i="14" s="1"/>
  <c r="AH105" i="14" s="1"/>
  <c r="AI105" i="14" s="1"/>
  <c r="BN105" i="14" s="1"/>
  <c r="GP107" i="14"/>
  <c r="HU107" i="14" s="1"/>
  <c r="GO107" i="14"/>
  <c r="I104" i="14"/>
  <c r="S104" i="14" s="1"/>
  <c r="AF104" i="14" s="1"/>
  <c r="Q63" i="6"/>
  <c r="J104" i="14"/>
  <c r="P62" i="6"/>
  <c r="F103" i="14"/>
  <c r="P103" i="14" s="1"/>
  <c r="AE103" i="14" s="1"/>
  <c r="BG108" i="14"/>
  <c r="AY108" i="14"/>
  <c r="AQ108" i="14"/>
  <c r="AT108" i="14" s="1"/>
  <c r="AU108" i="14" s="1"/>
  <c r="AV108" i="14" s="1"/>
  <c r="AW108" i="14" s="1"/>
  <c r="AI106" i="14"/>
  <c r="BN106" i="14" s="1"/>
  <c r="IY106" i="14"/>
  <c r="JA106" i="14" s="1"/>
  <c r="JB106" i="14" s="1"/>
  <c r="P104" i="14"/>
  <c r="AE104" i="14" s="1"/>
  <c r="Q106" i="14"/>
  <c r="T105" i="14"/>
  <c r="IX105" i="14" s="1"/>
  <c r="GP106" i="14"/>
  <c r="HU106" i="14" s="1"/>
  <c r="R107" i="14"/>
  <c r="HT106" i="14"/>
  <c r="G102" i="14"/>
  <c r="N63" i="6"/>
  <c r="H103" i="14" s="1"/>
  <c r="AQ107" i="14" l="1"/>
  <c r="AT107" i="14" s="1"/>
  <c r="AU107" i="14" s="1"/>
  <c r="AV107" i="14" s="1"/>
  <c r="AW107" i="14" s="1"/>
  <c r="AY107" i="14"/>
  <c r="BG107" i="14"/>
  <c r="AW109" i="14"/>
  <c r="BB109" i="14" s="1"/>
  <c r="BC109" i="14" s="1"/>
  <c r="BD109" i="14" s="1"/>
  <c r="BE109" i="14" s="1"/>
  <c r="BJ109" i="14" s="1"/>
  <c r="BK109" i="14" s="1"/>
  <c r="BL109" i="14" s="1"/>
  <c r="BM109" i="14" s="1"/>
  <c r="BR109" i="14" s="1"/>
  <c r="IM107" i="14"/>
  <c r="IN107" i="14"/>
  <c r="BY105" i="14"/>
  <c r="BZ105" i="14"/>
  <c r="IE106" i="14"/>
  <c r="IF106" i="14"/>
  <c r="IM106" i="14"/>
  <c r="IN106" i="14"/>
  <c r="BY106" i="14"/>
  <c r="BZ106" i="14"/>
  <c r="AL105" i="14"/>
  <c r="AM105" i="14" s="1"/>
  <c r="AO105" i="14" s="1"/>
  <c r="GM105" i="14"/>
  <c r="GN105" i="14" s="1"/>
  <c r="GP105" i="14" s="1"/>
  <c r="HU105" i="14" s="1"/>
  <c r="GR105" i="14"/>
  <c r="GS105" i="14" s="1"/>
  <c r="GU105" i="14" s="1"/>
  <c r="I90" i="15"/>
  <c r="I88" i="38"/>
  <c r="F89" i="15"/>
  <c r="F87" i="38"/>
  <c r="H89" i="15"/>
  <c r="H87" i="38"/>
  <c r="G88" i="15"/>
  <c r="G86" i="38"/>
  <c r="J90" i="15"/>
  <c r="J88" i="38"/>
  <c r="HT107" i="14"/>
  <c r="GQ107" i="14"/>
  <c r="GT107" i="14" s="1"/>
  <c r="P61" i="6"/>
  <c r="F102" i="14"/>
  <c r="Q62" i="6"/>
  <c r="J103" i="14"/>
  <c r="I103" i="14"/>
  <c r="GM104" i="14"/>
  <c r="GN104" i="14" s="1"/>
  <c r="GP104" i="14" s="1"/>
  <c r="HU104" i="14" s="1"/>
  <c r="AG104" i="14"/>
  <c r="AH104" i="14" s="1"/>
  <c r="AI104" i="14" s="1"/>
  <c r="BN104" i="14" s="1"/>
  <c r="GR104" i="14"/>
  <c r="GS104" i="14" s="1"/>
  <c r="GU104" i="14" s="1"/>
  <c r="AK106" i="14"/>
  <c r="AN106" i="14" s="1"/>
  <c r="BB108" i="14"/>
  <c r="BC108" i="14" s="1"/>
  <c r="BD108" i="14" s="1"/>
  <c r="BE108" i="14" s="1"/>
  <c r="BJ108" i="14" s="1"/>
  <c r="BK108" i="14" s="1"/>
  <c r="BL108" i="14" s="1"/>
  <c r="BM108" i="14" s="1"/>
  <c r="AL104" i="14"/>
  <c r="AM104" i="14" s="1"/>
  <c r="AO104" i="14" s="1"/>
  <c r="GQ106" i="14"/>
  <c r="GT106" i="14" s="1"/>
  <c r="IZ105" i="14"/>
  <c r="IY105" i="14"/>
  <c r="AJ105" i="14"/>
  <c r="BO105" i="14" s="1"/>
  <c r="T104" i="14"/>
  <c r="IX104" i="14" s="1"/>
  <c r="IZ104" i="14" s="1"/>
  <c r="R106" i="14"/>
  <c r="Q105" i="14"/>
  <c r="G101" i="14"/>
  <c r="N62" i="6"/>
  <c r="H102" i="14" s="1"/>
  <c r="BQ109" i="14" l="1"/>
  <c r="BB107" i="14"/>
  <c r="BC107" i="14" s="1"/>
  <c r="BD107" i="14" s="1"/>
  <c r="BE107" i="14" s="1"/>
  <c r="BJ107" i="14" s="1"/>
  <c r="BK107" i="14" s="1"/>
  <c r="BL107" i="14" s="1"/>
  <c r="BM107" i="14" s="1"/>
  <c r="BQ107" i="14" s="1"/>
  <c r="GO105" i="14"/>
  <c r="HT105" i="14" s="1"/>
  <c r="IM104" i="14"/>
  <c r="IN104" i="14"/>
  <c r="BR107" i="14"/>
  <c r="IE105" i="14"/>
  <c r="IF105" i="14"/>
  <c r="BQ108" i="14"/>
  <c r="BR108" i="14"/>
  <c r="IM105" i="14"/>
  <c r="IN105" i="14"/>
  <c r="IE107" i="14"/>
  <c r="IF107" i="14"/>
  <c r="CG105" i="14"/>
  <c r="CH105" i="14"/>
  <c r="BY104" i="14"/>
  <c r="BZ104" i="14"/>
  <c r="F88" i="15"/>
  <c r="F86" i="38"/>
  <c r="J89" i="15"/>
  <c r="J87" i="38"/>
  <c r="H88" i="15"/>
  <c r="H86" i="38"/>
  <c r="G87" i="15"/>
  <c r="G85" i="38"/>
  <c r="I89" i="15"/>
  <c r="I87" i="38"/>
  <c r="P102" i="14"/>
  <c r="AE102" i="14" s="1"/>
  <c r="S103" i="14"/>
  <c r="AF103" i="14" s="1"/>
  <c r="GM103" i="14" s="1"/>
  <c r="GN103" i="14" s="1"/>
  <c r="GO103" i="14" s="1"/>
  <c r="HT103" i="14" s="1"/>
  <c r="I102" i="14"/>
  <c r="I86" i="38" s="1"/>
  <c r="Q61" i="6"/>
  <c r="J102" i="14"/>
  <c r="P60" i="6"/>
  <c r="F101" i="14"/>
  <c r="GO104" i="14"/>
  <c r="HT104" i="14" s="1"/>
  <c r="AJ104" i="14"/>
  <c r="BO104" i="14" s="1"/>
  <c r="T103" i="14"/>
  <c r="IX103" i="14" s="1"/>
  <c r="IZ103" i="14" s="1"/>
  <c r="BG106" i="14"/>
  <c r="AQ106" i="14"/>
  <c r="AT106" i="14" s="1"/>
  <c r="AU106" i="14" s="1"/>
  <c r="AV106" i="14" s="1"/>
  <c r="AW106" i="14" s="1"/>
  <c r="AY106" i="14"/>
  <c r="IY104" i="14"/>
  <c r="JA104" i="14" s="1"/>
  <c r="JB104" i="14" s="1"/>
  <c r="JA105" i="14"/>
  <c r="JB105" i="14" s="1"/>
  <c r="Q104" i="14"/>
  <c r="R105" i="14"/>
  <c r="AK105" i="14"/>
  <c r="AY105" i="14" s="1"/>
  <c r="G100" i="14"/>
  <c r="N61" i="6"/>
  <c r="H101" i="14" s="1"/>
  <c r="GQ105" i="14" l="1"/>
  <c r="GT105" i="14" s="1"/>
  <c r="CG104" i="14"/>
  <c r="CH104" i="14"/>
  <c r="IE104" i="14"/>
  <c r="IF104" i="14"/>
  <c r="IE103" i="14"/>
  <c r="IF103" i="14"/>
  <c r="AL103" i="14"/>
  <c r="AM103" i="14" s="1"/>
  <c r="AO103" i="14" s="1"/>
  <c r="AG103" i="14"/>
  <c r="AH103" i="14" s="1"/>
  <c r="AI103" i="14" s="1"/>
  <c r="BN103" i="14" s="1"/>
  <c r="GR103" i="14"/>
  <c r="GS103" i="14" s="1"/>
  <c r="GU103" i="14" s="1"/>
  <c r="J88" i="15"/>
  <c r="J86" i="38"/>
  <c r="H87" i="15"/>
  <c r="H85" i="38"/>
  <c r="G86" i="15"/>
  <c r="G84" i="38"/>
  <c r="F87" i="15"/>
  <c r="F85" i="38"/>
  <c r="S102" i="14"/>
  <c r="AF102" i="14" s="1"/>
  <c r="I88" i="15"/>
  <c r="P59" i="6"/>
  <c r="F100" i="14"/>
  <c r="Q60" i="6"/>
  <c r="J101" i="14"/>
  <c r="I101" i="14"/>
  <c r="R104" i="14"/>
  <c r="IY103" i="14"/>
  <c r="JA103" i="14" s="1"/>
  <c r="JB103" i="14" s="1"/>
  <c r="AK104" i="14"/>
  <c r="AN104" i="14" s="1"/>
  <c r="GQ104" i="14"/>
  <c r="GT104" i="14" s="1"/>
  <c r="BB106" i="14"/>
  <c r="BC106" i="14" s="1"/>
  <c r="BD106" i="14" s="1"/>
  <c r="BE106" i="14" s="1"/>
  <c r="BJ106" i="14" s="1"/>
  <c r="BK106" i="14" s="1"/>
  <c r="BL106" i="14" s="1"/>
  <c r="BM106" i="14" s="1"/>
  <c r="AQ105" i="14"/>
  <c r="AT105" i="14" s="1"/>
  <c r="AU105" i="14" s="1"/>
  <c r="AV105" i="14" s="1"/>
  <c r="GP103" i="14"/>
  <c r="HU103" i="14" s="1"/>
  <c r="BG105" i="14"/>
  <c r="AN105" i="14"/>
  <c r="P101" i="14"/>
  <c r="AE101" i="14" s="1"/>
  <c r="T102" i="14"/>
  <c r="IX102" i="14" s="1"/>
  <c r="IZ102" i="14" s="1"/>
  <c r="Q103" i="14"/>
  <c r="N60" i="6"/>
  <c r="H100" i="14" s="1"/>
  <c r="G99" i="14"/>
  <c r="BQ106" i="14" l="1"/>
  <c r="BR106" i="14"/>
  <c r="IM103" i="14"/>
  <c r="IN103" i="14"/>
  <c r="BY103" i="14"/>
  <c r="BZ103" i="14"/>
  <c r="AJ103" i="14"/>
  <c r="BO103" i="14" s="1"/>
  <c r="G85" i="15"/>
  <c r="G83" i="38"/>
  <c r="I87" i="15"/>
  <c r="I85" i="38"/>
  <c r="H86" i="15"/>
  <c r="H84" i="38"/>
  <c r="F86" i="15"/>
  <c r="F84" i="38"/>
  <c r="J87" i="15"/>
  <c r="J85" i="38"/>
  <c r="S101" i="14"/>
  <c r="AF101" i="14" s="1"/>
  <c r="GR101" i="14" s="1"/>
  <c r="GS101" i="14" s="1"/>
  <c r="GU101" i="14" s="1"/>
  <c r="AG102" i="14"/>
  <c r="AH102" i="14" s="1"/>
  <c r="AL102" i="14"/>
  <c r="AM102" i="14" s="1"/>
  <c r="AO102" i="14" s="1"/>
  <c r="GM102" i="14"/>
  <c r="GN102" i="14" s="1"/>
  <c r="GR102" i="14"/>
  <c r="GS102" i="14" s="1"/>
  <c r="GU102" i="14" s="1"/>
  <c r="Q59" i="6"/>
  <c r="J100" i="14"/>
  <c r="I100" i="14"/>
  <c r="P58" i="6"/>
  <c r="F99" i="14"/>
  <c r="AY104" i="14"/>
  <c r="BG104" i="14"/>
  <c r="AQ104" i="14"/>
  <c r="AT104" i="14" s="1"/>
  <c r="AU104" i="14" s="1"/>
  <c r="AV104" i="14" s="1"/>
  <c r="AW104" i="14" s="1"/>
  <c r="AW105" i="14"/>
  <c r="BB105" i="14" s="1"/>
  <c r="BC105" i="14" s="1"/>
  <c r="BD105" i="14" s="1"/>
  <c r="BE105" i="14" s="1"/>
  <c r="BJ105" i="14" s="1"/>
  <c r="BK105" i="14" s="1"/>
  <c r="BL105" i="14" s="1"/>
  <c r="BM105" i="14" s="1"/>
  <c r="GQ103" i="14"/>
  <c r="GT103" i="14" s="1"/>
  <c r="IY102" i="14"/>
  <c r="JA102" i="14" s="1"/>
  <c r="JB102" i="14" s="1"/>
  <c r="Q102" i="14"/>
  <c r="R103" i="14"/>
  <c r="P100" i="14"/>
  <c r="AE100" i="14" s="1"/>
  <c r="S100" i="14"/>
  <c r="AF100" i="14" s="1"/>
  <c r="AL101" i="14"/>
  <c r="AM101" i="14" s="1"/>
  <c r="AO101" i="14" s="1"/>
  <c r="T101" i="14"/>
  <c r="IX101" i="14" s="1"/>
  <c r="G98" i="14"/>
  <c r="N59" i="6"/>
  <c r="H99" i="14" s="1"/>
  <c r="BQ105" i="14" l="1"/>
  <c r="BR105" i="14"/>
  <c r="CG103" i="14"/>
  <c r="CH103" i="14"/>
  <c r="AK103" i="14"/>
  <c r="AN103" i="14" s="1"/>
  <c r="AG101" i="14"/>
  <c r="AH101" i="14" s="1"/>
  <c r="AJ101" i="14" s="1"/>
  <c r="BO101" i="14" s="1"/>
  <c r="GM101" i="14"/>
  <c r="GN101" i="14" s="1"/>
  <c r="GO101" i="14" s="1"/>
  <c r="HT101" i="14" s="1"/>
  <c r="H85" i="15"/>
  <c r="H83" i="38"/>
  <c r="G84" i="15"/>
  <c r="G82" i="38"/>
  <c r="I86" i="15"/>
  <c r="I84" i="38"/>
  <c r="F85" i="15"/>
  <c r="F83" i="38"/>
  <c r="J86" i="15"/>
  <c r="J84" i="38"/>
  <c r="GP102" i="14"/>
  <c r="HU102" i="14" s="1"/>
  <c r="GO102" i="14"/>
  <c r="AI102" i="14"/>
  <c r="AJ102" i="14"/>
  <c r="BO102" i="14" s="1"/>
  <c r="P57" i="6"/>
  <c r="F98" i="14"/>
  <c r="I99" i="14"/>
  <c r="BB104" i="14"/>
  <c r="BC104" i="14" s="1"/>
  <c r="BD104" i="14" s="1"/>
  <c r="BE104" i="14" s="1"/>
  <c r="BJ104" i="14" s="1"/>
  <c r="BK104" i="14" s="1"/>
  <c r="BL104" i="14" s="1"/>
  <c r="BM104" i="14" s="1"/>
  <c r="Q58" i="6"/>
  <c r="J99" i="14"/>
  <c r="R102" i="14"/>
  <c r="AG100" i="14"/>
  <c r="AH100" i="14" s="1"/>
  <c r="AJ100" i="14" s="1"/>
  <c r="BO100" i="14" s="1"/>
  <c r="AL100" i="14"/>
  <c r="AM100" i="14" s="1"/>
  <c r="AO100" i="14" s="1"/>
  <c r="GR100" i="14"/>
  <c r="GS100" i="14" s="1"/>
  <c r="GU100" i="14" s="1"/>
  <c r="Q101" i="14"/>
  <c r="P99" i="14"/>
  <c r="AE99" i="14" s="1"/>
  <c r="GM100" i="14"/>
  <c r="GN100" i="14" s="1"/>
  <c r="GO100" i="14" s="1"/>
  <c r="T100" i="14"/>
  <c r="IX100" i="14" s="1"/>
  <c r="IZ100" i="14" s="1"/>
  <c r="IZ101" i="14"/>
  <c r="IY101" i="14"/>
  <c r="N58" i="6"/>
  <c r="H98" i="14" s="1"/>
  <c r="G97" i="14"/>
  <c r="AI101" i="14" l="1"/>
  <c r="BN101" i="14" s="1"/>
  <c r="GP101" i="14"/>
  <c r="HU101" i="14" s="1"/>
  <c r="BG103" i="14"/>
  <c r="IM102" i="14"/>
  <c r="IN102" i="14"/>
  <c r="BQ104" i="14"/>
  <c r="BR104" i="14"/>
  <c r="BY101" i="14"/>
  <c r="BZ101" i="14"/>
  <c r="IM101" i="14"/>
  <c r="IN101" i="14"/>
  <c r="CG102" i="14"/>
  <c r="CH102" i="14"/>
  <c r="IE101" i="14"/>
  <c r="IF101" i="14"/>
  <c r="CG100" i="14"/>
  <c r="CH100" i="14"/>
  <c r="CG101" i="14"/>
  <c r="CH101" i="14"/>
  <c r="AY103" i="14"/>
  <c r="AQ103" i="14"/>
  <c r="AT103" i="14" s="1"/>
  <c r="AU103" i="14" s="1"/>
  <c r="AV103" i="14" s="1"/>
  <c r="AW103" i="14" s="1"/>
  <c r="BB103" i="14" s="1"/>
  <c r="BC103" i="14" s="1"/>
  <c r="BD103" i="14" s="1"/>
  <c r="BE103" i="14" s="1"/>
  <c r="BJ103" i="14" s="1"/>
  <c r="BK103" i="14" s="1"/>
  <c r="BL103" i="14" s="1"/>
  <c r="BM103" i="14" s="1"/>
  <c r="F84" i="15"/>
  <c r="F82" i="38"/>
  <c r="G83" i="15"/>
  <c r="G81" i="38"/>
  <c r="J85" i="15"/>
  <c r="J83" i="38"/>
  <c r="H84" i="15"/>
  <c r="H82" i="38"/>
  <c r="I85" i="15"/>
  <c r="I83" i="38"/>
  <c r="BN102" i="14"/>
  <c r="AK102" i="14"/>
  <c r="S99" i="14"/>
  <c r="AF99" i="14" s="1"/>
  <c r="AG99" i="14" s="1"/>
  <c r="AH99" i="14" s="1"/>
  <c r="AJ99" i="14" s="1"/>
  <c r="BO99" i="14" s="1"/>
  <c r="CG99" i="14" s="1"/>
  <c r="GQ102" i="14"/>
  <c r="GT102" i="14" s="1"/>
  <c r="HT102" i="14"/>
  <c r="Q57" i="6"/>
  <c r="J98" i="14"/>
  <c r="I98" i="14"/>
  <c r="I82" i="38" s="1"/>
  <c r="P56" i="6"/>
  <c r="F97" i="14"/>
  <c r="AK101" i="14"/>
  <c r="AQ101" i="14" s="1"/>
  <c r="AT101" i="14" s="1"/>
  <c r="AU101" i="14" s="1"/>
  <c r="AV101" i="14" s="1"/>
  <c r="AI100" i="14"/>
  <c r="BN100" i="14" s="1"/>
  <c r="GQ101" i="14"/>
  <c r="GT101" i="14" s="1"/>
  <c r="JA101" i="14"/>
  <c r="JB101" i="14" s="1"/>
  <c r="Q100" i="14"/>
  <c r="GP100" i="14"/>
  <c r="HU100" i="14" s="1"/>
  <c r="P98" i="14"/>
  <c r="AE98" i="14" s="1"/>
  <c r="IY100" i="14"/>
  <c r="JA100" i="14" s="1"/>
  <c r="JB100" i="14" s="1"/>
  <c r="R101" i="14"/>
  <c r="T99" i="14"/>
  <c r="IX99" i="14" s="1"/>
  <c r="IZ99" i="14" s="1"/>
  <c r="HT100" i="14"/>
  <c r="G96" i="14"/>
  <c r="N57" i="6"/>
  <c r="H97" i="14" s="1"/>
  <c r="CL83" i="14" l="1"/>
  <c r="CL87" i="14"/>
  <c r="CL88" i="14"/>
  <c r="CL81" i="14"/>
  <c r="CL89" i="14"/>
  <c r="CL84" i="14"/>
  <c r="CL82" i="14"/>
  <c r="CL85" i="14"/>
  <c r="CL86" i="14"/>
  <c r="CL80" i="14"/>
  <c r="CL91" i="14"/>
  <c r="CL95" i="14"/>
  <c r="CL96" i="14"/>
  <c r="CL92" i="14"/>
  <c r="CL99" i="14"/>
  <c r="CL94" i="14"/>
  <c r="CL97" i="14"/>
  <c r="CL98" i="14"/>
  <c r="CL90" i="14"/>
  <c r="CL93" i="14"/>
  <c r="CL147" i="14"/>
  <c r="CL148" i="14"/>
  <c r="CL149" i="14"/>
  <c r="CL146" i="14"/>
  <c r="CL143" i="14"/>
  <c r="CL142" i="14"/>
  <c r="CL141" i="14"/>
  <c r="CL144" i="14"/>
  <c r="CL145" i="14"/>
  <c r="CL140" i="14"/>
  <c r="CL138" i="14"/>
  <c r="CL135" i="14"/>
  <c r="CL137" i="14"/>
  <c r="CL139" i="14"/>
  <c r="CL136" i="14"/>
  <c r="CL133" i="14"/>
  <c r="CL121" i="14"/>
  <c r="CL123" i="14"/>
  <c r="CL124" i="14"/>
  <c r="CL128" i="14"/>
  <c r="CL122" i="14"/>
  <c r="CL120" i="14"/>
  <c r="CL132" i="14"/>
  <c r="CL129" i="14"/>
  <c r="CL127" i="14"/>
  <c r="CL130" i="14"/>
  <c r="CL125" i="14"/>
  <c r="CL131" i="14"/>
  <c r="CL134" i="14"/>
  <c r="CL126" i="14"/>
  <c r="CL102" i="14"/>
  <c r="CL101" i="14"/>
  <c r="IM100" i="14"/>
  <c r="IN100" i="14"/>
  <c r="BY102" i="14"/>
  <c r="BZ102" i="14"/>
  <c r="BQ103" i="14"/>
  <c r="BR103" i="14"/>
  <c r="IE100" i="14"/>
  <c r="IF100" i="14"/>
  <c r="IE102" i="14"/>
  <c r="IF102" i="14"/>
  <c r="BY100" i="14"/>
  <c r="BZ100" i="14"/>
  <c r="CL114" i="14"/>
  <c r="CL119" i="14"/>
  <c r="CL100" i="14"/>
  <c r="CL115" i="14"/>
  <c r="CL118" i="14"/>
  <c r="CL113" i="14"/>
  <c r="CL116" i="14"/>
  <c r="CL117" i="14"/>
  <c r="CL111" i="14"/>
  <c r="CL112" i="14"/>
  <c r="CL110" i="14"/>
  <c r="CL108" i="14"/>
  <c r="CL106" i="14"/>
  <c r="CL109" i="14"/>
  <c r="CL107" i="14"/>
  <c r="CL105" i="14"/>
  <c r="CL104" i="14"/>
  <c r="CL103" i="14"/>
  <c r="H83" i="15"/>
  <c r="H81" i="38"/>
  <c r="F83" i="15"/>
  <c r="F81" i="38"/>
  <c r="G82" i="15"/>
  <c r="G80" i="38"/>
  <c r="J84" i="15"/>
  <c r="J82" i="38"/>
  <c r="AL99" i="14"/>
  <c r="AM99" i="14" s="1"/>
  <c r="AO99" i="14" s="1"/>
  <c r="GM99" i="14"/>
  <c r="GN99" i="14" s="1"/>
  <c r="GP99" i="14" s="1"/>
  <c r="HU99" i="14" s="1"/>
  <c r="IM99" i="14" s="1"/>
  <c r="GR99" i="14"/>
  <c r="GS99" i="14" s="1"/>
  <c r="GU99" i="14" s="1"/>
  <c r="AN102" i="14"/>
  <c r="AQ102" i="14"/>
  <c r="AT102" i="14" s="1"/>
  <c r="AU102" i="14" s="1"/>
  <c r="AV102" i="14" s="1"/>
  <c r="AY102" i="14"/>
  <c r="BG102" i="14"/>
  <c r="S98" i="14"/>
  <c r="AF98" i="14" s="1"/>
  <c r="I84" i="15"/>
  <c r="P55" i="6"/>
  <c r="F96" i="14"/>
  <c r="I97" i="14"/>
  <c r="Q56" i="6"/>
  <c r="J97" i="14"/>
  <c r="AY101" i="14"/>
  <c r="BG101" i="14"/>
  <c r="AN101" i="14"/>
  <c r="AW101" i="14" s="1"/>
  <c r="AK100" i="14"/>
  <c r="AN100" i="14" s="1"/>
  <c r="AI99" i="14"/>
  <c r="BN99" i="14" s="1"/>
  <c r="BY99" i="14" s="1"/>
  <c r="JC102" i="14"/>
  <c r="GQ100" i="14"/>
  <c r="GT100" i="14" s="1"/>
  <c r="JC106" i="14"/>
  <c r="JC107" i="14"/>
  <c r="JC100" i="14"/>
  <c r="T98" i="14"/>
  <c r="IX98" i="14" s="1"/>
  <c r="IZ98" i="14" s="1"/>
  <c r="JC103" i="14"/>
  <c r="IY99" i="14"/>
  <c r="JA99" i="14" s="1"/>
  <c r="JB99" i="14" s="1"/>
  <c r="JC101" i="14"/>
  <c r="JC104" i="14"/>
  <c r="R100" i="14"/>
  <c r="Q99" i="14"/>
  <c r="JC105" i="14"/>
  <c r="JC108" i="14"/>
  <c r="P97" i="14"/>
  <c r="AE97" i="14" s="1"/>
  <c r="JC109" i="14"/>
  <c r="JD108" i="14"/>
  <c r="JD104" i="14"/>
  <c r="JD100" i="14"/>
  <c r="JD109" i="14"/>
  <c r="JD107" i="14"/>
  <c r="JD103" i="14"/>
  <c r="JD105" i="14"/>
  <c r="JD106" i="14"/>
  <c r="JD102" i="14"/>
  <c r="JD101" i="14"/>
  <c r="G95" i="14"/>
  <c r="N56" i="6"/>
  <c r="H96" i="14" s="1"/>
  <c r="IJ102" i="14" l="1"/>
  <c r="IR80" i="14"/>
  <c r="IR84" i="14"/>
  <c r="IR83" i="14"/>
  <c r="IR81" i="14"/>
  <c r="IR89" i="14"/>
  <c r="IR87" i="14"/>
  <c r="IR85" i="14"/>
  <c r="IR82" i="14"/>
  <c r="IR86" i="14"/>
  <c r="IR88" i="14"/>
  <c r="IJ89" i="14"/>
  <c r="IJ85" i="14"/>
  <c r="IJ87" i="14"/>
  <c r="IJ88" i="14"/>
  <c r="IJ81" i="14"/>
  <c r="IJ83" i="14"/>
  <c r="IJ80" i="14"/>
  <c r="IJ82" i="14"/>
  <c r="IJ86" i="14"/>
  <c r="IJ84" i="14"/>
  <c r="CD88" i="14"/>
  <c r="CD81" i="14"/>
  <c r="CD85" i="14"/>
  <c r="CD89" i="14"/>
  <c r="CD86" i="14"/>
  <c r="CD83" i="14"/>
  <c r="CD82" i="14"/>
  <c r="CD87" i="14"/>
  <c r="CD84" i="14"/>
  <c r="CD80" i="14"/>
  <c r="IR101" i="14"/>
  <c r="CD91" i="14"/>
  <c r="CD98" i="14"/>
  <c r="CD94" i="14"/>
  <c r="CD95" i="14"/>
  <c r="CD90" i="14"/>
  <c r="CD96" i="14"/>
  <c r="CD92" i="14"/>
  <c r="CD99" i="14"/>
  <c r="CD93" i="14"/>
  <c r="CD97" i="14"/>
  <c r="IR96" i="14"/>
  <c r="IR93" i="14"/>
  <c r="IR91" i="14"/>
  <c r="IR90" i="14"/>
  <c r="IR97" i="14"/>
  <c r="IR98" i="14"/>
  <c r="IR92" i="14"/>
  <c r="IR99" i="14"/>
  <c r="IR94" i="14"/>
  <c r="IR95" i="14"/>
  <c r="IJ93" i="14"/>
  <c r="IJ96" i="14"/>
  <c r="IJ97" i="14"/>
  <c r="IJ91" i="14"/>
  <c r="IJ92" i="14"/>
  <c r="IJ98" i="14"/>
  <c r="IJ95" i="14"/>
  <c r="IJ94" i="14"/>
  <c r="IJ99" i="14"/>
  <c r="IJ90" i="14"/>
  <c r="CD149" i="14"/>
  <c r="CD148" i="14"/>
  <c r="CD147" i="14"/>
  <c r="CD145" i="14"/>
  <c r="CD146" i="14"/>
  <c r="CD144" i="14"/>
  <c r="CD142" i="14"/>
  <c r="CD140" i="14"/>
  <c r="CD143" i="14"/>
  <c r="CD141" i="14"/>
  <c r="CD137" i="14"/>
  <c r="CD136" i="14"/>
  <c r="CD135" i="14"/>
  <c r="CD138" i="14"/>
  <c r="CD139" i="14"/>
  <c r="IR147" i="14"/>
  <c r="IR149" i="14"/>
  <c r="IR148" i="14"/>
  <c r="IR142" i="14"/>
  <c r="IR143" i="14"/>
  <c r="IR141" i="14"/>
  <c r="IR144" i="14"/>
  <c r="IR140" i="14"/>
  <c r="IR145" i="14"/>
  <c r="IR146" i="14"/>
  <c r="IR139" i="14"/>
  <c r="IR135" i="14"/>
  <c r="IR136" i="14"/>
  <c r="IR138" i="14"/>
  <c r="IR137" i="14"/>
  <c r="IJ149" i="14"/>
  <c r="IJ147" i="14"/>
  <c r="IJ148" i="14"/>
  <c r="IJ140" i="14"/>
  <c r="IJ146" i="14"/>
  <c r="IJ145" i="14"/>
  <c r="IJ144" i="14"/>
  <c r="IJ142" i="14"/>
  <c r="IJ141" i="14"/>
  <c r="IJ143" i="14"/>
  <c r="IJ139" i="14"/>
  <c r="IJ138" i="14"/>
  <c r="IJ137" i="14"/>
  <c r="IJ135" i="14"/>
  <c r="IJ136" i="14"/>
  <c r="CD129" i="14"/>
  <c r="CD124" i="14"/>
  <c r="CD120" i="14"/>
  <c r="CD127" i="14"/>
  <c r="CD121" i="14"/>
  <c r="CD132" i="14"/>
  <c r="CD134" i="14"/>
  <c r="CD131" i="14"/>
  <c r="CD133" i="14"/>
  <c r="CD125" i="14"/>
  <c r="CD123" i="14"/>
  <c r="CD126" i="14"/>
  <c r="CD128" i="14"/>
  <c r="CD130" i="14"/>
  <c r="CD122" i="14"/>
  <c r="IR102" i="14"/>
  <c r="IR127" i="14"/>
  <c r="IR132" i="14"/>
  <c r="IR120" i="14"/>
  <c r="IR128" i="14"/>
  <c r="IR122" i="14"/>
  <c r="IR121" i="14"/>
  <c r="IR125" i="14"/>
  <c r="IR123" i="14"/>
  <c r="IR130" i="14"/>
  <c r="IR124" i="14"/>
  <c r="IR131" i="14"/>
  <c r="IR134" i="14"/>
  <c r="IR133" i="14"/>
  <c r="IR129" i="14"/>
  <c r="IR126" i="14"/>
  <c r="IJ123" i="14"/>
  <c r="IJ126" i="14"/>
  <c r="IJ129" i="14"/>
  <c r="IJ133" i="14"/>
  <c r="IJ122" i="14"/>
  <c r="IJ125" i="14"/>
  <c r="IJ131" i="14"/>
  <c r="IJ121" i="14"/>
  <c r="IJ127" i="14"/>
  <c r="IJ132" i="14"/>
  <c r="IJ128" i="14"/>
  <c r="IJ130" i="14"/>
  <c r="IJ124" i="14"/>
  <c r="IJ120" i="14"/>
  <c r="IJ134" i="14"/>
  <c r="CD102" i="14"/>
  <c r="CD114" i="14"/>
  <c r="CD113" i="14"/>
  <c r="CD116" i="14"/>
  <c r="CD112" i="14"/>
  <c r="CD110" i="14"/>
  <c r="CD118" i="14"/>
  <c r="CD117" i="14"/>
  <c r="CD111" i="14"/>
  <c r="CD100" i="14"/>
  <c r="CD119" i="14"/>
  <c r="CD115" i="14"/>
  <c r="CD108" i="14"/>
  <c r="CD109" i="14"/>
  <c r="CD107" i="14"/>
  <c r="CD106" i="14"/>
  <c r="CD105" i="14"/>
  <c r="CD104" i="14"/>
  <c r="CD103" i="14"/>
  <c r="IJ117" i="14"/>
  <c r="IJ100" i="14"/>
  <c r="IJ116" i="14"/>
  <c r="IJ119" i="14"/>
  <c r="IJ115" i="14"/>
  <c r="IJ111" i="14"/>
  <c r="IJ114" i="14"/>
  <c r="IJ109" i="14"/>
  <c r="IJ113" i="14"/>
  <c r="IJ110" i="14"/>
  <c r="IJ118" i="14"/>
  <c r="IJ112" i="14"/>
  <c r="IJ108" i="14"/>
  <c r="IJ106" i="14"/>
  <c r="IJ107" i="14"/>
  <c r="IJ105" i="14"/>
  <c r="IJ104" i="14"/>
  <c r="IJ103" i="14"/>
  <c r="IJ101" i="14"/>
  <c r="G9" i="16"/>
  <c r="CD101" i="14"/>
  <c r="IR100" i="14"/>
  <c r="IR113" i="14"/>
  <c r="IR112" i="14"/>
  <c r="IR110" i="14"/>
  <c r="IR114" i="14"/>
  <c r="IR118" i="14"/>
  <c r="IR117" i="14"/>
  <c r="IR111" i="14"/>
  <c r="IR119" i="14"/>
  <c r="IR116" i="14"/>
  <c r="IR109" i="14"/>
  <c r="IR115" i="14"/>
  <c r="IR108" i="14"/>
  <c r="IR106" i="14"/>
  <c r="IR107" i="14"/>
  <c r="IR105" i="14"/>
  <c r="IR104" i="14"/>
  <c r="IR103" i="14"/>
  <c r="GO99" i="14"/>
  <c r="GQ99" i="14" s="1"/>
  <c r="GT99" i="14" s="1"/>
  <c r="AI86" i="38"/>
  <c r="AG86" i="38"/>
  <c r="AI92" i="38"/>
  <c r="AG92" i="38"/>
  <c r="AW92" i="15"/>
  <c r="BI92" i="15" s="1"/>
  <c r="AH90" i="38"/>
  <c r="AF90" i="38"/>
  <c r="J83" i="15"/>
  <c r="J81" i="38"/>
  <c r="AG88" i="38"/>
  <c r="AI88" i="38"/>
  <c r="AH93" i="38"/>
  <c r="AF93" i="38"/>
  <c r="AH88" i="38"/>
  <c r="AF88" i="38"/>
  <c r="AI89" i="38"/>
  <c r="AG89" i="38"/>
  <c r="AH86" i="38"/>
  <c r="AF86" i="38"/>
  <c r="I83" i="15"/>
  <c r="I81" i="38"/>
  <c r="AI85" i="38"/>
  <c r="AG85" i="38"/>
  <c r="AI87" i="38"/>
  <c r="AG87" i="38"/>
  <c r="AU93" i="15"/>
  <c r="BH93" i="15" s="1"/>
  <c r="AH91" i="38"/>
  <c r="AF91" i="38"/>
  <c r="AH87" i="38"/>
  <c r="AF87" i="38"/>
  <c r="F82" i="15"/>
  <c r="F80" i="38"/>
  <c r="AH85" i="38"/>
  <c r="AF85" i="38"/>
  <c r="AG91" i="38"/>
  <c r="AI91" i="38"/>
  <c r="AI93" i="38"/>
  <c r="AG93" i="38"/>
  <c r="AH92" i="38"/>
  <c r="AF92" i="38"/>
  <c r="AG90" i="38"/>
  <c r="AI90" i="38"/>
  <c r="H82" i="15"/>
  <c r="H80" i="38"/>
  <c r="G81" i="15"/>
  <c r="G79" i="38"/>
  <c r="AG84" i="38"/>
  <c r="AI84" i="38"/>
  <c r="AH89" i="38"/>
  <c r="AF89" i="38"/>
  <c r="AH84" i="38"/>
  <c r="AF84" i="38"/>
  <c r="AW102" i="14"/>
  <c r="BB102" i="14" s="1"/>
  <c r="BC102" i="14" s="1"/>
  <c r="BD102" i="14" s="1"/>
  <c r="BE102" i="14" s="1"/>
  <c r="BJ102" i="14" s="1"/>
  <c r="BK102" i="14" s="1"/>
  <c r="BL102" i="14" s="1"/>
  <c r="BM102" i="14" s="1"/>
  <c r="GM98" i="14"/>
  <c r="GN98" i="14" s="1"/>
  <c r="GR98" i="14"/>
  <c r="GS98" i="14" s="1"/>
  <c r="GU98" i="14" s="1"/>
  <c r="AL98" i="14"/>
  <c r="AM98" i="14" s="1"/>
  <c r="AO98" i="14" s="1"/>
  <c r="S97" i="14"/>
  <c r="AF97" i="14" s="1"/>
  <c r="AL97" i="14" s="1"/>
  <c r="AM97" i="14" s="1"/>
  <c r="AO97" i="14" s="1"/>
  <c r="AG98" i="14"/>
  <c r="AH98" i="14" s="1"/>
  <c r="Q55" i="6"/>
  <c r="J96" i="14"/>
  <c r="I96" i="14"/>
  <c r="I80" i="38" s="1"/>
  <c r="P54" i="6"/>
  <c r="F95" i="14"/>
  <c r="BB101" i="14"/>
  <c r="BC101" i="14" s="1"/>
  <c r="BD101" i="14" s="1"/>
  <c r="BE101" i="14" s="1"/>
  <c r="BJ101" i="14" s="1"/>
  <c r="BK101" i="14" s="1"/>
  <c r="BL101" i="14" s="1"/>
  <c r="BM101" i="14" s="1"/>
  <c r="AQ100" i="14"/>
  <c r="AT100" i="14" s="1"/>
  <c r="AU100" i="14" s="1"/>
  <c r="AV100" i="14" s="1"/>
  <c r="AW100" i="14" s="1"/>
  <c r="AY100" i="14"/>
  <c r="BG100" i="14"/>
  <c r="AK99" i="14"/>
  <c r="AN99" i="14" s="1"/>
  <c r="AU88" i="15"/>
  <c r="BH88" i="15" s="1"/>
  <c r="AW88" i="15"/>
  <c r="BI88" i="15" s="1"/>
  <c r="AW86" i="15"/>
  <c r="BI86" i="15" s="1"/>
  <c r="AU86" i="15"/>
  <c r="BH86" i="15" s="1"/>
  <c r="AU92" i="15"/>
  <c r="BH92" i="15" s="1"/>
  <c r="AW93" i="15"/>
  <c r="BI93" i="15" s="1"/>
  <c r="IY98" i="14"/>
  <c r="JA98" i="14" s="1"/>
  <c r="JB98" i="14" s="1"/>
  <c r="R99" i="14"/>
  <c r="AX92" i="15"/>
  <c r="AV92" i="15"/>
  <c r="AW95" i="15"/>
  <c r="BI95" i="15" s="1"/>
  <c r="AU95" i="15"/>
  <c r="BH95" i="15" s="1"/>
  <c r="HT99" i="14"/>
  <c r="IE99" i="14" s="1"/>
  <c r="AX91" i="15"/>
  <c r="AV91" i="15"/>
  <c r="AX89" i="15"/>
  <c r="AV89" i="15"/>
  <c r="AW94" i="15"/>
  <c r="BI94" i="15" s="1"/>
  <c r="AU94" i="15"/>
  <c r="BH94" i="15" s="1"/>
  <c r="T97" i="14"/>
  <c r="IX97" i="14" s="1"/>
  <c r="Q98" i="14"/>
  <c r="AX86" i="15"/>
  <c r="AV86" i="15"/>
  <c r="AW87" i="15"/>
  <c r="BI87" i="15" s="1"/>
  <c r="AU87" i="15"/>
  <c r="BH87" i="15" s="1"/>
  <c r="AX93" i="15"/>
  <c r="AV93" i="15"/>
  <c r="AW91" i="15"/>
  <c r="BI91" i="15" s="1"/>
  <c r="AU91" i="15"/>
  <c r="BH91" i="15" s="1"/>
  <c r="AU90" i="15"/>
  <c r="BH90" i="15" s="1"/>
  <c r="AW90" i="15"/>
  <c r="BI90" i="15" s="1"/>
  <c r="P96" i="14"/>
  <c r="AE96" i="14" s="1"/>
  <c r="AX87" i="15"/>
  <c r="AV87" i="15"/>
  <c r="AX90" i="15"/>
  <c r="AV90" i="15"/>
  <c r="AX95" i="15"/>
  <c r="AV95" i="15"/>
  <c r="AX88" i="15"/>
  <c r="AV88" i="15"/>
  <c r="AX94" i="15"/>
  <c r="AV94" i="15"/>
  <c r="AW89" i="15"/>
  <c r="BI89" i="15" s="1"/>
  <c r="AU89" i="15"/>
  <c r="BH89" i="15" s="1"/>
  <c r="G94" i="14"/>
  <c r="N55" i="6"/>
  <c r="H95" i="14" s="1"/>
  <c r="V34" i="46" l="1"/>
  <c r="V34" i="1"/>
  <c r="G16" i="16"/>
  <c r="F56" i="16"/>
  <c r="BQ101" i="14"/>
  <c r="BR101" i="14"/>
  <c r="G56" i="16"/>
  <c r="F9" i="16"/>
  <c r="BQ102" i="14"/>
  <c r="BR102" i="14"/>
  <c r="F81" i="15"/>
  <c r="F79" i="38"/>
  <c r="H81" i="15"/>
  <c r="H79" i="38"/>
  <c r="J82" i="15"/>
  <c r="J80" i="38"/>
  <c r="G80" i="15"/>
  <c r="G78" i="38"/>
  <c r="GM97" i="14"/>
  <c r="GN97" i="14" s="1"/>
  <c r="GO97" i="14" s="1"/>
  <c r="HT97" i="14" s="1"/>
  <c r="IE97" i="14" s="1"/>
  <c r="GR97" i="14"/>
  <c r="GS97" i="14" s="1"/>
  <c r="GU97" i="14" s="1"/>
  <c r="AG97" i="14"/>
  <c r="AH97" i="14" s="1"/>
  <c r="AI97" i="14" s="1"/>
  <c r="BN97" i="14" s="1"/>
  <c r="BY97" i="14" s="1"/>
  <c r="AI98" i="14"/>
  <c r="AJ98" i="14"/>
  <c r="BO98" i="14" s="1"/>
  <c r="CG98" i="14" s="1"/>
  <c r="S96" i="14"/>
  <c r="AF96" i="14" s="1"/>
  <c r="AG96" i="14" s="1"/>
  <c r="AH96" i="14" s="1"/>
  <c r="AJ96" i="14" s="1"/>
  <c r="BO96" i="14" s="1"/>
  <c r="CG96" i="14" s="1"/>
  <c r="I82" i="15"/>
  <c r="GP98" i="14"/>
  <c r="HU98" i="14" s="1"/>
  <c r="IM98" i="14" s="1"/>
  <c r="GO98" i="14"/>
  <c r="P53" i="6"/>
  <c r="F94" i="14"/>
  <c r="F78" i="38" s="1"/>
  <c r="I95" i="14"/>
  <c r="Q54" i="6"/>
  <c r="J95" i="14"/>
  <c r="BB100" i="14"/>
  <c r="BC100" i="14" s="1"/>
  <c r="BD100" i="14" s="1"/>
  <c r="BE100" i="14" s="1"/>
  <c r="BJ100" i="14" s="1"/>
  <c r="BK100" i="14" s="1"/>
  <c r="BL100" i="14" s="1"/>
  <c r="BM100" i="14" s="1"/>
  <c r="AQ99" i="14"/>
  <c r="AT99" i="14" s="1"/>
  <c r="AU99" i="14" s="1"/>
  <c r="AV99" i="14" s="1"/>
  <c r="AW99" i="14" s="1"/>
  <c r="AY99" i="14"/>
  <c r="BG99" i="14"/>
  <c r="Q97" i="14"/>
  <c r="P95" i="14"/>
  <c r="AE95" i="14" s="1"/>
  <c r="T96" i="14"/>
  <c r="IX96" i="14" s="1"/>
  <c r="IZ96" i="14" s="1"/>
  <c r="R98" i="14"/>
  <c r="IZ97" i="14"/>
  <c r="IY97" i="14"/>
  <c r="N54" i="6"/>
  <c r="H94" i="14" s="1"/>
  <c r="G93" i="14"/>
  <c r="V42" i="1" l="1"/>
  <c r="V42" i="46"/>
  <c r="U42" i="1"/>
  <c r="U42" i="46"/>
  <c r="U34" i="46"/>
  <c r="F16" i="16"/>
  <c r="U34" i="1"/>
  <c r="BQ100" i="14"/>
  <c r="BR100" i="14"/>
  <c r="AJ97" i="14"/>
  <c r="BO97" i="14" s="1"/>
  <c r="CG97" i="14" s="1"/>
  <c r="GP97" i="14"/>
  <c r="HU97" i="14" s="1"/>
  <c r="IM97" i="14" s="1"/>
  <c r="J81" i="15"/>
  <c r="J79" i="38"/>
  <c r="I81" i="15"/>
  <c r="I79" i="38"/>
  <c r="G79" i="15"/>
  <c r="G77" i="38"/>
  <c r="H80" i="15"/>
  <c r="H78" i="38"/>
  <c r="S95" i="14"/>
  <c r="AF95" i="14" s="1"/>
  <c r="GM95" i="14" s="1"/>
  <c r="GN95" i="14" s="1"/>
  <c r="HT98" i="14"/>
  <c r="IE98" i="14" s="1"/>
  <c r="GQ98" i="14"/>
  <c r="GT98" i="14" s="1"/>
  <c r="GM96" i="14"/>
  <c r="GN96" i="14" s="1"/>
  <c r="GR96" i="14"/>
  <c r="GS96" i="14" s="1"/>
  <c r="GU96" i="14" s="1"/>
  <c r="AL96" i="14"/>
  <c r="AM96" i="14" s="1"/>
  <c r="AO96" i="14" s="1"/>
  <c r="P94" i="14"/>
  <c r="AE94" i="14" s="1"/>
  <c r="F80" i="15"/>
  <c r="BN98" i="14"/>
  <c r="BY98" i="14" s="1"/>
  <c r="AK98" i="14"/>
  <c r="Q53" i="6"/>
  <c r="J94" i="14"/>
  <c r="I94" i="14"/>
  <c r="I78" i="38" s="1"/>
  <c r="P52" i="6"/>
  <c r="F93" i="14"/>
  <c r="AI96" i="14"/>
  <c r="BN96" i="14" s="1"/>
  <c r="BY96" i="14" s="1"/>
  <c r="BB99" i="14"/>
  <c r="BC99" i="14" s="1"/>
  <c r="BD99" i="14" s="1"/>
  <c r="BE99" i="14" s="1"/>
  <c r="BJ99" i="14" s="1"/>
  <c r="BK99" i="14" s="1"/>
  <c r="BL99" i="14" s="1"/>
  <c r="BM99" i="14" s="1"/>
  <c r="BQ99" i="14" s="1"/>
  <c r="T95" i="14"/>
  <c r="IX95" i="14" s="1"/>
  <c r="IZ95" i="14" s="1"/>
  <c r="Q96" i="14"/>
  <c r="IY96" i="14"/>
  <c r="JA96" i="14" s="1"/>
  <c r="JB96" i="14" s="1"/>
  <c r="R97" i="14"/>
  <c r="JA97" i="14"/>
  <c r="JB97" i="14" s="1"/>
  <c r="N53" i="6"/>
  <c r="H93" i="14" s="1"/>
  <c r="G92" i="14"/>
  <c r="BV80" i="14" l="1"/>
  <c r="BV89" i="14"/>
  <c r="BV87" i="14"/>
  <c r="BV83" i="14"/>
  <c r="BV88" i="14"/>
  <c r="BV86" i="14"/>
  <c r="BV81" i="14"/>
  <c r="BV82" i="14"/>
  <c r="BV84" i="14"/>
  <c r="BV85" i="14"/>
  <c r="BV90" i="14"/>
  <c r="BV99" i="14"/>
  <c r="BV94" i="14"/>
  <c r="BV96" i="14"/>
  <c r="BV95" i="14"/>
  <c r="BV93" i="14"/>
  <c r="BV91" i="14"/>
  <c r="BV97" i="14"/>
  <c r="BV92" i="14"/>
  <c r="BV98" i="14"/>
  <c r="BV148" i="14"/>
  <c r="BV147" i="14"/>
  <c r="BV149" i="14"/>
  <c r="BV146" i="14"/>
  <c r="BV145" i="14"/>
  <c r="BV143" i="14"/>
  <c r="BV140" i="14"/>
  <c r="BV144" i="14"/>
  <c r="BV141" i="14"/>
  <c r="BV142" i="14"/>
  <c r="BV136" i="14"/>
  <c r="BV139" i="14"/>
  <c r="CN139" i="14" s="1"/>
  <c r="BV138" i="14"/>
  <c r="BV137" i="14"/>
  <c r="BV135" i="14"/>
  <c r="BV102" i="14"/>
  <c r="BV130" i="14"/>
  <c r="BV126" i="14"/>
  <c r="BV132" i="14"/>
  <c r="BV120" i="14"/>
  <c r="BV128" i="14"/>
  <c r="BV125" i="14"/>
  <c r="BV122" i="14"/>
  <c r="BV129" i="14"/>
  <c r="BV131" i="14"/>
  <c r="BV133" i="14"/>
  <c r="BV127" i="14"/>
  <c r="BV124" i="14"/>
  <c r="BV134" i="14"/>
  <c r="BV123" i="14"/>
  <c r="BV121" i="14"/>
  <c r="AK97" i="14"/>
  <c r="AY97" i="14" s="1"/>
  <c r="AG95" i="14"/>
  <c r="AH95" i="14" s="1"/>
  <c r="AJ95" i="14" s="1"/>
  <c r="BO95" i="14" s="1"/>
  <c r="CG95" i="14" s="1"/>
  <c r="AL95" i="14"/>
  <c r="AM95" i="14" s="1"/>
  <c r="AO95" i="14" s="1"/>
  <c r="BV117" i="14"/>
  <c r="BV114" i="14"/>
  <c r="BV119" i="14"/>
  <c r="BV118" i="14"/>
  <c r="BV113" i="14"/>
  <c r="BV100" i="14"/>
  <c r="BV112" i="14"/>
  <c r="BV111" i="14"/>
  <c r="BV110" i="14"/>
  <c r="BV115" i="14"/>
  <c r="BV116" i="14"/>
  <c r="BV109" i="14"/>
  <c r="BV107" i="14"/>
  <c r="BV108" i="14"/>
  <c r="BV106" i="14"/>
  <c r="BV105" i="14"/>
  <c r="BV104" i="14"/>
  <c r="BV103" i="14"/>
  <c r="BV101" i="14"/>
  <c r="GR95" i="14"/>
  <c r="GS95" i="14" s="1"/>
  <c r="GU95" i="14" s="1"/>
  <c r="GQ97" i="14"/>
  <c r="GT97" i="14" s="1"/>
  <c r="G78" i="15"/>
  <c r="G76" i="38"/>
  <c r="F79" i="15"/>
  <c r="F77" i="38"/>
  <c r="H79" i="15"/>
  <c r="H77" i="38"/>
  <c r="J80" i="15"/>
  <c r="J78" i="38"/>
  <c r="S94" i="14"/>
  <c r="AF94" i="14" s="1"/>
  <c r="GM94" i="14" s="1"/>
  <c r="GN94" i="14" s="1"/>
  <c r="GP94" i="14" s="1"/>
  <c r="HU94" i="14" s="1"/>
  <c r="IM94" i="14" s="1"/>
  <c r="I80" i="15"/>
  <c r="GO96" i="14"/>
  <c r="GP96" i="14"/>
  <c r="HU96" i="14" s="1"/>
  <c r="IM96" i="14" s="1"/>
  <c r="BG98" i="14"/>
  <c r="AY98" i="14"/>
  <c r="AN98" i="14"/>
  <c r="AQ98" i="14"/>
  <c r="AT98" i="14" s="1"/>
  <c r="AU98" i="14" s="1"/>
  <c r="AV98" i="14" s="1"/>
  <c r="P51" i="6"/>
  <c r="F92" i="14"/>
  <c r="I93" i="14"/>
  <c r="I77" i="38" s="1"/>
  <c r="Q52" i="6"/>
  <c r="J93" i="14"/>
  <c r="AK96" i="14"/>
  <c r="BG96" i="14" s="1"/>
  <c r="BG97" i="14"/>
  <c r="AQ97" i="14"/>
  <c r="AT97" i="14" s="1"/>
  <c r="AU97" i="14" s="1"/>
  <c r="AV97" i="14" s="1"/>
  <c r="AN97" i="14"/>
  <c r="AI95" i="14"/>
  <c r="BN95" i="14" s="1"/>
  <c r="BY95" i="14" s="1"/>
  <c r="IY95" i="14"/>
  <c r="JA95" i="14" s="1"/>
  <c r="JB95" i="14" s="1"/>
  <c r="GP95" i="14"/>
  <c r="HU95" i="14" s="1"/>
  <c r="IM95" i="14" s="1"/>
  <c r="GO95" i="14"/>
  <c r="P93" i="14"/>
  <c r="AE93" i="14" s="1"/>
  <c r="R96" i="14"/>
  <c r="Q95" i="14"/>
  <c r="T94" i="14"/>
  <c r="IX94" i="14" s="1"/>
  <c r="G91" i="14"/>
  <c r="N52" i="6"/>
  <c r="H92" i="14" s="1"/>
  <c r="T125" i="15" l="1"/>
  <c r="X125" i="15" s="1"/>
  <c r="U123" i="38"/>
  <c r="H9" i="16"/>
  <c r="AW98" i="14"/>
  <c r="BB98" i="14" s="1"/>
  <c r="BC98" i="14" s="1"/>
  <c r="BD98" i="14" s="1"/>
  <c r="BE98" i="14" s="1"/>
  <c r="BJ98" i="14" s="1"/>
  <c r="BK98" i="14" s="1"/>
  <c r="BL98" i="14" s="1"/>
  <c r="BM98" i="14" s="1"/>
  <c r="BQ98" i="14" s="1"/>
  <c r="GO94" i="14"/>
  <c r="HT94" i="14" s="1"/>
  <c r="IE94" i="14" s="1"/>
  <c r="J79" i="15"/>
  <c r="J77" i="38"/>
  <c r="H78" i="15"/>
  <c r="H76" i="38"/>
  <c r="G77" i="15"/>
  <c r="G75" i="38"/>
  <c r="F78" i="15"/>
  <c r="F76" i="38"/>
  <c r="S93" i="14"/>
  <c r="AF93" i="14" s="1"/>
  <c r="GR93" i="14" s="1"/>
  <c r="GS93" i="14" s="1"/>
  <c r="GU93" i="14" s="1"/>
  <c r="I79" i="15"/>
  <c r="HT96" i="14"/>
  <c r="IE96" i="14" s="1"/>
  <c r="GQ96" i="14"/>
  <c r="GT96" i="14" s="1"/>
  <c r="AG94" i="14"/>
  <c r="AH94" i="14" s="1"/>
  <c r="AL94" i="14"/>
  <c r="AM94" i="14" s="1"/>
  <c r="AO94" i="14" s="1"/>
  <c r="GR94" i="14"/>
  <c r="GS94" i="14" s="1"/>
  <c r="GU94" i="14" s="1"/>
  <c r="Q51" i="6"/>
  <c r="J92" i="14"/>
  <c r="I92" i="14"/>
  <c r="I76" i="38" s="1"/>
  <c r="P50" i="6"/>
  <c r="F91" i="14"/>
  <c r="F75" i="38" s="1"/>
  <c r="AQ96" i="14"/>
  <c r="AT96" i="14" s="1"/>
  <c r="AU96" i="14" s="1"/>
  <c r="AV96" i="14" s="1"/>
  <c r="AY96" i="14"/>
  <c r="AN96" i="14"/>
  <c r="AW97" i="14"/>
  <c r="BB97" i="14" s="1"/>
  <c r="BC97" i="14" s="1"/>
  <c r="BD97" i="14" s="1"/>
  <c r="BE97" i="14" s="1"/>
  <c r="BJ97" i="14" s="1"/>
  <c r="BK97" i="14" s="1"/>
  <c r="BL97" i="14" s="1"/>
  <c r="BM97" i="14" s="1"/>
  <c r="BQ97" i="14" s="1"/>
  <c r="AK95" i="14"/>
  <c r="AQ95" i="14" s="1"/>
  <c r="AT95" i="14" s="1"/>
  <c r="AU95" i="14" s="1"/>
  <c r="AV95" i="14" s="1"/>
  <c r="GM93" i="14"/>
  <c r="GN93" i="14" s="1"/>
  <c r="GP93" i="14" s="1"/>
  <c r="HU93" i="14" s="1"/>
  <c r="IM93" i="14" s="1"/>
  <c r="AG93" i="14"/>
  <c r="AH93" i="14" s="1"/>
  <c r="AJ93" i="14" s="1"/>
  <c r="BO93" i="14" s="1"/>
  <c r="CG93" i="14" s="1"/>
  <c r="R95" i="14"/>
  <c r="T93" i="14"/>
  <c r="IX93" i="14" s="1"/>
  <c r="IZ93" i="14" s="1"/>
  <c r="P92" i="14"/>
  <c r="AE92" i="14" s="1"/>
  <c r="HT95" i="14"/>
  <c r="IE95" i="14" s="1"/>
  <c r="GQ95" i="14"/>
  <c r="GT95" i="14" s="1"/>
  <c r="IZ94" i="14"/>
  <c r="IY94" i="14"/>
  <c r="Q94" i="14"/>
  <c r="N51" i="6"/>
  <c r="H91" i="14" s="1"/>
  <c r="G90" i="14"/>
  <c r="AA125" i="15" l="1"/>
  <c r="AD125" i="15"/>
  <c r="W34" i="46"/>
  <c r="W34" i="1"/>
  <c r="H16" i="16"/>
  <c r="GQ94" i="14"/>
  <c r="GT94" i="14" s="1"/>
  <c r="H77" i="15"/>
  <c r="H75" i="38"/>
  <c r="G76" i="15"/>
  <c r="G74" i="38"/>
  <c r="J78" i="15"/>
  <c r="J76" i="38"/>
  <c r="AL93" i="14"/>
  <c r="AM93" i="14" s="1"/>
  <c r="AO93" i="14" s="1"/>
  <c r="P91" i="14"/>
  <c r="AE91" i="14" s="1"/>
  <c r="F77" i="15"/>
  <c r="AI94" i="14"/>
  <c r="AJ94" i="14"/>
  <c r="BO94" i="14" s="1"/>
  <c r="CG94" i="14" s="1"/>
  <c r="S92" i="14"/>
  <c r="AF92" i="14" s="1"/>
  <c r="GM92" i="14" s="1"/>
  <c r="GN92" i="14" s="1"/>
  <c r="GP92" i="14" s="1"/>
  <c r="HU92" i="14" s="1"/>
  <c r="IM92" i="14" s="1"/>
  <c r="I78" i="15"/>
  <c r="P49" i="6"/>
  <c r="F90" i="14"/>
  <c r="I91" i="14"/>
  <c r="I75" i="38" s="1"/>
  <c r="Q50" i="6"/>
  <c r="J91" i="14"/>
  <c r="J75" i="38" s="1"/>
  <c r="AW96" i="14"/>
  <c r="BB96" i="14" s="1"/>
  <c r="BC96" i="14" s="1"/>
  <c r="BD96" i="14" s="1"/>
  <c r="BE96" i="14" s="1"/>
  <c r="BJ96" i="14" s="1"/>
  <c r="BK96" i="14" s="1"/>
  <c r="BL96" i="14" s="1"/>
  <c r="BM96" i="14" s="1"/>
  <c r="BQ96" i="14" s="1"/>
  <c r="AY95" i="14"/>
  <c r="AN95" i="14"/>
  <c r="AW95" i="14" s="1"/>
  <c r="BG95" i="14"/>
  <c r="GO93" i="14"/>
  <c r="HT93" i="14" s="1"/>
  <c r="IE93" i="14" s="1"/>
  <c r="JA94" i="14"/>
  <c r="JB94" i="14" s="1"/>
  <c r="AI93" i="14"/>
  <c r="BN93" i="14" s="1"/>
  <c r="BY93" i="14" s="1"/>
  <c r="IY93" i="14"/>
  <c r="JA93" i="14" s="1"/>
  <c r="JB93" i="14" s="1"/>
  <c r="T92" i="14"/>
  <c r="IX92" i="14" s="1"/>
  <c r="IZ92" i="14" s="1"/>
  <c r="Q93" i="14"/>
  <c r="R94" i="14"/>
  <c r="G89" i="14"/>
  <c r="N50" i="6"/>
  <c r="H90" i="14" s="1"/>
  <c r="H76" i="15" l="1"/>
  <c r="H74" i="38"/>
  <c r="G75" i="15"/>
  <c r="G73" i="38"/>
  <c r="F76" i="15"/>
  <c r="F74" i="38"/>
  <c r="AL92" i="14"/>
  <c r="AM92" i="14" s="1"/>
  <c r="AO92" i="14" s="1"/>
  <c r="GO92" i="14"/>
  <c r="HT92" i="14" s="1"/>
  <c r="IE92" i="14" s="1"/>
  <c r="GR92" i="14"/>
  <c r="GS92" i="14" s="1"/>
  <c r="GU92" i="14" s="1"/>
  <c r="T91" i="14"/>
  <c r="IX91" i="14" s="1"/>
  <c r="IZ91" i="14" s="1"/>
  <c r="J77" i="15"/>
  <c r="S91" i="14"/>
  <c r="AF91" i="14" s="1"/>
  <c r="GR91" i="14" s="1"/>
  <c r="GS91" i="14" s="1"/>
  <c r="GU91" i="14" s="1"/>
  <c r="I77" i="15"/>
  <c r="BN94" i="14"/>
  <c r="BY94" i="14" s="1"/>
  <c r="AK94" i="14"/>
  <c r="AG92" i="14"/>
  <c r="AH92" i="14" s="1"/>
  <c r="AI92" i="14" s="1"/>
  <c r="BN92" i="14" s="1"/>
  <c r="BY92" i="14" s="1"/>
  <c r="Q49" i="6"/>
  <c r="J90" i="14"/>
  <c r="I90" i="14"/>
  <c r="P48" i="6"/>
  <c r="F89" i="14"/>
  <c r="BB95" i="14"/>
  <c r="BC95" i="14" s="1"/>
  <c r="BD95" i="14" s="1"/>
  <c r="BE95" i="14" s="1"/>
  <c r="BJ95" i="14" s="1"/>
  <c r="BK95" i="14" s="1"/>
  <c r="BL95" i="14" s="1"/>
  <c r="BM95" i="14" s="1"/>
  <c r="BQ95" i="14" s="1"/>
  <c r="GQ93" i="14"/>
  <c r="GT93" i="14" s="1"/>
  <c r="IY92" i="14"/>
  <c r="JA92" i="14" s="1"/>
  <c r="JB92" i="14" s="1"/>
  <c r="AK93" i="14"/>
  <c r="AQ93" i="14" s="1"/>
  <c r="AT93" i="14" s="1"/>
  <c r="AU93" i="14" s="1"/>
  <c r="AV93" i="14" s="1"/>
  <c r="Q92" i="14"/>
  <c r="P90" i="14"/>
  <c r="AE90" i="14" s="1"/>
  <c r="R93" i="14"/>
  <c r="N49" i="6"/>
  <c r="H89" i="14" s="1"/>
  <c r="G88" i="14"/>
  <c r="AG91" i="14" l="1"/>
  <c r="AH91" i="14" s="1"/>
  <c r="AJ91" i="14" s="1"/>
  <c r="BO91" i="14" s="1"/>
  <c r="CG91" i="14" s="1"/>
  <c r="F75" i="15"/>
  <c r="F73" i="38"/>
  <c r="H75" i="15"/>
  <c r="H73" i="38"/>
  <c r="I76" i="15"/>
  <c r="I74" i="38"/>
  <c r="GQ92" i="14"/>
  <c r="GT92" i="14" s="1"/>
  <c r="J76" i="15"/>
  <c r="J74" i="38"/>
  <c r="G74" i="15"/>
  <c r="G72" i="38"/>
  <c r="IY91" i="14"/>
  <c r="AL91" i="14"/>
  <c r="AM91" i="14" s="1"/>
  <c r="AO91" i="14" s="1"/>
  <c r="GM91" i="14"/>
  <c r="GN91" i="14" s="1"/>
  <c r="GP91" i="14" s="1"/>
  <c r="HU91" i="14" s="1"/>
  <c r="IM91" i="14" s="1"/>
  <c r="AN94" i="14"/>
  <c r="BG94" i="14"/>
  <c r="AQ94" i="14"/>
  <c r="AT94" i="14" s="1"/>
  <c r="AU94" i="14" s="1"/>
  <c r="AV94" i="14" s="1"/>
  <c r="AY94" i="14"/>
  <c r="AJ92" i="14"/>
  <c r="BO92" i="14" s="1"/>
  <c r="CG92" i="14" s="1"/>
  <c r="S90" i="14"/>
  <c r="AF90" i="14" s="1"/>
  <c r="GM90" i="14" s="1"/>
  <c r="GN90" i="14" s="1"/>
  <c r="GP90" i="14" s="1"/>
  <c r="HU90" i="14" s="1"/>
  <c r="IM90" i="14" s="1"/>
  <c r="P47" i="6"/>
  <c r="F88" i="14"/>
  <c r="I89" i="14"/>
  <c r="Q48" i="6"/>
  <c r="J89" i="14"/>
  <c r="BG93" i="14"/>
  <c r="AY93" i="14"/>
  <c r="AN93" i="14"/>
  <c r="AW93" i="14" s="1"/>
  <c r="JA91" i="14"/>
  <c r="JB91" i="14" s="1"/>
  <c r="R92" i="14"/>
  <c r="T90" i="14"/>
  <c r="IX90" i="14" s="1"/>
  <c r="IZ90" i="14" s="1"/>
  <c r="P89" i="14"/>
  <c r="AE89" i="14" s="1"/>
  <c r="Q91" i="14"/>
  <c r="G87" i="14"/>
  <c r="N48" i="6"/>
  <c r="H88" i="14" s="1"/>
  <c r="AI91" i="14" l="1"/>
  <c r="BN91" i="14" s="1"/>
  <c r="BY91" i="14" s="1"/>
  <c r="F74" i="15"/>
  <c r="F72" i="38"/>
  <c r="I75" i="15"/>
  <c r="I73" i="38"/>
  <c r="H74" i="15"/>
  <c r="H72" i="38"/>
  <c r="G73" i="15"/>
  <c r="G71" i="38"/>
  <c r="J75" i="15"/>
  <c r="J73" i="38"/>
  <c r="GO91" i="14"/>
  <c r="HT91" i="14" s="1"/>
  <c r="IE91" i="14" s="1"/>
  <c r="AW94" i="14"/>
  <c r="BB94" i="14" s="1"/>
  <c r="BC94" i="14" s="1"/>
  <c r="BD94" i="14" s="1"/>
  <c r="BE94" i="14" s="1"/>
  <c r="BJ94" i="14" s="1"/>
  <c r="BK94" i="14" s="1"/>
  <c r="BL94" i="14" s="1"/>
  <c r="BM94" i="14" s="1"/>
  <c r="BQ94" i="14" s="1"/>
  <c r="S89" i="14"/>
  <c r="AF89" i="14" s="1"/>
  <c r="AG89" i="14" s="1"/>
  <c r="AH89" i="14" s="1"/>
  <c r="AJ89" i="14" s="1"/>
  <c r="BO89" i="14" s="1"/>
  <c r="CG89" i="14" s="1"/>
  <c r="AK92" i="14"/>
  <c r="BG92" i="14" s="1"/>
  <c r="AL90" i="14"/>
  <c r="AM90" i="14" s="1"/>
  <c r="AO90" i="14" s="1"/>
  <c r="AG90" i="14"/>
  <c r="AH90" i="14" s="1"/>
  <c r="AJ90" i="14" s="1"/>
  <c r="BO90" i="14" s="1"/>
  <c r="CG90" i="14" s="1"/>
  <c r="GR90" i="14"/>
  <c r="GS90" i="14" s="1"/>
  <c r="GU90" i="14" s="1"/>
  <c r="Q47" i="6"/>
  <c r="J88" i="14"/>
  <c r="I88" i="14"/>
  <c r="I72" i="38" s="1"/>
  <c r="P46" i="6"/>
  <c r="F87" i="14"/>
  <c r="BB93" i="14"/>
  <c r="BC93" i="14" s="1"/>
  <c r="BD93" i="14" s="1"/>
  <c r="BE93" i="14" s="1"/>
  <c r="BJ93" i="14" s="1"/>
  <c r="BK93" i="14" s="1"/>
  <c r="BL93" i="14" s="1"/>
  <c r="BM93" i="14" s="1"/>
  <c r="BQ93" i="14" s="1"/>
  <c r="GO90" i="14"/>
  <c r="HT90" i="14" s="1"/>
  <c r="IE90" i="14" s="1"/>
  <c r="IY90" i="14"/>
  <c r="JA90" i="14" s="1"/>
  <c r="JC94" i="14" s="1"/>
  <c r="P88" i="14"/>
  <c r="AE88" i="14" s="1"/>
  <c r="T89" i="14"/>
  <c r="IX89" i="14" s="1"/>
  <c r="IZ89" i="14" s="1"/>
  <c r="Q90" i="14"/>
  <c r="R91" i="14"/>
  <c r="N47" i="6"/>
  <c r="H87" i="14" s="1"/>
  <c r="G86" i="14"/>
  <c r="AK91" i="14" l="1"/>
  <c r="AY91" i="14" s="1"/>
  <c r="F73" i="15"/>
  <c r="F71" i="38"/>
  <c r="AH78" i="38"/>
  <c r="AF78" i="38"/>
  <c r="J74" i="15"/>
  <c r="J72" i="38"/>
  <c r="G72" i="15"/>
  <c r="G70" i="38"/>
  <c r="GQ91" i="14"/>
  <c r="GT91" i="14" s="1"/>
  <c r="H73" i="15"/>
  <c r="H71" i="38"/>
  <c r="GR89" i="14"/>
  <c r="GS89" i="14" s="1"/>
  <c r="GU89" i="14" s="1"/>
  <c r="GM89" i="14"/>
  <c r="GN89" i="14" s="1"/>
  <c r="GP89" i="14" s="1"/>
  <c r="HU89" i="14" s="1"/>
  <c r="IM89" i="14" s="1"/>
  <c r="AY92" i="14"/>
  <c r="AN92" i="14"/>
  <c r="AQ92" i="14"/>
  <c r="AT92" i="14" s="1"/>
  <c r="AU92" i="14" s="1"/>
  <c r="AV92" i="14" s="1"/>
  <c r="AI90" i="14"/>
  <c r="BN90" i="14" s="1"/>
  <c r="BY90" i="14" s="1"/>
  <c r="AL89" i="14"/>
  <c r="AM89" i="14" s="1"/>
  <c r="AO89" i="14" s="1"/>
  <c r="S88" i="14"/>
  <c r="AF88" i="14" s="1"/>
  <c r="AG88" i="14" s="1"/>
  <c r="AH88" i="14" s="1"/>
  <c r="I74" i="15"/>
  <c r="P45" i="6"/>
  <c r="F86" i="14"/>
  <c r="I87" i="14"/>
  <c r="Q46" i="6"/>
  <c r="J87" i="14"/>
  <c r="GQ90" i="14"/>
  <c r="GT90" i="14" s="1"/>
  <c r="AI89" i="14"/>
  <c r="BN89" i="14" s="1"/>
  <c r="BY89" i="14" s="1"/>
  <c r="IY89" i="14"/>
  <c r="JA89" i="14" s="1"/>
  <c r="JB89" i="14" s="1"/>
  <c r="JC98" i="14"/>
  <c r="JC91" i="14"/>
  <c r="JC95" i="14"/>
  <c r="JC99" i="14"/>
  <c r="JC93" i="14"/>
  <c r="JC92" i="14"/>
  <c r="JC97" i="14"/>
  <c r="JC96" i="14"/>
  <c r="JC90" i="14"/>
  <c r="JB90" i="14"/>
  <c r="JD92" i="14" s="1"/>
  <c r="T88" i="14"/>
  <c r="IX88" i="14" s="1"/>
  <c r="IZ88" i="14" s="1"/>
  <c r="Q89" i="14"/>
  <c r="P87" i="14"/>
  <c r="AE87" i="14" s="1"/>
  <c r="R90" i="14"/>
  <c r="AW80" i="15"/>
  <c r="BI80" i="15" s="1"/>
  <c r="AU80" i="15"/>
  <c r="BH80" i="15" s="1"/>
  <c r="N46" i="6"/>
  <c r="H86" i="14" s="1"/>
  <c r="G85" i="14"/>
  <c r="AN91" i="14" l="1"/>
  <c r="BG91" i="14"/>
  <c r="AQ91" i="14"/>
  <c r="AT91" i="14" s="1"/>
  <c r="AU91" i="14" s="1"/>
  <c r="AV91" i="14" s="1"/>
  <c r="AW91" i="14" s="1"/>
  <c r="BB91" i="14" s="1"/>
  <c r="BC91" i="14" s="1"/>
  <c r="BD91" i="14" s="1"/>
  <c r="BE91" i="14" s="1"/>
  <c r="BJ91" i="14" s="1"/>
  <c r="BK91" i="14" s="1"/>
  <c r="BL91" i="14" s="1"/>
  <c r="BM91" i="14" s="1"/>
  <c r="BQ91" i="14" s="1"/>
  <c r="GO89" i="14"/>
  <c r="HT89" i="14" s="1"/>
  <c r="IE89" i="14" s="1"/>
  <c r="AH81" i="38"/>
  <c r="AF81" i="38"/>
  <c r="F72" i="15"/>
  <c r="F70" i="38"/>
  <c r="AU85" i="15"/>
  <c r="BH85" i="15" s="1"/>
  <c r="AH83" i="38"/>
  <c r="AF83" i="38"/>
  <c r="I73" i="15"/>
  <c r="I71" i="38"/>
  <c r="AW79" i="15"/>
  <c r="BI79" i="15" s="1"/>
  <c r="AF77" i="38"/>
  <c r="AH77" i="38"/>
  <c r="AH79" i="38"/>
  <c r="AF79" i="38"/>
  <c r="AW77" i="15"/>
  <c r="BI77" i="15" s="1"/>
  <c r="AF75" i="38"/>
  <c r="AH75" i="38"/>
  <c r="AH76" i="38"/>
  <c r="AF76" i="38"/>
  <c r="AG76" i="38"/>
  <c r="AI76" i="38"/>
  <c r="H72" i="15"/>
  <c r="H70" i="38"/>
  <c r="AF74" i="38"/>
  <c r="AH74" i="38"/>
  <c r="AH82" i="38"/>
  <c r="AF82" i="38"/>
  <c r="J73" i="15"/>
  <c r="J71" i="38"/>
  <c r="G71" i="15"/>
  <c r="G69" i="38"/>
  <c r="AU82" i="15"/>
  <c r="BH82" i="15" s="1"/>
  <c r="AH80" i="38"/>
  <c r="AF80" i="38"/>
  <c r="AW92" i="14"/>
  <c r="BB92" i="14" s="1"/>
  <c r="BC92" i="14" s="1"/>
  <c r="BD92" i="14" s="1"/>
  <c r="BE92" i="14" s="1"/>
  <c r="BJ92" i="14" s="1"/>
  <c r="BK92" i="14" s="1"/>
  <c r="BL92" i="14" s="1"/>
  <c r="BM92" i="14" s="1"/>
  <c r="BQ92" i="14" s="1"/>
  <c r="AL88" i="14"/>
  <c r="AM88" i="14" s="1"/>
  <c r="AO88" i="14" s="1"/>
  <c r="AK90" i="14"/>
  <c r="AQ90" i="14" s="1"/>
  <c r="AT90" i="14" s="1"/>
  <c r="AU90" i="14" s="1"/>
  <c r="AV90" i="14" s="1"/>
  <c r="AI88" i="14"/>
  <c r="BN88" i="14" s="1"/>
  <c r="BY88" i="14" s="1"/>
  <c r="AJ88" i="14"/>
  <c r="BO88" i="14" s="1"/>
  <c r="CG88" i="14" s="1"/>
  <c r="S87" i="14"/>
  <c r="AF87" i="14" s="1"/>
  <c r="GM87" i="14" s="1"/>
  <c r="GN87" i="14" s="1"/>
  <c r="GR88" i="14"/>
  <c r="GS88" i="14" s="1"/>
  <c r="GU88" i="14" s="1"/>
  <c r="GM88" i="14"/>
  <c r="GN88" i="14" s="1"/>
  <c r="Q45" i="6"/>
  <c r="J86" i="14"/>
  <c r="I86" i="14"/>
  <c r="I70" i="38" s="1"/>
  <c r="P44" i="6"/>
  <c r="F85" i="14"/>
  <c r="AK89" i="14"/>
  <c r="AQ89" i="14" s="1"/>
  <c r="AT89" i="14" s="1"/>
  <c r="AU89" i="14" s="1"/>
  <c r="AV89" i="14" s="1"/>
  <c r="R89" i="14"/>
  <c r="AU84" i="15"/>
  <c r="BH84" i="15" s="1"/>
  <c r="AW76" i="15"/>
  <c r="BI76" i="15" s="1"/>
  <c r="JD97" i="14"/>
  <c r="JD91" i="14"/>
  <c r="AU83" i="15"/>
  <c r="BH83" i="15" s="1"/>
  <c r="AW84" i="15"/>
  <c r="BI84" i="15" s="1"/>
  <c r="JD90" i="14"/>
  <c r="JD98" i="14"/>
  <c r="JD94" i="14"/>
  <c r="AU76" i="15"/>
  <c r="BH76" i="15" s="1"/>
  <c r="JD96" i="14"/>
  <c r="AU77" i="15"/>
  <c r="BH77" i="15" s="1"/>
  <c r="JD95" i="14"/>
  <c r="AW78" i="15"/>
  <c r="BI78" i="15" s="1"/>
  <c r="AW85" i="15"/>
  <c r="BI85" i="15" s="1"/>
  <c r="JD93" i="14"/>
  <c r="AU78" i="15"/>
  <c r="BH78" i="15" s="1"/>
  <c r="AL87" i="14"/>
  <c r="AM87" i="14" s="1"/>
  <c r="AO87" i="14" s="1"/>
  <c r="AW81" i="15"/>
  <c r="BI81" i="15" s="1"/>
  <c r="AU81" i="15"/>
  <c r="BH81" i="15" s="1"/>
  <c r="JD99" i="14"/>
  <c r="AW83" i="15"/>
  <c r="BI83" i="15" s="1"/>
  <c r="AW82" i="15"/>
  <c r="BI82" i="15" s="1"/>
  <c r="IY88" i="14"/>
  <c r="JA88" i="14" s="1"/>
  <c r="JB88" i="14" s="1"/>
  <c r="AU79" i="15"/>
  <c r="BH79" i="15" s="1"/>
  <c r="AG87" i="14"/>
  <c r="AH87" i="14" s="1"/>
  <c r="AI87" i="14" s="1"/>
  <c r="BN87" i="14" s="1"/>
  <c r="BY87" i="14" s="1"/>
  <c r="P86" i="14"/>
  <c r="AE86" i="14" s="1"/>
  <c r="AV78" i="15"/>
  <c r="AX78" i="15"/>
  <c r="T87" i="14"/>
  <c r="IX87" i="14" s="1"/>
  <c r="Q88" i="14"/>
  <c r="N45" i="6"/>
  <c r="H85" i="14" s="1"/>
  <c r="G84" i="14"/>
  <c r="BG89" i="14" l="1"/>
  <c r="GQ89" i="14"/>
  <c r="GT89" i="14" s="1"/>
  <c r="AY90" i="14"/>
  <c r="F71" i="15"/>
  <c r="F69" i="38"/>
  <c r="AX80" i="15"/>
  <c r="AI78" i="38"/>
  <c r="AG78" i="38"/>
  <c r="AV77" i="15"/>
  <c r="AI75" i="38"/>
  <c r="AG75" i="38"/>
  <c r="AX79" i="15"/>
  <c r="AI77" i="38"/>
  <c r="AG77" i="38"/>
  <c r="AX84" i="15"/>
  <c r="AG82" i="38"/>
  <c r="AI82" i="38"/>
  <c r="AV83" i="15"/>
  <c r="AG81" i="38"/>
  <c r="AI81" i="38"/>
  <c r="AX76" i="15"/>
  <c r="AG74" i="38"/>
  <c r="AI74" i="38"/>
  <c r="J72" i="15"/>
  <c r="J70" i="38"/>
  <c r="AG83" i="38"/>
  <c r="AI83" i="38"/>
  <c r="AV81" i="15"/>
  <c r="AI79" i="38"/>
  <c r="AG79" i="38"/>
  <c r="G70" i="15"/>
  <c r="G68" i="38"/>
  <c r="GR87" i="14"/>
  <c r="GS87" i="14" s="1"/>
  <c r="GU87" i="14" s="1"/>
  <c r="H71" i="15"/>
  <c r="H69" i="38"/>
  <c r="AV82" i="15"/>
  <c r="AI80" i="38"/>
  <c r="AG80" i="38"/>
  <c r="AY89" i="14"/>
  <c r="AN89" i="14"/>
  <c r="AW89" i="14" s="1"/>
  <c r="BB89" i="14" s="1"/>
  <c r="BC89" i="14" s="1"/>
  <c r="BD89" i="14" s="1"/>
  <c r="BE89" i="14" s="1"/>
  <c r="BJ89" i="14" s="1"/>
  <c r="BK89" i="14" s="1"/>
  <c r="BL89" i="14" s="1"/>
  <c r="BM89" i="14" s="1"/>
  <c r="BQ89" i="14" s="1"/>
  <c r="BG90" i="14"/>
  <c r="AN90" i="14"/>
  <c r="AW90" i="14" s="1"/>
  <c r="AK88" i="14"/>
  <c r="AN88" i="14" s="1"/>
  <c r="S86" i="14"/>
  <c r="AF86" i="14" s="1"/>
  <c r="AG86" i="14" s="1"/>
  <c r="AH86" i="14" s="1"/>
  <c r="AI86" i="14" s="1"/>
  <c r="BN86" i="14" s="1"/>
  <c r="BY86" i="14" s="1"/>
  <c r="I72" i="15"/>
  <c r="P85" i="14"/>
  <c r="AE85" i="14" s="1"/>
  <c r="GO88" i="14"/>
  <c r="GP88" i="14"/>
  <c r="HU88" i="14" s="1"/>
  <c r="IM88" i="14" s="1"/>
  <c r="P43" i="6"/>
  <c r="F84" i="14"/>
  <c r="I85" i="14"/>
  <c r="Q44" i="6"/>
  <c r="J85" i="14"/>
  <c r="AX83" i="15"/>
  <c r="AX77" i="15"/>
  <c r="AL86" i="14"/>
  <c r="AX85" i="15"/>
  <c r="AV80" i="15"/>
  <c r="AX81" i="15"/>
  <c r="AV76" i="15"/>
  <c r="AV84" i="15"/>
  <c r="AX82" i="15"/>
  <c r="AV85" i="15"/>
  <c r="AV79" i="15"/>
  <c r="AJ87" i="14"/>
  <c r="BO87" i="14" s="1"/>
  <c r="CG87" i="14" s="1"/>
  <c r="Q87" i="14"/>
  <c r="IZ87" i="14"/>
  <c r="IY87" i="14"/>
  <c r="R88" i="14"/>
  <c r="GO87" i="14"/>
  <c r="GP87" i="14"/>
  <c r="HU87" i="14" s="1"/>
  <c r="IM87" i="14" s="1"/>
  <c r="T86" i="14"/>
  <c r="IX86" i="14" s="1"/>
  <c r="IZ86" i="14" s="1"/>
  <c r="G83" i="14"/>
  <c r="N44" i="6"/>
  <c r="H84" i="14" s="1"/>
  <c r="BB90" i="14" l="1"/>
  <c r="BC90" i="14" s="1"/>
  <c r="BD90" i="14" s="1"/>
  <c r="BE90" i="14" s="1"/>
  <c r="BJ90" i="14" s="1"/>
  <c r="BK90" i="14" s="1"/>
  <c r="BL90" i="14" s="1"/>
  <c r="BM90" i="14" s="1"/>
  <c r="BQ90" i="14" s="1"/>
  <c r="G69" i="15"/>
  <c r="G67" i="38"/>
  <c r="F70" i="15"/>
  <c r="F68" i="38"/>
  <c r="J71" i="15"/>
  <c r="J69" i="38"/>
  <c r="H70" i="15"/>
  <c r="H68" i="38"/>
  <c r="I71" i="15"/>
  <c r="I69" i="38"/>
  <c r="AY88" i="14"/>
  <c r="BG88" i="14"/>
  <c r="AQ88" i="14"/>
  <c r="AT88" i="14" s="1"/>
  <c r="AU88" i="14" s="1"/>
  <c r="AV88" i="14" s="1"/>
  <c r="AW88" i="14" s="1"/>
  <c r="BB88" i="14" s="1"/>
  <c r="BC88" i="14" s="1"/>
  <c r="BD88" i="14" s="1"/>
  <c r="BE88" i="14" s="1"/>
  <c r="BJ88" i="14" s="1"/>
  <c r="BK88" i="14" s="1"/>
  <c r="BL88" i="14" s="1"/>
  <c r="BM88" i="14" s="1"/>
  <c r="BQ88" i="14" s="1"/>
  <c r="AM86" i="14"/>
  <c r="AO86" i="14" s="1"/>
  <c r="S85" i="14"/>
  <c r="AF85" i="14" s="1"/>
  <c r="GR85" i="14" s="1"/>
  <c r="GS85" i="14" s="1"/>
  <c r="HT88" i="14"/>
  <c r="IE88" i="14" s="1"/>
  <c r="GQ88" i="14"/>
  <c r="GT88" i="14" s="1"/>
  <c r="AJ86" i="14"/>
  <c r="BO86" i="14" s="1"/>
  <c r="CG86" i="14" s="1"/>
  <c r="GM86" i="14"/>
  <c r="GN86" i="14" s="1"/>
  <c r="GR86" i="14"/>
  <c r="GS86" i="14" s="1"/>
  <c r="GU86" i="14" s="1"/>
  <c r="Q43" i="6"/>
  <c r="J84" i="14"/>
  <c r="I84" i="14"/>
  <c r="P42" i="6"/>
  <c r="F83" i="14"/>
  <c r="R87" i="14"/>
  <c r="IY86" i="14"/>
  <c r="JA86" i="14" s="1"/>
  <c r="JB86" i="14" s="1"/>
  <c r="AK87" i="14"/>
  <c r="AN87" i="14" s="1"/>
  <c r="Q86" i="14"/>
  <c r="P84" i="14"/>
  <c r="AE84" i="14" s="1"/>
  <c r="JA87" i="14"/>
  <c r="JB87" i="14" s="1"/>
  <c r="T85" i="14"/>
  <c r="IX85" i="14" s="1"/>
  <c r="IZ85" i="14" s="1"/>
  <c r="GQ87" i="14"/>
  <c r="GT87" i="14" s="1"/>
  <c r="HT87" i="14"/>
  <c r="IE87" i="14" s="1"/>
  <c r="G82" i="14"/>
  <c r="N43" i="6"/>
  <c r="H83" i="14" s="1"/>
  <c r="H69" i="15" l="1"/>
  <c r="H67" i="38"/>
  <c r="J70" i="15"/>
  <c r="J68" i="38"/>
  <c r="G68" i="15"/>
  <c r="G66" i="38"/>
  <c r="F69" i="15"/>
  <c r="F67" i="38"/>
  <c r="I70" i="15"/>
  <c r="I68" i="38"/>
  <c r="AG85" i="14"/>
  <c r="AH85" i="14" s="1"/>
  <c r="AJ85" i="14" s="1"/>
  <c r="BO85" i="14" s="1"/>
  <c r="CG85" i="14" s="1"/>
  <c r="AL85" i="14"/>
  <c r="AM85" i="14" s="1"/>
  <c r="AO85" i="14" s="1"/>
  <c r="GM85" i="14"/>
  <c r="GN85" i="14" s="1"/>
  <c r="GP85" i="14" s="1"/>
  <c r="HU85" i="14" s="1"/>
  <c r="IM85" i="14" s="1"/>
  <c r="S84" i="14"/>
  <c r="AF84" i="14" s="1"/>
  <c r="AG84" i="14" s="1"/>
  <c r="AH84" i="14" s="1"/>
  <c r="AK86" i="14"/>
  <c r="BG86" i="14" s="1"/>
  <c r="GO86" i="14"/>
  <c r="GP86" i="14"/>
  <c r="HU86" i="14" s="1"/>
  <c r="IM86" i="14" s="1"/>
  <c r="P41" i="6"/>
  <c r="F82" i="14"/>
  <c r="I83" i="14"/>
  <c r="I67" i="38" s="1"/>
  <c r="Q42" i="6"/>
  <c r="J83" i="14"/>
  <c r="R85" i="14"/>
  <c r="AY87" i="14"/>
  <c r="AQ87" i="14"/>
  <c r="AT87" i="14" s="1"/>
  <c r="AU87" i="14" s="1"/>
  <c r="AV87" i="14" s="1"/>
  <c r="AW87" i="14" s="1"/>
  <c r="BG87" i="14"/>
  <c r="GU85" i="14"/>
  <c r="R86" i="14"/>
  <c r="T84" i="14"/>
  <c r="IX84" i="14" s="1"/>
  <c r="IZ84" i="14" s="1"/>
  <c r="IY85" i="14"/>
  <c r="JA85" i="14" s="1"/>
  <c r="JB85" i="14" s="1"/>
  <c r="Q85" i="14"/>
  <c r="P83" i="14"/>
  <c r="AE83" i="14" s="1"/>
  <c r="N42" i="6"/>
  <c r="H82" i="14" s="1"/>
  <c r="G81" i="14"/>
  <c r="CK66" i="14" l="1"/>
  <c r="CK68" i="14"/>
  <c r="CK67" i="14"/>
  <c r="CK69" i="14"/>
  <c r="CK65" i="14"/>
  <c r="IQ69" i="14"/>
  <c r="IQ66" i="14"/>
  <c r="IQ67" i="14"/>
  <c r="IQ68" i="14"/>
  <c r="IQ65" i="14"/>
  <c r="AI85" i="14"/>
  <c r="BN85" i="14" s="1"/>
  <c r="BY85" i="14" s="1"/>
  <c r="AY86" i="14"/>
  <c r="AN86" i="14"/>
  <c r="AQ86" i="14"/>
  <c r="AT86" i="14" s="1"/>
  <c r="AU86" i="14" s="1"/>
  <c r="AV86" i="14" s="1"/>
  <c r="GR84" i="14"/>
  <c r="GS84" i="14" s="1"/>
  <c r="GU84" i="14" s="1"/>
  <c r="GM84" i="14"/>
  <c r="GN84" i="14" s="1"/>
  <c r="GP84" i="14" s="1"/>
  <c r="HU84" i="14" s="1"/>
  <c r="AL84" i="14"/>
  <c r="AM84" i="14" s="1"/>
  <c r="AO84" i="14" s="1"/>
  <c r="GO85" i="14"/>
  <c r="HT85" i="14" s="1"/>
  <c r="IE85" i="14" s="1"/>
  <c r="G67" i="15"/>
  <c r="G65" i="38"/>
  <c r="J69" i="15"/>
  <c r="J67" i="38"/>
  <c r="H68" i="15"/>
  <c r="H66" i="38"/>
  <c r="F68" i="15"/>
  <c r="F66" i="38"/>
  <c r="HT86" i="14"/>
  <c r="IE86" i="14" s="1"/>
  <c r="GQ86" i="14"/>
  <c r="GT86" i="14" s="1"/>
  <c r="S83" i="14"/>
  <c r="AF83" i="14" s="1"/>
  <c r="AL83" i="14" s="1"/>
  <c r="AM83" i="14" s="1"/>
  <c r="AO83" i="14" s="1"/>
  <c r="I69" i="15"/>
  <c r="Q41" i="6"/>
  <c r="J82" i="14"/>
  <c r="I82" i="14"/>
  <c r="I66" i="38" s="1"/>
  <c r="P40" i="6"/>
  <c r="F81" i="14"/>
  <c r="T83" i="14"/>
  <c r="IX83" i="14" s="1"/>
  <c r="IZ83" i="14" s="1"/>
  <c r="BB87" i="14"/>
  <c r="BC87" i="14" s="1"/>
  <c r="BD87" i="14" s="1"/>
  <c r="BE87" i="14" s="1"/>
  <c r="BJ87" i="14" s="1"/>
  <c r="BK87" i="14" s="1"/>
  <c r="BL87" i="14" s="1"/>
  <c r="BM87" i="14" s="1"/>
  <c r="BQ87" i="14" s="1"/>
  <c r="AI84" i="14"/>
  <c r="AJ84" i="14"/>
  <c r="BO84" i="14" s="1"/>
  <c r="Q84" i="14"/>
  <c r="P82" i="14"/>
  <c r="AE82" i="14" s="1"/>
  <c r="IY84" i="14"/>
  <c r="JA84" i="14" s="1"/>
  <c r="JB84" i="14" s="1"/>
  <c r="N41" i="6"/>
  <c r="H81" i="14" s="1"/>
  <c r="G80" i="14"/>
  <c r="CF84" i="14" l="1"/>
  <c r="CG84" i="14"/>
  <c r="IL84" i="14"/>
  <c r="IM84" i="14"/>
  <c r="CC66" i="14"/>
  <c r="CC65" i="14"/>
  <c r="CC68" i="14"/>
  <c r="CC67" i="14"/>
  <c r="CC69" i="14"/>
  <c r="II69" i="14"/>
  <c r="II67" i="14"/>
  <c r="II66" i="14"/>
  <c r="II65" i="14"/>
  <c r="II68" i="14"/>
  <c r="AK85" i="14"/>
  <c r="AQ85" i="14" s="1"/>
  <c r="AT85" i="14" s="1"/>
  <c r="AU85" i="14" s="1"/>
  <c r="AV85" i="14" s="1"/>
  <c r="GO84" i="14"/>
  <c r="HT84" i="14" s="1"/>
  <c r="AW86" i="14"/>
  <c r="BB86" i="14" s="1"/>
  <c r="BC86" i="14" s="1"/>
  <c r="BD86" i="14" s="1"/>
  <c r="BE86" i="14" s="1"/>
  <c r="BJ86" i="14" s="1"/>
  <c r="BK86" i="14" s="1"/>
  <c r="BL86" i="14" s="1"/>
  <c r="BM86" i="14" s="1"/>
  <c r="BQ86" i="14" s="1"/>
  <c r="GQ85" i="14"/>
  <c r="GT85" i="14" s="1"/>
  <c r="J68" i="15"/>
  <c r="J66" i="38"/>
  <c r="G66" i="15"/>
  <c r="G64" i="38"/>
  <c r="F67" i="15"/>
  <c r="F65" i="38"/>
  <c r="H67" i="15"/>
  <c r="H65" i="38"/>
  <c r="S82" i="14"/>
  <c r="AF82" i="14" s="1"/>
  <c r="AG82" i="14" s="1"/>
  <c r="AH82" i="14" s="1"/>
  <c r="AJ82" i="14" s="1"/>
  <c r="BO82" i="14" s="1"/>
  <c r="I68" i="15"/>
  <c r="GM83" i="14"/>
  <c r="GN83" i="14" s="1"/>
  <c r="GR83" i="14"/>
  <c r="GS83" i="14" s="1"/>
  <c r="GU83" i="14" s="1"/>
  <c r="AG83" i="14"/>
  <c r="AH83" i="14" s="1"/>
  <c r="Q40" i="6"/>
  <c r="J81" i="14"/>
  <c r="I81" i="14"/>
  <c r="I65" i="38" s="1"/>
  <c r="P39" i="6"/>
  <c r="F80" i="14"/>
  <c r="IY83" i="14"/>
  <c r="JA83" i="14" s="1"/>
  <c r="JB83" i="14" s="1"/>
  <c r="R84" i="14"/>
  <c r="BN84" i="14"/>
  <c r="AK84" i="14"/>
  <c r="T82" i="14"/>
  <c r="IX82" i="14" s="1"/>
  <c r="IZ82" i="14" s="1"/>
  <c r="P81" i="14"/>
  <c r="AE81" i="14" s="1"/>
  <c r="Q83" i="14"/>
  <c r="N40" i="6"/>
  <c r="H80" i="14" s="1"/>
  <c r="G79" i="14"/>
  <c r="GQ84" i="14" l="1"/>
  <c r="GT84" i="14" s="1"/>
  <c r="ID84" i="14"/>
  <c r="IE84" i="14"/>
  <c r="BX84" i="14"/>
  <c r="BY84" i="14"/>
  <c r="CF82" i="14"/>
  <c r="CG82" i="14"/>
  <c r="AN85" i="14"/>
  <c r="AW85" i="14" s="1"/>
  <c r="BB85" i="14" s="1"/>
  <c r="BC85" i="14" s="1"/>
  <c r="BD85" i="14" s="1"/>
  <c r="BE85" i="14" s="1"/>
  <c r="BJ85" i="14" s="1"/>
  <c r="BK85" i="14" s="1"/>
  <c r="BL85" i="14" s="1"/>
  <c r="BM85" i="14" s="1"/>
  <c r="BQ85" i="14" s="1"/>
  <c r="BG85" i="14"/>
  <c r="AY85" i="14"/>
  <c r="F66" i="15"/>
  <c r="F64" i="38"/>
  <c r="H66" i="15"/>
  <c r="H64" i="38"/>
  <c r="G65" i="15"/>
  <c r="G63" i="38"/>
  <c r="J67" i="15"/>
  <c r="J65" i="38"/>
  <c r="GM82" i="14"/>
  <c r="GN82" i="14" s="1"/>
  <c r="GP82" i="14" s="1"/>
  <c r="HU82" i="14" s="1"/>
  <c r="GR82" i="14"/>
  <c r="GS82" i="14" s="1"/>
  <c r="GU82" i="14" s="1"/>
  <c r="AL82" i="14"/>
  <c r="AM82" i="14" s="1"/>
  <c r="AO82" i="14" s="1"/>
  <c r="GP83" i="14"/>
  <c r="HU83" i="14" s="1"/>
  <c r="GO83" i="14"/>
  <c r="S81" i="14"/>
  <c r="AF81" i="14" s="1"/>
  <c r="AL81" i="14" s="1"/>
  <c r="AM81" i="14" s="1"/>
  <c r="AO81" i="14" s="1"/>
  <c r="I67" i="15"/>
  <c r="AI83" i="14"/>
  <c r="AJ83" i="14"/>
  <c r="BO83" i="14" s="1"/>
  <c r="P38" i="6"/>
  <c r="F79" i="14"/>
  <c r="I80" i="14"/>
  <c r="I64" i="38" s="1"/>
  <c r="Q39" i="6"/>
  <c r="J80" i="14"/>
  <c r="AI82" i="14"/>
  <c r="BN82" i="14" s="1"/>
  <c r="R83" i="14"/>
  <c r="Q82" i="14"/>
  <c r="P80" i="14"/>
  <c r="AE80" i="14" s="1"/>
  <c r="IY82" i="14"/>
  <c r="JA82" i="14" s="1"/>
  <c r="JB82" i="14" s="1"/>
  <c r="T81" i="14"/>
  <c r="IX81" i="14" s="1"/>
  <c r="IZ81" i="14" s="1"/>
  <c r="BG84" i="14"/>
  <c r="AQ84" i="14"/>
  <c r="AT84" i="14" s="1"/>
  <c r="AU84" i="14" s="1"/>
  <c r="AV84" i="14" s="1"/>
  <c r="AN84" i="14"/>
  <c r="AY84" i="14"/>
  <c r="N39" i="6"/>
  <c r="H79" i="14" s="1"/>
  <c r="G78" i="14"/>
  <c r="BX82" i="14" l="1"/>
  <c r="BY82" i="14"/>
  <c r="IL83" i="14"/>
  <c r="IM83" i="14"/>
  <c r="IL82" i="14"/>
  <c r="IM82" i="14"/>
  <c r="CF83" i="14"/>
  <c r="CG83" i="14"/>
  <c r="BU67" i="14"/>
  <c r="BU66" i="14"/>
  <c r="BU69" i="14"/>
  <c r="BU68" i="14"/>
  <c r="BU65" i="14"/>
  <c r="G64" i="15"/>
  <c r="G62" i="38"/>
  <c r="F65" i="15"/>
  <c r="F63" i="38"/>
  <c r="H65" i="15"/>
  <c r="H63" i="38"/>
  <c r="J66" i="15"/>
  <c r="J64" i="38"/>
  <c r="GO82" i="14"/>
  <c r="GQ82" i="14" s="1"/>
  <c r="GT82" i="14" s="1"/>
  <c r="AG81" i="14"/>
  <c r="AH81" i="14" s="1"/>
  <c r="AJ81" i="14" s="1"/>
  <c r="BO81" i="14" s="1"/>
  <c r="BN83" i="14"/>
  <c r="AK83" i="14"/>
  <c r="S80" i="14"/>
  <c r="AF80" i="14" s="1"/>
  <c r="GM80" i="14" s="1"/>
  <c r="GN80" i="14" s="1"/>
  <c r="GP80" i="14" s="1"/>
  <c r="HU80" i="14" s="1"/>
  <c r="I66" i="15"/>
  <c r="GM81" i="14"/>
  <c r="GN81" i="14" s="1"/>
  <c r="GR81" i="14"/>
  <c r="GS81" i="14" s="1"/>
  <c r="GU81" i="14" s="1"/>
  <c r="GQ83" i="14"/>
  <c r="GT83" i="14" s="1"/>
  <c r="HT83" i="14"/>
  <c r="Q38" i="6"/>
  <c r="J79" i="14"/>
  <c r="I79" i="14"/>
  <c r="I63" i="38" s="1"/>
  <c r="P37" i="6"/>
  <c r="F78" i="14"/>
  <c r="R82" i="14"/>
  <c r="IY81" i="14"/>
  <c r="JA81" i="14" s="1"/>
  <c r="JB81" i="14" s="1"/>
  <c r="AK82" i="14"/>
  <c r="AN82" i="14" s="1"/>
  <c r="AW84" i="14"/>
  <c r="BB84" i="14" s="1"/>
  <c r="BC84" i="14" s="1"/>
  <c r="BD84" i="14" s="1"/>
  <c r="BE84" i="14" s="1"/>
  <c r="BJ84" i="14" s="1"/>
  <c r="BK84" i="14" s="1"/>
  <c r="BL84" i="14" s="1"/>
  <c r="BM84" i="14" s="1"/>
  <c r="Q81" i="14"/>
  <c r="P79" i="14"/>
  <c r="AE79" i="14" s="1"/>
  <c r="T80" i="14"/>
  <c r="IX80" i="14" s="1"/>
  <c r="IZ80" i="14" s="1"/>
  <c r="G77" i="14"/>
  <c r="N38" i="6"/>
  <c r="H78" i="14" s="1"/>
  <c r="AG80" i="14" l="1"/>
  <c r="AH80" i="14" s="1"/>
  <c r="AI80" i="14" s="1"/>
  <c r="BN80" i="14" s="1"/>
  <c r="AL80" i="14"/>
  <c r="AM80" i="14" s="1"/>
  <c r="AO80" i="14" s="1"/>
  <c r="AI81" i="14"/>
  <c r="BN81" i="14" s="1"/>
  <c r="HT82" i="14"/>
  <c r="CF81" i="14"/>
  <c r="CG81" i="14"/>
  <c r="BP84" i="14"/>
  <c r="BQ84" i="14"/>
  <c r="ID83" i="14"/>
  <c r="IE83" i="14"/>
  <c r="BX81" i="14"/>
  <c r="BY81" i="14"/>
  <c r="BX83" i="14"/>
  <c r="BY83" i="14"/>
  <c r="ID82" i="14"/>
  <c r="IE82" i="14"/>
  <c r="BX80" i="14"/>
  <c r="BY80" i="14"/>
  <c r="IL80" i="14"/>
  <c r="IM80" i="14"/>
  <c r="F64" i="15"/>
  <c r="F62" i="38"/>
  <c r="J65" i="15"/>
  <c r="J63" i="38"/>
  <c r="H64" i="15"/>
  <c r="H62" i="38"/>
  <c r="G63" i="15"/>
  <c r="G61" i="38"/>
  <c r="GR80" i="14"/>
  <c r="GS80" i="14" s="1"/>
  <c r="GU80" i="14" s="1"/>
  <c r="GP81" i="14"/>
  <c r="HU81" i="14" s="1"/>
  <c r="GO81" i="14"/>
  <c r="S79" i="14"/>
  <c r="AF79" i="14" s="1"/>
  <c r="GM79" i="14" s="1"/>
  <c r="GN79" i="14" s="1"/>
  <c r="GP79" i="14" s="1"/>
  <c r="HU79" i="14" s="1"/>
  <c r="IL79" i="14" s="1"/>
  <c r="I65" i="15"/>
  <c r="BG83" i="14"/>
  <c r="AQ83" i="14"/>
  <c r="AT83" i="14" s="1"/>
  <c r="AU83" i="14" s="1"/>
  <c r="AV83" i="14" s="1"/>
  <c r="AN83" i="14"/>
  <c r="AY83" i="14"/>
  <c r="I78" i="14"/>
  <c r="I62" i="38" s="1"/>
  <c r="P36" i="6"/>
  <c r="F77" i="14"/>
  <c r="Q37" i="6"/>
  <c r="J78" i="14"/>
  <c r="GO80" i="14"/>
  <c r="GQ80" i="14" s="1"/>
  <c r="GT80" i="14" s="1"/>
  <c r="AJ80" i="14"/>
  <c r="BO80" i="14" s="1"/>
  <c r="BG82" i="14"/>
  <c r="AY82" i="14"/>
  <c r="AQ82" i="14"/>
  <c r="AT82" i="14" s="1"/>
  <c r="AU82" i="14" s="1"/>
  <c r="AV82" i="14" s="1"/>
  <c r="AW82" i="14" s="1"/>
  <c r="IY80" i="14"/>
  <c r="JA80" i="14" s="1"/>
  <c r="JC80" i="14" s="1"/>
  <c r="AK81" i="14"/>
  <c r="AN81" i="14" s="1"/>
  <c r="P78" i="14"/>
  <c r="AE78" i="14" s="1"/>
  <c r="T79" i="14"/>
  <c r="IX79" i="14" s="1"/>
  <c r="IZ79" i="14" s="1"/>
  <c r="R81" i="14"/>
  <c r="Q80" i="14"/>
  <c r="G76" i="14"/>
  <c r="N37" i="6"/>
  <c r="H77" i="14" s="1"/>
  <c r="CC71" i="14" l="1"/>
  <c r="CC79" i="14"/>
  <c r="CC75" i="14"/>
  <c r="CC76" i="14"/>
  <c r="CC72" i="14"/>
  <c r="CC73" i="14"/>
  <c r="CC77" i="14"/>
  <c r="CC70" i="14"/>
  <c r="CC74" i="14"/>
  <c r="CC78" i="14"/>
  <c r="CC119" i="14"/>
  <c r="CC118" i="14"/>
  <c r="CC117" i="14"/>
  <c r="CC111" i="14"/>
  <c r="CC116" i="14"/>
  <c r="CC115" i="14"/>
  <c r="CC113" i="14"/>
  <c r="CC112" i="14"/>
  <c r="CC114" i="14"/>
  <c r="CC110" i="14"/>
  <c r="CC82" i="14"/>
  <c r="CC108" i="14"/>
  <c r="CC103" i="14"/>
  <c r="CC105" i="14"/>
  <c r="CC101" i="14"/>
  <c r="CC104" i="14"/>
  <c r="CC106" i="14"/>
  <c r="CC107" i="14"/>
  <c r="CC100" i="14"/>
  <c r="CC109" i="14"/>
  <c r="CC102" i="14"/>
  <c r="CC83" i="14"/>
  <c r="IL81" i="14"/>
  <c r="IM81" i="14"/>
  <c r="IQ99" i="14" s="1"/>
  <c r="CF80" i="14"/>
  <c r="CG80" i="14"/>
  <c r="CC95" i="14"/>
  <c r="CC93" i="14"/>
  <c r="CC92" i="14"/>
  <c r="CC85" i="14"/>
  <c r="CC94" i="14"/>
  <c r="CC98" i="14"/>
  <c r="CC90" i="14"/>
  <c r="CC97" i="14"/>
  <c r="CC96" i="14"/>
  <c r="CC99" i="14"/>
  <c r="CC91" i="14"/>
  <c r="CC88" i="14"/>
  <c r="CC87" i="14"/>
  <c r="CC86" i="14"/>
  <c r="CC89" i="14"/>
  <c r="CC80" i="14"/>
  <c r="CC84" i="14"/>
  <c r="CC81" i="14"/>
  <c r="AF64" i="38"/>
  <c r="AH64" i="38"/>
  <c r="F63" i="15"/>
  <c r="F61" i="38"/>
  <c r="H63" i="15"/>
  <c r="H61" i="38"/>
  <c r="G62" i="15"/>
  <c r="G60" i="38"/>
  <c r="J64" i="15"/>
  <c r="J62" i="38"/>
  <c r="AG79" i="14"/>
  <c r="AH79" i="14" s="1"/>
  <c r="AI79" i="14" s="1"/>
  <c r="BN79" i="14" s="1"/>
  <c r="BX79" i="14" s="1"/>
  <c r="GR79" i="14"/>
  <c r="GS79" i="14" s="1"/>
  <c r="GU79" i="14" s="1"/>
  <c r="AL79" i="14"/>
  <c r="AM79" i="14" s="1"/>
  <c r="AO79" i="14" s="1"/>
  <c r="AW83" i="14"/>
  <c r="BB83" i="14" s="1"/>
  <c r="BC83" i="14" s="1"/>
  <c r="BD83" i="14" s="1"/>
  <c r="BE83" i="14" s="1"/>
  <c r="BJ83" i="14" s="1"/>
  <c r="BK83" i="14" s="1"/>
  <c r="BL83" i="14" s="1"/>
  <c r="BM83" i="14" s="1"/>
  <c r="S78" i="14"/>
  <c r="AF78" i="14" s="1"/>
  <c r="AG78" i="14" s="1"/>
  <c r="AH78" i="14" s="1"/>
  <c r="I64" i="15"/>
  <c r="HT81" i="14"/>
  <c r="GQ81" i="14"/>
  <c r="GT81" i="14" s="1"/>
  <c r="Q36" i="6"/>
  <c r="J77" i="14"/>
  <c r="P35" i="6"/>
  <c r="F76" i="14"/>
  <c r="HT80" i="14"/>
  <c r="I77" i="14"/>
  <c r="GO79" i="14"/>
  <c r="HT79" i="14" s="1"/>
  <c r="ID79" i="14" s="1"/>
  <c r="IY79" i="14"/>
  <c r="JA79" i="14" s="1"/>
  <c r="JB79" i="14" s="1"/>
  <c r="JC85" i="14"/>
  <c r="JC88" i="14"/>
  <c r="JC84" i="14"/>
  <c r="JC81" i="14"/>
  <c r="JC89" i="14"/>
  <c r="JB80" i="14"/>
  <c r="JD83" i="14" s="1"/>
  <c r="JC82" i="14"/>
  <c r="JC86" i="14"/>
  <c r="JC83" i="14"/>
  <c r="JC87" i="14"/>
  <c r="BB82" i="14"/>
  <c r="BC82" i="14" s="1"/>
  <c r="BD82" i="14" s="1"/>
  <c r="BE82" i="14" s="1"/>
  <c r="BJ82" i="14" s="1"/>
  <c r="BK82" i="14" s="1"/>
  <c r="BL82" i="14" s="1"/>
  <c r="BM82" i="14" s="1"/>
  <c r="AK80" i="14"/>
  <c r="BG80" i="14" s="1"/>
  <c r="BG81" i="14"/>
  <c r="AY81" i="14"/>
  <c r="AQ81" i="14"/>
  <c r="AT81" i="14" s="1"/>
  <c r="AU81" i="14" s="1"/>
  <c r="AV81" i="14" s="1"/>
  <c r="AW81" i="14" s="1"/>
  <c r="P77" i="14"/>
  <c r="AE77" i="14" s="1"/>
  <c r="R80" i="14"/>
  <c r="Q79" i="14"/>
  <c r="T78" i="14"/>
  <c r="IX78" i="14" s="1"/>
  <c r="IZ78" i="14" s="1"/>
  <c r="AU66" i="15"/>
  <c r="BH66" i="15" s="1"/>
  <c r="AW66" i="15"/>
  <c r="BI66" i="15" s="1"/>
  <c r="G75" i="14"/>
  <c r="N36" i="6"/>
  <c r="H76" i="14" s="1"/>
  <c r="IQ110" i="14" l="1"/>
  <c r="IQ115" i="14"/>
  <c r="IQ112" i="14"/>
  <c r="IQ111" i="14"/>
  <c r="IQ117" i="14"/>
  <c r="IQ76" i="14"/>
  <c r="IQ78" i="14"/>
  <c r="IQ77" i="14"/>
  <c r="IQ79" i="14"/>
  <c r="IQ75" i="14"/>
  <c r="IQ74" i="14"/>
  <c r="CK76" i="14"/>
  <c r="CK75" i="14"/>
  <c r="CK73" i="14"/>
  <c r="CK79" i="14"/>
  <c r="CK70" i="14"/>
  <c r="CK78" i="14"/>
  <c r="CK77" i="14"/>
  <c r="CK71" i="14"/>
  <c r="CK72" i="14"/>
  <c r="CK74" i="14"/>
  <c r="IQ72" i="14"/>
  <c r="IQ71" i="14"/>
  <c r="IQ70" i="14"/>
  <c r="IQ73" i="14"/>
  <c r="IQ106" i="14"/>
  <c r="CK118" i="14"/>
  <c r="CK119" i="14"/>
  <c r="CK117" i="14"/>
  <c r="CK115" i="14"/>
  <c r="CK111" i="14"/>
  <c r="CK116" i="14"/>
  <c r="CK114" i="14"/>
  <c r="CK113" i="14"/>
  <c r="CK112" i="14"/>
  <c r="CK110" i="14"/>
  <c r="IQ116" i="14"/>
  <c r="IQ118" i="14"/>
  <c r="IQ114" i="14"/>
  <c r="IQ119" i="14"/>
  <c r="IQ113" i="14"/>
  <c r="IQ102" i="14"/>
  <c r="IQ105" i="14"/>
  <c r="IQ109" i="14"/>
  <c r="IQ108" i="14"/>
  <c r="IQ100" i="14"/>
  <c r="IQ104" i="14"/>
  <c r="IQ101" i="14"/>
  <c r="IQ95" i="14"/>
  <c r="CK81" i="14"/>
  <c r="CK103" i="14"/>
  <c r="CK100" i="14"/>
  <c r="CK102" i="14"/>
  <c r="CK107" i="14"/>
  <c r="CK109" i="14"/>
  <c r="CK106" i="14"/>
  <c r="CK105" i="14"/>
  <c r="CK108" i="14"/>
  <c r="CK101" i="14"/>
  <c r="CK104" i="14"/>
  <c r="IQ103" i="14"/>
  <c r="IQ107" i="14"/>
  <c r="IQ94" i="14"/>
  <c r="IQ88" i="14"/>
  <c r="IQ82" i="14"/>
  <c r="IQ91" i="14"/>
  <c r="IQ84" i="14"/>
  <c r="IQ90" i="14"/>
  <c r="IQ96" i="14"/>
  <c r="IQ89" i="14"/>
  <c r="IQ80" i="14"/>
  <c r="IQ98" i="14"/>
  <c r="IQ93" i="14"/>
  <c r="IQ92" i="14"/>
  <c r="IQ97" i="14"/>
  <c r="IQ86" i="14"/>
  <c r="IQ87" i="14"/>
  <c r="F8" i="16"/>
  <c r="F15" i="16" s="1"/>
  <c r="IQ85" i="14"/>
  <c r="ID81" i="14"/>
  <c r="IE81" i="14"/>
  <c r="ID80" i="14"/>
  <c r="IE80" i="14"/>
  <c r="CK88" i="14"/>
  <c r="CK87" i="14"/>
  <c r="CK96" i="14"/>
  <c r="CK94" i="14"/>
  <c r="CK89" i="14"/>
  <c r="CK97" i="14"/>
  <c r="CK90" i="14"/>
  <c r="CK98" i="14"/>
  <c r="CK86" i="14"/>
  <c r="CK85" i="14"/>
  <c r="CK91" i="14"/>
  <c r="CK99" i="14"/>
  <c r="CK93" i="14"/>
  <c r="CK80" i="14"/>
  <c r="CK92" i="14"/>
  <c r="CK95" i="14"/>
  <c r="CK84" i="14"/>
  <c r="CK82" i="14"/>
  <c r="CK83" i="14"/>
  <c r="BP83" i="14"/>
  <c r="BQ83" i="14"/>
  <c r="IQ81" i="14"/>
  <c r="IQ83" i="14"/>
  <c r="BP82" i="14"/>
  <c r="BQ82" i="14"/>
  <c r="AJ79" i="14"/>
  <c r="BO79" i="14" s="1"/>
  <c r="CF79" i="14" s="1"/>
  <c r="AL78" i="14"/>
  <c r="AM78" i="14" s="1"/>
  <c r="AO78" i="14" s="1"/>
  <c r="AF65" i="38"/>
  <c r="AH65" i="38"/>
  <c r="AF68" i="38"/>
  <c r="AH68" i="38"/>
  <c r="AH72" i="38"/>
  <c r="AF72" i="38"/>
  <c r="H62" i="15"/>
  <c r="H60" i="38"/>
  <c r="G61" i="15"/>
  <c r="G59" i="38"/>
  <c r="AW69" i="15"/>
  <c r="BI69" i="15" s="1"/>
  <c r="AF67" i="38"/>
  <c r="AH67" i="38"/>
  <c r="AF69" i="38"/>
  <c r="AH69" i="38"/>
  <c r="J63" i="15"/>
  <c r="J61" i="38"/>
  <c r="AW72" i="15"/>
  <c r="BI72" i="15" s="1"/>
  <c r="AH70" i="38"/>
  <c r="AF70" i="38"/>
  <c r="F62" i="15"/>
  <c r="F60" i="38"/>
  <c r="AU73" i="15"/>
  <c r="BH73" i="15" s="1"/>
  <c r="AH71" i="38"/>
  <c r="AF71" i="38"/>
  <c r="AI67" i="38"/>
  <c r="AG67" i="38"/>
  <c r="I63" i="15"/>
  <c r="I61" i="38"/>
  <c r="AW68" i="15"/>
  <c r="BI68" i="15" s="1"/>
  <c r="AH66" i="38"/>
  <c r="AF66" i="38"/>
  <c r="AH73" i="38"/>
  <c r="AF73" i="38"/>
  <c r="S77" i="14"/>
  <c r="AF77" i="14" s="1"/>
  <c r="AL77" i="14" s="1"/>
  <c r="AM77" i="14" s="1"/>
  <c r="AO77" i="14" s="1"/>
  <c r="GR78" i="14"/>
  <c r="GS78" i="14" s="1"/>
  <c r="GU78" i="14" s="1"/>
  <c r="GM78" i="14"/>
  <c r="GN78" i="14" s="1"/>
  <c r="I76" i="14"/>
  <c r="S76" i="14" s="1"/>
  <c r="AF76" i="14" s="1"/>
  <c r="P34" i="6"/>
  <c r="F75" i="14"/>
  <c r="Q35" i="6"/>
  <c r="J76" i="14"/>
  <c r="T76" i="14" s="1"/>
  <c r="IX76" i="14" s="1"/>
  <c r="IZ76" i="14" s="1"/>
  <c r="GQ79" i="14"/>
  <c r="GT79" i="14" s="1"/>
  <c r="R79" i="14"/>
  <c r="AW67" i="15"/>
  <c r="BI67" i="15" s="1"/>
  <c r="AU67" i="15"/>
  <c r="BH67" i="15" s="1"/>
  <c r="AU75" i="15"/>
  <c r="BH75" i="15" s="1"/>
  <c r="AW75" i="15"/>
  <c r="BI75" i="15" s="1"/>
  <c r="AU71" i="15"/>
  <c r="BH71" i="15" s="1"/>
  <c r="JD80" i="14"/>
  <c r="AW71" i="15"/>
  <c r="BI71" i="15" s="1"/>
  <c r="AU70" i="15"/>
  <c r="BH70" i="15" s="1"/>
  <c r="AW70" i="15"/>
  <c r="BI70" i="15" s="1"/>
  <c r="AW74" i="15"/>
  <c r="BI74" i="15" s="1"/>
  <c r="AU74" i="15"/>
  <c r="BH74" i="15" s="1"/>
  <c r="AU69" i="15"/>
  <c r="BH69" i="15" s="1"/>
  <c r="JD84" i="14"/>
  <c r="JD85" i="14"/>
  <c r="JD88" i="14"/>
  <c r="JD82" i="14"/>
  <c r="JD86" i="14"/>
  <c r="JD81" i="14"/>
  <c r="JD87" i="14"/>
  <c r="JD89" i="14"/>
  <c r="AU72" i="15"/>
  <c r="BH72" i="15" s="1"/>
  <c r="AU68" i="15"/>
  <c r="BH68" i="15" s="1"/>
  <c r="AW73" i="15"/>
  <c r="BI73" i="15" s="1"/>
  <c r="AQ80" i="14"/>
  <c r="AT80" i="14" s="1"/>
  <c r="AU80" i="14" s="1"/>
  <c r="AV80" i="14" s="1"/>
  <c r="AY80" i="14"/>
  <c r="AN80" i="14"/>
  <c r="BB81" i="14"/>
  <c r="BC81" i="14" s="1"/>
  <c r="BD81" i="14" s="1"/>
  <c r="BE81" i="14" s="1"/>
  <c r="BJ81" i="14" s="1"/>
  <c r="BK81" i="14" s="1"/>
  <c r="BL81" i="14" s="1"/>
  <c r="BM81" i="14" s="1"/>
  <c r="IY78" i="14"/>
  <c r="JA78" i="14" s="1"/>
  <c r="JB78" i="14" s="1"/>
  <c r="T77" i="14"/>
  <c r="IX77" i="14" s="1"/>
  <c r="IZ77" i="14" s="1"/>
  <c r="P76" i="14"/>
  <c r="AE76" i="14" s="1"/>
  <c r="AI78" i="14"/>
  <c r="AJ78" i="14"/>
  <c r="BO78" i="14" s="1"/>
  <c r="CF78" i="14" s="1"/>
  <c r="Q78" i="14"/>
  <c r="AV69" i="15"/>
  <c r="AX69" i="15"/>
  <c r="N35" i="6"/>
  <c r="H75" i="14" s="1"/>
  <c r="G74" i="14"/>
  <c r="II78" i="14" l="1"/>
  <c r="II75" i="14"/>
  <c r="II70" i="14"/>
  <c r="II79" i="14"/>
  <c r="II74" i="14"/>
  <c r="II73" i="14"/>
  <c r="II76" i="14"/>
  <c r="II72" i="14"/>
  <c r="II71" i="14"/>
  <c r="II77" i="14"/>
  <c r="II118" i="14"/>
  <c r="II119" i="14"/>
  <c r="II113" i="14"/>
  <c r="II114" i="14"/>
  <c r="II117" i="14"/>
  <c r="II110" i="14"/>
  <c r="II115" i="14"/>
  <c r="II112" i="14"/>
  <c r="II116" i="14"/>
  <c r="II111" i="14"/>
  <c r="II106" i="14"/>
  <c r="II109" i="14"/>
  <c r="II105" i="14"/>
  <c r="II101" i="14"/>
  <c r="II107" i="14"/>
  <c r="II103" i="14"/>
  <c r="II104" i="14"/>
  <c r="II102" i="14"/>
  <c r="II100" i="14"/>
  <c r="II108" i="14"/>
  <c r="U33" i="1"/>
  <c r="U33" i="46"/>
  <c r="AK79" i="14"/>
  <c r="AY79" i="14" s="1"/>
  <c r="G55" i="16"/>
  <c r="V41" i="46" s="1"/>
  <c r="II87" i="14"/>
  <c r="II94" i="14"/>
  <c r="II97" i="14"/>
  <c r="II91" i="14"/>
  <c r="II90" i="14"/>
  <c r="II89" i="14"/>
  <c r="II92" i="14"/>
  <c r="II95" i="14"/>
  <c r="II86" i="14"/>
  <c r="II93" i="14"/>
  <c r="II88" i="14"/>
  <c r="II99" i="14"/>
  <c r="II96" i="14"/>
  <c r="II98" i="14"/>
  <c r="II85" i="14"/>
  <c r="II80" i="14"/>
  <c r="II84" i="14"/>
  <c r="II82" i="14"/>
  <c r="II83" i="14"/>
  <c r="G8" i="16"/>
  <c r="BP81" i="14"/>
  <c r="BQ81" i="14"/>
  <c r="II81" i="14"/>
  <c r="AG77" i="14"/>
  <c r="AH77" i="14" s="1"/>
  <c r="AJ77" i="14" s="1"/>
  <c r="BO77" i="14" s="1"/>
  <c r="CF77" i="14" s="1"/>
  <c r="GR77" i="14"/>
  <c r="GS77" i="14" s="1"/>
  <c r="GU77" i="14" s="1"/>
  <c r="GM77" i="14"/>
  <c r="GN77" i="14" s="1"/>
  <c r="GP77" i="14" s="1"/>
  <c r="HU77" i="14" s="1"/>
  <c r="IL77" i="14" s="1"/>
  <c r="AX72" i="15"/>
  <c r="AI70" i="38"/>
  <c r="AG70" i="38"/>
  <c r="I62" i="15"/>
  <c r="I60" i="38"/>
  <c r="AX67" i="15"/>
  <c r="AI65" i="38"/>
  <c r="AG65" i="38"/>
  <c r="AX68" i="15"/>
  <c r="AG66" i="38"/>
  <c r="AI66" i="38"/>
  <c r="H61" i="15"/>
  <c r="H59" i="38"/>
  <c r="AV74" i="15"/>
  <c r="AI72" i="38"/>
  <c r="AG72" i="38"/>
  <c r="AI69" i="38"/>
  <c r="AG69" i="38"/>
  <c r="AX66" i="15"/>
  <c r="AG64" i="38"/>
  <c r="AI64" i="38"/>
  <c r="AG68" i="38"/>
  <c r="AI68" i="38"/>
  <c r="J62" i="15"/>
  <c r="J60" i="38"/>
  <c r="AV75" i="15"/>
  <c r="AI73" i="38"/>
  <c r="AG73" i="38"/>
  <c r="G60" i="15"/>
  <c r="G58" i="38"/>
  <c r="AI71" i="38"/>
  <c r="AG71" i="38"/>
  <c r="F61" i="15"/>
  <c r="F59" i="38"/>
  <c r="GO78" i="14"/>
  <c r="GP78" i="14"/>
  <c r="HU78" i="14" s="1"/>
  <c r="IL78" i="14" s="1"/>
  <c r="Q34" i="6"/>
  <c r="J75" i="14"/>
  <c r="P33" i="6"/>
  <c r="F74" i="14"/>
  <c r="F58" i="38" s="1"/>
  <c r="I75" i="14"/>
  <c r="R78" i="14"/>
  <c r="AX75" i="15"/>
  <c r="AX70" i="15"/>
  <c r="AX73" i="15"/>
  <c r="AV66" i="15"/>
  <c r="AV71" i="15"/>
  <c r="AX71" i="15"/>
  <c r="AX74" i="15"/>
  <c r="AV68" i="15"/>
  <c r="AV73" i="15"/>
  <c r="AV70" i="15"/>
  <c r="IY77" i="14"/>
  <c r="JA77" i="14" s="1"/>
  <c r="JB77" i="14" s="1"/>
  <c r="AV67" i="15"/>
  <c r="AV72" i="15"/>
  <c r="AQ79" i="14"/>
  <c r="AT79" i="14" s="1"/>
  <c r="AU79" i="14" s="1"/>
  <c r="AV79" i="14" s="1"/>
  <c r="BG79" i="14"/>
  <c r="AN79" i="14"/>
  <c r="AW80" i="14"/>
  <c r="BB80" i="14" s="1"/>
  <c r="BC80" i="14" s="1"/>
  <c r="BD80" i="14" s="1"/>
  <c r="BE80" i="14" s="1"/>
  <c r="BJ80" i="14" s="1"/>
  <c r="BK80" i="14" s="1"/>
  <c r="BL80" i="14" s="1"/>
  <c r="BM80" i="14" s="1"/>
  <c r="IY76" i="14"/>
  <c r="JA76" i="14" s="1"/>
  <c r="JB76" i="14" s="1"/>
  <c r="AG76" i="14"/>
  <c r="AH76" i="14" s="1"/>
  <c r="AI76" i="14" s="1"/>
  <c r="AL76" i="14"/>
  <c r="AM76" i="14" s="1"/>
  <c r="AO76" i="14" s="1"/>
  <c r="P75" i="14"/>
  <c r="AE75" i="14" s="1"/>
  <c r="Q77" i="14"/>
  <c r="BN78" i="14"/>
  <c r="BX78" i="14" s="1"/>
  <c r="AK78" i="14"/>
  <c r="GR76" i="14"/>
  <c r="GS76" i="14" s="1"/>
  <c r="GU76" i="14" s="1"/>
  <c r="GM76" i="14"/>
  <c r="GN76" i="14" s="1"/>
  <c r="G73" i="14"/>
  <c r="N34" i="6"/>
  <c r="H74" i="14" s="1"/>
  <c r="AI77" i="14" l="1"/>
  <c r="BN77" i="14" s="1"/>
  <c r="BX77" i="14" s="1"/>
  <c r="V41" i="1"/>
  <c r="G15" i="16"/>
  <c r="V33" i="1"/>
  <c r="V33" i="46"/>
  <c r="F55" i="16"/>
  <c r="GO77" i="14"/>
  <c r="HT77" i="14" s="1"/>
  <c r="ID77" i="14" s="1"/>
  <c r="BP80" i="14"/>
  <c r="BQ80" i="14"/>
  <c r="J61" i="15"/>
  <c r="J59" i="38"/>
  <c r="G59" i="15"/>
  <c r="G57" i="38"/>
  <c r="I61" i="15"/>
  <c r="I59" i="38"/>
  <c r="H60" i="15"/>
  <c r="H58" i="38"/>
  <c r="P74" i="14"/>
  <c r="AE74" i="14" s="1"/>
  <c r="F60" i="15"/>
  <c r="S75" i="14"/>
  <c r="AF75" i="14" s="1"/>
  <c r="AG75" i="14" s="1"/>
  <c r="AH75" i="14" s="1"/>
  <c r="AJ75" i="14" s="1"/>
  <c r="BO75" i="14" s="1"/>
  <c r="CF75" i="14" s="1"/>
  <c r="HT78" i="14"/>
  <c r="ID78" i="14" s="1"/>
  <c r="GQ78" i="14"/>
  <c r="GT78" i="14" s="1"/>
  <c r="I74" i="14"/>
  <c r="P32" i="6"/>
  <c r="F73" i="14"/>
  <c r="Q33" i="6"/>
  <c r="J74" i="14"/>
  <c r="AW79" i="14"/>
  <c r="BB79" i="14" s="1"/>
  <c r="BC79" i="14" s="1"/>
  <c r="BD79" i="14" s="1"/>
  <c r="BE79" i="14" s="1"/>
  <c r="BJ79" i="14" s="1"/>
  <c r="BK79" i="14" s="1"/>
  <c r="BL79" i="14" s="1"/>
  <c r="BM79" i="14" s="1"/>
  <c r="BP79" i="14" s="1"/>
  <c r="AJ76" i="14"/>
  <c r="BO76" i="14" s="1"/>
  <c r="CF76" i="14" s="1"/>
  <c r="AK77" i="14"/>
  <c r="AY77" i="14" s="1"/>
  <c r="GO76" i="14"/>
  <c r="GP76" i="14"/>
  <c r="HU76" i="14" s="1"/>
  <c r="IL76" i="14" s="1"/>
  <c r="Q76" i="14"/>
  <c r="R77" i="14"/>
  <c r="T75" i="14"/>
  <c r="IX75" i="14" s="1"/>
  <c r="IZ75" i="14" s="1"/>
  <c r="AQ78" i="14"/>
  <c r="AT78" i="14" s="1"/>
  <c r="AU78" i="14" s="1"/>
  <c r="AV78" i="14" s="1"/>
  <c r="AN78" i="14"/>
  <c r="AY78" i="14"/>
  <c r="BG78" i="14"/>
  <c r="BN76" i="14"/>
  <c r="BX76" i="14" s="1"/>
  <c r="G72" i="14"/>
  <c r="N33" i="6"/>
  <c r="H73" i="14" s="1"/>
  <c r="BU70" i="14" l="1"/>
  <c r="BU78" i="14"/>
  <c r="BU74" i="14"/>
  <c r="BU72" i="14"/>
  <c r="BU79" i="14"/>
  <c r="BU76" i="14"/>
  <c r="BU71" i="14"/>
  <c r="BU77" i="14"/>
  <c r="BU73" i="14"/>
  <c r="BU75" i="14"/>
  <c r="BU118" i="14"/>
  <c r="BU119" i="14"/>
  <c r="BU114" i="14"/>
  <c r="BU113" i="14"/>
  <c r="BU112" i="14"/>
  <c r="BU115" i="14"/>
  <c r="BU116" i="14"/>
  <c r="BU110" i="14"/>
  <c r="BU117" i="14"/>
  <c r="BU111" i="14"/>
  <c r="BU108" i="14"/>
  <c r="BU107" i="14"/>
  <c r="BU109" i="14"/>
  <c r="BU106" i="14"/>
  <c r="BU103" i="14"/>
  <c r="BU104" i="14"/>
  <c r="BU101" i="14"/>
  <c r="BU105" i="14"/>
  <c r="BU100" i="14"/>
  <c r="BU102" i="14"/>
  <c r="BU86" i="14"/>
  <c r="BU98" i="14"/>
  <c r="BU90" i="14"/>
  <c r="BU92" i="14"/>
  <c r="BU88" i="14"/>
  <c r="BU94" i="14"/>
  <c r="BU97" i="14"/>
  <c r="BU99" i="14"/>
  <c r="BU96" i="14"/>
  <c r="BU93" i="14"/>
  <c r="BU95" i="14"/>
  <c r="BU80" i="14"/>
  <c r="BU89" i="14"/>
  <c r="BU91" i="14"/>
  <c r="BU85" i="14"/>
  <c r="BU87" i="14"/>
  <c r="BU84" i="14"/>
  <c r="BU82" i="14"/>
  <c r="BU83" i="14"/>
  <c r="BU81" i="14"/>
  <c r="U41" i="1"/>
  <c r="U41" i="46"/>
  <c r="GQ77" i="14"/>
  <c r="GT77" i="14" s="1"/>
  <c r="I60" i="15"/>
  <c r="I58" i="38"/>
  <c r="H59" i="15"/>
  <c r="H57" i="38"/>
  <c r="J60" i="15"/>
  <c r="J58" i="38"/>
  <c r="G58" i="15"/>
  <c r="G56" i="38"/>
  <c r="F59" i="15"/>
  <c r="F57" i="38"/>
  <c r="GM75" i="14"/>
  <c r="GN75" i="14" s="1"/>
  <c r="GO75" i="14" s="1"/>
  <c r="HT75" i="14" s="1"/>
  <c r="ID75" i="14" s="1"/>
  <c r="GR75" i="14"/>
  <c r="GS75" i="14" s="1"/>
  <c r="GU75" i="14" s="1"/>
  <c r="AL75" i="14"/>
  <c r="AM75" i="14" s="1"/>
  <c r="AO75" i="14" s="1"/>
  <c r="S74" i="14"/>
  <c r="AF74" i="14" s="1"/>
  <c r="AG74" i="14" s="1"/>
  <c r="AH74" i="14" s="1"/>
  <c r="AJ74" i="14" s="1"/>
  <c r="BO74" i="14" s="1"/>
  <c r="CF74" i="14" s="1"/>
  <c r="Q32" i="6"/>
  <c r="J73" i="14"/>
  <c r="P31" i="6"/>
  <c r="F72" i="14"/>
  <c r="I73" i="14"/>
  <c r="S73" i="14" s="1"/>
  <c r="AF73" i="14" s="1"/>
  <c r="R76" i="14"/>
  <c r="AI75" i="14"/>
  <c r="BN75" i="14" s="1"/>
  <c r="BX75" i="14" s="1"/>
  <c r="IY75" i="14"/>
  <c r="JA75" i="14" s="1"/>
  <c r="JB75" i="14" s="1"/>
  <c r="AQ77" i="14"/>
  <c r="AT77" i="14" s="1"/>
  <c r="AU77" i="14" s="1"/>
  <c r="AV77" i="14" s="1"/>
  <c r="BG77" i="14"/>
  <c r="AK76" i="14"/>
  <c r="AY76" i="14" s="1"/>
  <c r="AN77" i="14"/>
  <c r="AW78" i="14"/>
  <c r="BB78" i="14" s="1"/>
  <c r="BC78" i="14" s="1"/>
  <c r="BD78" i="14" s="1"/>
  <c r="BE78" i="14" s="1"/>
  <c r="BJ78" i="14" s="1"/>
  <c r="BK78" i="14" s="1"/>
  <c r="BL78" i="14" s="1"/>
  <c r="BM78" i="14" s="1"/>
  <c r="BP78" i="14" s="1"/>
  <c r="Q75" i="14"/>
  <c r="T74" i="14"/>
  <c r="IX74" i="14" s="1"/>
  <c r="IZ74" i="14" s="1"/>
  <c r="P73" i="14"/>
  <c r="AE73" i="14" s="1"/>
  <c r="GQ76" i="14"/>
  <c r="GT76" i="14" s="1"/>
  <c r="HT76" i="14"/>
  <c r="ID76" i="14" s="1"/>
  <c r="G71" i="14"/>
  <c r="N32" i="6"/>
  <c r="H72" i="14" s="1"/>
  <c r="GP75" i="14" l="1"/>
  <c r="HU75" i="14" s="1"/>
  <c r="IL75" i="14" s="1"/>
  <c r="H8" i="16"/>
  <c r="GR74" i="14"/>
  <c r="GS74" i="14" s="1"/>
  <c r="GU74" i="14" s="1"/>
  <c r="GM74" i="14"/>
  <c r="GN74" i="14" s="1"/>
  <c r="GP74" i="14" s="1"/>
  <c r="HU74" i="14" s="1"/>
  <c r="IL74" i="14" s="1"/>
  <c r="J59" i="15"/>
  <c r="J57" i="38"/>
  <c r="H58" i="15"/>
  <c r="H56" i="38"/>
  <c r="G57" i="15"/>
  <c r="G55" i="38"/>
  <c r="F58" i="15"/>
  <c r="F56" i="38"/>
  <c r="I59" i="15"/>
  <c r="I57" i="38"/>
  <c r="AL74" i="14"/>
  <c r="AM74" i="14" s="1"/>
  <c r="AO74" i="14" s="1"/>
  <c r="I72" i="14"/>
  <c r="I56" i="38" s="1"/>
  <c r="P30" i="6"/>
  <c r="F71" i="14"/>
  <c r="P71" i="14" s="1"/>
  <c r="AE71" i="14" s="1"/>
  <c r="Q31" i="6"/>
  <c r="J72" i="14"/>
  <c r="GQ75" i="14"/>
  <c r="GT75" i="14" s="1"/>
  <c r="IY74" i="14"/>
  <c r="JA74" i="14" s="1"/>
  <c r="JB74" i="14" s="1"/>
  <c r="AW77" i="14"/>
  <c r="BB77" i="14" s="1"/>
  <c r="BC77" i="14" s="1"/>
  <c r="BD77" i="14" s="1"/>
  <c r="BE77" i="14" s="1"/>
  <c r="BJ77" i="14" s="1"/>
  <c r="BK77" i="14" s="1"/>
  <c r="BL77" i="14" s="1"/>
  <c r="BM77" i="14" s="1"/>
  <c r="BP77" i="14" s="1"/>
  <c r="AK75" i="14"/>
  <c r="AN75" i="14" s="1"/>
  <c r="AQ76" i="14"/>
  <c r="AT76" i="14" s="1"/>
  <c r="AU76" i="14" s="1"/>
  <c r="AV76" i="14" s="1"/>
  <c r="AN76" i="14"/>
  <c r="BG76" i="14"/>
  <c r="AI74" i="14"/>
  <c r="BN74" i="14" s="1"/>
  <c r="BX74" i="14" s="1"/>
  <c r="AG73" i="14"/>
  <c r="AH73" i="14" s="1"/>
  <c r="AJ73" i="14" s="1"/>
  <c r="BO73" i="14" s="1"/>
  <c r="CF73" i="14" s="1"/>
  <c r="GR73" i="14"/>
  <c r="GS73" i="14" s="1"/>
  <c r="GU73" i="14" s="1"/>
  <c r="GM73" i="14"/>
  <c r="GN73" i="14" s="1"/>
  <c r="GP73" i="14" s="1"/>
  <c r="HU73" i="14" s="1"/>
  <c r="IL73" i="14" s="1"/>
  <c r="AL73" i="14"/>
  <c r="AM73" i="14" s="1"/>
  <c r="AO73" i="14" s="1"/>
  <c r="P72" i="14"/>
  <c r="AE72" i="14" s="1"/>
  <c r="T73" i="14"/>
  <c r="IX73" i="14" s="1"/>
  <c r="IZ73" i="14" s="1"/>
  <c r="R75" i="14"/>
  <c r="Q74" i="14"/>
  <c r="G70" i="14"/>
  <c r="N31" i="6"/>
  <c r="H71" i="14" s="1"/>
  <c r="GO74" i="14" l="1"/>
  <c r="GQ74" i="14" s="1"/>
  <c r="GT74" i="14" s="1"/>
  <c r="W33" i="46"/>
  <c r="H15" i="16"/>
  <c r="W33" i="1"/>
  <c r="F57" i="15"/>
  <c r="F55" i="38"/>
  <c r="H57" i="15"/>
  <c r="H55" i="38"/>
  <c r="G56" i="15"/>
  <c r="G54" i="38"/>
  <c r="J58" i="15"/>
  <c r="J56" i="38"/>
  <c r="S72" i="14"/>
  <c r="AF72" i="14" s="1"/>
  <c r="AL72" i="14" s="1"/>
  <c r="AM72" i="14" s="1"/>
  <c r="AO72" i="14" s="1"/>
  <c r="I58" i="15"/>
  <c r="Q30" i="6"/>
  <c r="J71" i="14"/>
  <c r="P29" i="6"/>
  <c r="F70" i="14"/>
  <c r="I71" i="14"/>
  <c r="I55" i="38" s="1"/>
  <c r="AQ75" i="14"/>
  <c r="AT75" i="14" s="1"/>
  <c r="AU75" i="14" s="1"/>
  <c r="AV75" i="14" s="1"/>
  <c r="AW75" i="14" s="1"/>
  <c r="AY75" i="14"/>
  <c r="BG75" i="14"/>
  <c r="AW76" i="14"/>
  <c r="BB76" i="14" s="1"/>
  <c r="BC76" i="14" s="1"/>
  <c r="BD76" i="14" s="1"/>
  <c r="BE76" i="14" s="1"/>
  <c r="BJ76" i="14" s="1"/>
  <c r="BK76" i="14" s="1"/>
  <c r="BL76" i="14" s="1"/>
  <c r="BM76" i="14" s="1"/>
  <c r="BP76" i="14" s="1"/>
  <c r="AI73" i="14"/>
  <c r="BN73" i="14" s="1"/>
  <c r="BX73" i="14" s="1"/>
  <c r="AK74" i="14"/>
  <c r="AQ74" i="14" s="1"/>
  <c r="AT74" i="14" s="1"/>
  <c r="AU74" i="14" s="1"/>
  <c r="AV74" i="14" s="1"/>
  <c r="IY73" i="14"/>
  <c r="JA73" i="14" s="1"/>
  <c r="JB73" i="14" s="1"/>
  <c r="GO73" i="14"/>
  <c r="GQ73" i="14" s="1"/>
  <c r="GT73" i="14" s="1"/>
  <c r="Q72" i="14"/>
  <c r="Q73" i="14"/>
  <c r="R74" i="14"/>
  <c r="T72" i="14"/>
  <c r="IX72" i="14" s="1"/>
  <c r="IZ72" i="14" s="1"/>
  <c r="N30" i="6"/>
  <c r="H70" i="14" s="1"/>
  <c r="G69" i="14"/>
  <c r="HT74" i="14" l="1"/>
  <c r="ID74" i="14" s="1"/>
  <c r="H56" i="15"/>
  <c r="H54" i="38"/>
  <c r="J57" i="15"/>
  <c r="J55" i="38"/>
  <c r="F56" i="15"/>
  <c r="F54" i="38"/>
  <c r="G55" i="15"/>
  <c r="G53" i="38"/>
  <c r="T71" i="14"/>
  <c r="IX71" i="14" s="1"/>
  <c r="IZ71" i="14" s="1"/>
  <c r="GM72" i="14"/>
  <c r="GN72" i="14" s="1"/>
  <c r="GR72" i="14"/>
  <c r="GS72" i="14" s="1"/>
  <c r="GU72" i="14" s="1"/>
  <c r="S71" i="14"/>
  <c r="AF71" i="14" s="1"/>
  <c r="GR71" i="14" s="1"/>
  <c r="GS71" i="14" s="1"/>
  <c r="GU71" i="14" s="1"/>
  <c r="I57" i="15"/>
  <c r="AG72" i="14"/>
  <c r="AH72" i="14" s="1"/>
  <c r="I70" i="14"/>
  <c r="I54" i="38" s="1"/>
  <c r="P28" i="6"/>
  <c r="F69" i="14"/>
  <c r="Q29" i="6"/>
  <c r="J70" i="14"/>
  <c r="BB75" i="14"/>
  <c r="BC75" i="14" s="1"/>
  <c r="BD75" i="14" s="1"/>
  <c r="BE75" i="14" s="1"/>
  <c r="BJ75" i="14" s="1"/>
  <c r="BK75" i="14" s="1"/>
  <c r="BL75" i="14" s="1"/>
  <c r="BM75" i="14" s="1"/>
  <c r="BP75" i="14" s="1"/>
  <c r="BG74" i="14"/>
  <c r="AK73" i="14"/>
  <c r="AN73" i="14" s="1"/>
  <c r="AN74" i="14"/>
  <c r="AW74" i="14" s="1"/>
  <c r="AY74" i="14"/>
  <c r="HT73" i="14"/>
  <c r="ID73" i="14" s="1"/>
  <c r="IY72" i="14"/>
  <c r="JA72" i="14" s="1"/>
  <c r="JB72" i="14" s="1"/>
  <c r="IY71" i="14"/>
  <c r="JA71" i="14" s="1"/>
  <c r="JB71" i="14" s="1"/>
  <c r="P70" i="14"/>
  <c r="AE70" i="14" s="1"/>
  <c r="R73" i="14"/>
  <c r="N29" i="6"/>
  <c r="H69" i="14" s="1"/>
  <c r="G68" i="14"/>
  <c r="H55" i="15" l="1"/>
  <c r="H53" i="38"/>
  <c r="J56" i="15"/>
  <c r="J54" i="38"/>
  <c r="G54" i="15"/>
  <c r="G52" i="38"/>
  <c r="F55" i="15"/>
  <c r="F53" i="38"/>
  <c r="GM71" i="14"/>
  <c r="GN71" i="14" s="1"/>
  <c r="GO71" i="14" s="1"/>
  <c r="AG71" i="14"/>
  <c r="AH71" i="14" s="1"/>
  <c r="AJ71" i="14" s="1"/>
  <c r="BO71" i="14" s="1"/>
  <c r="CF71" i="14" s="1"/>
  <c r="AL71" i="14"/>
  <c r="AM71" i="14" s="1"/>
  <c r="AO71" i="14" s="1"/>
  <c r="S70" i="14"/>
  <c r="AF70" i="14" s="1"/>
  <c r="AG70" i="14" s="1"/>
  <c r="AH70" i="14" s="1"/>
  <c r="AJ70" i="14" s="1"/>
  <c r="BO70" i="14" s="1"/>
  <c r="CF70" i="14" s="1"/>
  <c r="I56" i="15"/>
  <c r="AI72" i="14"/>
  <c r="AJ72" i="14"/>
  <c r="BO72" i="14" s="1"/>
  <c r="CF72" i="14" s="1"/>
  <c r="GO72" i="14"/>
  <c r="GP72" i="14"/>
  <c r="HU72" i="14" s="1"/>
  <c r="IL72" i="14" s="1"/>
  <c r="Q28" i="6"/>
  <c r="J69" i="14"/>
  <c r="P27" i="6"/>
  <c r="F68" i="14"/>
  <c r="I69" i="14"/>
  <c r="I53" i="38" s="1"/>
  <c r="R72" i="14"/>
  <c r="GP71" i="14"/>
  <c r="HU71" i="14" s="1"/>
  <c r="IL71" i="14" s="1"/>
  <c r="AY73" i="14"/>
  <c r="AQ73" i="14"/>
  <c r="AT73" i="14" s="1"/>
  <c r="AU73" i="14" s="1"/>
  <c r="AV73" i="14" s="1"/>
  <c r="AW73" i="14" s="1"/>
  <c r="BG73" i="14"/>
  <c r="BB74" i="14"/>
  <c r="BC74" i="14" s="1"/>
  <c r="BD74" i="14" s="1"/>
  <c r="BE74" i="14" s="1"/>
  <c r="BJ74" i="14" s="1"/>
  <c r="BK74" i="14" s="1"/>
  <c r="BL74" i="14" s="1"/>
  <c r="BM74" i="14" s="1"/>
  <c r="BP74" i="14" s="1"/>
  <c r="P69" i="14"/>
  <c r="AE69" i="14" s="1"/>
  <c r="T70" i="14"/>
  <c r="IX70" i="14" s="1"/>
  <c r="IZ70" i="14" s="1"/>
  <c r="Q71" i="14"/>
  <c r="HT71" i="14"/>
  <c r="ID71" i="14" s="1"/>
  <c r="N28" i="6"/>
  <c r="H68" i="14" s="1"/>
  <c r="G67" i="14"/>
  <c r="AI71" i="14" l="1"/>
  <c r="BN71" i="14" s="1"/>
  <c r="BX71" i="14" s="1"/>
  <c r="F54" i="15"/>
  <c r="F52" i="38"/>
  <c r="J55" i="15"/>
  <c r="J53" i="38"/>
  <c r="G53" i="15"/>
  <c r="G51" i="38"/>
  <c r="H54" i="15"/>
  <c r="H52" i="38"/>
  <c r="AL70" i="14"/>
  <c r="AM70" i="14" s="1"/>
  <c r="AO70" i="14" s="1"/>
  <c r="AI70" i="14"/>
  <c r="BN70" i="14" s="1"/>
  <c r="BX70" i="14" s="1"/>
  <c r="S69" i="14"/>
  <c r="AF69" i="14" s="1"/>
  <c r="GR69" i="14" s="1"/>
  <c r="GS69" i="14" s="1"/>
  <c r="GU69" i="14" s="1"/>
  <c r="I55" i="15"/>
  <c r="HT72" i="14"/>
  <c r="ID72" i="14" s="1"/>
  <c r="GQ72" i="14"/>
  <c r="GT72" i="14" s="1"/>
  <c r="BN72" i="14"/>
  <c r="BX72" i="14" s="1"/>
  <c r="AK72" i="14"/>
  <c r="GM70" i="14"/>
  <c r="GN70" i="14" s="1"/>
  <c r="GR70" i="14"/>
  <c r="GS70" i="14" s="1"/>
  <c r="GU70" i="14" s="1"/>
  <c r="I68" i="14"/>
  <c r="P26" i="6"/>
  <c r="F67" i="14"/>
  <c r="Q27" i="6"/>
  <c r="J68" i="14"/>
  <c r="GQ71" i="14"/>
  <c r="GT71" i="14" s="1"/>
  <c r="BB73" i="14"/>
  <c r="BC73" i="14" s="1"/>
  <c r="BD73" i="14" s="1"/>
  <c r="BE73" i="14" s="1"/>
  <c r="BJ73" i="14" s="1"/>
  <c r="BK73" i="14" s="1"/>
  <c r="BL73" i="14" s="1"/>
  <c r="BM73" i="14" s="1"/>
  <c r="BP73" i="14" s="1"/>
  <c r="IY70" i="14"/>
  <c r="JA70" i="14" s="1"/>
  <c r="JC71" i="14" s="1"/>
  <c r="T69" i="14"/>
  <c r="IX69" i="14" s="1"/>
  <c r="IZ69" i="14" s="1"/>
  <c r="R71" i="14"/>
  <c r="Q70" i="14"/>
  <c r="P68" i="14"/>
  <c r="AE68" i="14" s="1"/>
  <c r="N27" i="6"/>
  <c r="H67" i="14" s="1"/>
  <c r="AK71" i="14" l="1"/>
  <c r="AY71" i="14" s="1"/>
  <c r="AK70" i="14"/>
  <c r="AQ70" i="14" s="1"/>
  <c r="AT70" i="14" s="1"/>
  <c r="AU70" i="14" s="1"/>
  <c r="AV70" i="14" s="1"/>
  <c r="GM69" i="14"/>
  <c r="GN69" i="14" s="1"/>
  <c r="GO69" i="14" s="1"/>
  <c r="HT69" i="14" s="1"/>
  <c r="ID69" i="14" s="1"/>
  <c r="AG69" i="14"/>
  <c r="AH69" i="14" s="1"/>
  <c r="AI69" i="14" s="1"/>
  <c r="F53" i="15"/>
  <c r="F51" i="38"/>
  <c r="AH55" i="38"/>
  <c r="AF55" i="38"/>
  <c r="J54" i="15"/>
  <c r="J52" i="38"/>
  <c r="H53" i="15"/>
  <c r="H51" i="38"/>
  <c r="I54" i="15"/>
  <c r="I52" i="38"/>
  <c r="S68" i="14"/>
  <c r="AF68" i="14" s="1"/>
  <c r="GR68" i="14" s="1"/>
  <c r="GS68" i="14" s="1"/>
  <c r="GU68" i="14" s="1"/>
  <c r="G66" i="14"/>
  <c r="G65" i="14"/>
  <c r="AL69" i="14"/>
  <c r="AM69" i="14" s="1"/>
  <c r="AO69" i="14" s="1"/>
  <c r="GO70" i="14"/>
  <c r="GP70" i="14"/>
  <c r="HU70" i="14" s="1"/>
  <c r="IL70" i="14" s="1"/>
  <c r="AN72" i="14"/>
  <c r="AQ72" i="14"/>
  <c r="AT72" i="14" s="1"/>
  <c r="AU72" i="14" s="1"/>
  <c r="AV72" i="14" s="1"/>
  <c r="BG72" i="14"/>
  <c r="AY72" i="14"/>
  <c r="Q26" i="6"/>
  <c r="J67" i="14"/>
  <c r="P25" i="6"/>
  <c r="F66" i="14"/>
  <c r="I67" i="14"/>
  <c r="I51" i="38" s="1"/>
  <c r="IY69" i="14"/>
  <c r="JA69" i="14" s="1"/>
  <c r="JB69" i="14" s="1"/>
  <c r="JC75" i="14"/>
  <c r="JC73" i="14"/>
  <c r="JC72" i="14"/>
  <c r="JC77" i="14"/>
  <c r="JC76" i="14"/>
  <c r="JC70" i="14"/>
  <c r="JB70" i="14"/>
  <c r="JD74" i="14" s="1"/>
  <c r="JC79" i="14"/>
  <c r="JC74" i="14"/>
  <c r="JC78" i="14"/>
  <c r="T68" i="14"/>
  <c r="IX68" i="14" s="1"/>
  <c r="IZ68" i="14" s="1"/>
  <c r="AU57" i="15"/>
  <c r="BH57" i="15" s="1"/>
  <c r="AW57" i="15"/>
  <c r="BI57" i="15" s="1"/>
  <c r="P67" i="14"/>
  <c r="AE67" i="14" s="1"/>
  <c r="AJ69" i="14"/>
  <c r="BO69" i="14" s="1"/>
  <c r="CF69" i="14" s="1"/>
  <c r="Q69" i="14"/>
  <c r="R70" i="14"/>
  <c r="AN70" i="14"/>
  <c r="AY70" i="14"/>
  <c r="BG70" i="14"/>
  <c r="N26" i="6"/>
  <c r="H66" i="14" s="1"/>
  <c r="BG71" i="14" l="1"/>
  <c r="AQ71" i="14"/>
  <c r="AT71" i="14" s="1"/>
  <c r="AU71" i="14" s="1"/>
  <c r="AV71" i="14" s="1"/>
  <c r="AN71" i="14"/>
  <c r="GP69" i="14"/>
  <c r="HU69" i="14" s="1"/>
  <c r="IL69" i="14" s="1"/>
  <c r="AL68" i="14"/>
  <c r="AM68" i="14" s="1"/>
  <c r="AO68" i="14" s="1"/>
  <c r="AG68" i="14"/>
  <c r="AH68" i="14" s="1"/>
  <c r="AI68" i="14" s="1"/>
  <c r="BN68" i="14" s="1"/>
  <c r="BX68" i="14" s="1"/>
  <c r="GM68" i="14"/>
  <c r="GN68" i="14" s="1"/>
  <c r="GP68" i="14" s="1"/>
  <c r="HU68" i="14" s="1"/>
  <c r="IL68" i="14" s="1"/>
  <c r="AW65" i="15"/>
  <c r="BI65" i="15" s="1"/>
  <c r="AF63" i="38"/>
  <c r="AH63" i="38"/>
  <c r="F52" i="15"/>
  <c r="F50" i="38"/>
  <c r="AG58" i="38"/>
  <c r="AI58" i="38"/>
  <c r="J53" i="15"/>
  <c r="J51" i="38"/>
  <c r="AW56" i="15"/>
  <c r="BI56" i="15" s="1"/>
  <c r="AH54" i="38"/>
  <c r="AF54" i="38"/>
  <c r="G51" i="15"/>
  <c r="G49" i="38"/>
  <c r="AU61" i="15"/>
  <c r="BH61" i="15" s="1"/>
  <c r="AF59" i="38"/>
  <c r="AH59" i="38"/>
  <c r="AH60" i="38"/>
  <c r="AF60" i="38"/>
  <c r="G52" i="15"/>
  <c r="G50" i="38"/>
  <c r="AH58" i="38"/>
  <c r="AF58" i="38"/>
  <c r="AW63" i="15"/>
  <c r="BI63" i="15" s="1"/>
  <c r="AH61" i="38"/>
  <c r="AF61" i="38"/>
  <c r="P66" i="14"/>
  <c r="AE66" i="14" s="1"/>
  <c r="H52" i="15"/>
  <c r="H50" i="38"/>
  <c r="AW58" i="15"/>
  <c r="BI58" i="15" s="1"/>
  <c r="AH56" i="38"/>
  <c r="AF56" i="38"/>
  <c r="AF62" i="38"/>
  <c r="AH62" i="38"/>
  <c r="AH57" i="38"/>
  <c r="AF57" i="38"/>
  <c r="AW72" i="14"/>
  <c r="BB72" i="14" s="1"/>
  <c r="BC72" i="14" s="1"/>
  <c r="BD72" i="14" s="1"/>
  <c r="BE72" i="14" s="1"/>
  <c r="BJ72" i="14" s="1"/>
  <c r="BK72" i="14" s="1"/>
  <c r="BL72" i="14" s="1"/>
  <c r="BM72" i="14" s="1"/>
  <c r="BP72" i="14" s="1"/>
  <c r="S67" i="14"/>
  <c r="AF67" i="14" s="1"/>
  <c r="GR67" i="14" s="1"/>
  <c r="GS67" i="14" s="1"/>
  <c r="GU67" i="14" s="1"/>
  <c r="I53" i="15"/>
  <c r="HT70" i="14"/>
  <c r="ID70" i="14" s="1"/>
  <c r="GQ70" i="14"/>
  <c r="GT70" i="14" s="1"/>
  <c r="I66" i="14"/>
  <c r="I50" i="38" s="1"/>
  <c r="P24" i="6"/>
  <c r="F65" i="14"/>
  <c r="Q25" i="6"/>
  <c r="J66" i="14"/>
  <c r="JD73" i="14"/>
  <c r="AU63" i="15"/>
  <c r="BH63" i="15" s="1"/>
  <c r="AU65" i="15"/>
  <c r="BH65" i="15" s="1"/>
  <c r="AU59" i="15"/>
  <c r="BH59" i="15" s="1"/>
  <c r="AW59" i="15"/>
  <c r="BI59" i="15" s="1"/>
  <c r="AW61" i="15"/>
  <c r="BI61" i="15" s="1"/>
  <c r="AW62" i="15"/>
  <c r="BI62" i="15" s="1"/>
  <c r="AU62" i="15"/>
  <c r="BH62" i="15" s="1"/>
  <c r="AU64" i="15"/>
  <c r="BH64" i="15" s="1"/>
  <c r="AU60" i="15"/>
  <c r="BH60" i="15" s="1"/>
  <c r="AW64" i="15"/>
  <c r="BI64" i="15" s="1"/>
  <c r="AU58" i="15"/>
  <c r="BH58" i="15" s="1"/>
  <c r="AW60" i="15"/>
  <c r="BI60" i="15" s="1"/>
  <c r="AU56" i="15"/>
  <c r="BH56" i="15" s="1"/>
  <c r="JD78" i="14"/>
  <c r="JD71" i="14"/>
  <c r="JD75" i="14"/>
  <c r="JD79" i="14"/>
  <c r="JD77" i="14"/>
  <c r="JD72" i="14"/>
  <c r="JD70" i="14"/>
  <c r="JD76" i="14"/>
  <c r="IY68" i="14"/>
  <c r="JA68" i="14" s="1"/>
  <c r="JB68" i="14" s="1"/>
  <c r="R69" i="14"/>
  <c r="AX60" i="15"/>
  <c r="AV60" i="15"/>
  <c r="Q68" i="14"/>
  <c r="T67" i="14"/>
  <c r="IX67" i="14" s="1"/>
  <c r="IZ67" i="14" s="1"/>
  <c r="BN69" i="14"/>
  <c r="BX69" i="14" s="1"/>
  <c r="AK69" i="14"/>
  <c r="AW70" i="14"/>
  <c r="BB70" i="14" s="1"/>
  <c r="BC70" i="14" s="1"/>
  <c r="BD70" i="14" s="1"/>
  <c r="BE70" i="14" s="1"/>
  <c r="BJ70" i="14" s="1"/>
  <c r="BK70" i="14" s="1"/>
  <c r="BL70" i="14" s="1"/>
  <c r="BM70" i="14" s="1"/>
  <c r="BP70" i="14" s="1"/>
  <c r="N25" i="6"/>
  <c r="H65" i="14" s="1"/>
  <c r="G64" i="14"/>
  <c r="AW71" i="14" l="1"/>
  <c r="BB71" i="14" s="1"/>
  <c r="BC71" i="14" s="1"/>
  <c r="BD71" i="14" s="1"/>
  <c r="BE71" i="14" s="1"/>
  <c r="BJ71" i="14" s="1"/>
  <c r="BK71" i="14" s="1"/>
  <c r="BL71" i="14" s="1"/>
  <c r="BM71" i="14" s="1"/>
  <c r="BP71" i="14" s="1"/>
  <c r="AJ68" i="14"/>
  <c r="BO68" i="14" s="1"/>
  <c r="CF68" i="14" s="1"/>
  <c r="GQ69" i="14"/>
  <c r="GT69" i="14" s="1"/>
  <c r="GO68" i="14"/>
  <c r="GQ68" i="14" s="1"/>
  <c r="GT68" i="14" s="1"/>
  <c r="AV58" i="15"/>
  <c r="AI56" i="38"/>
  <c r="AG56" i="38"/>
  <c r="AG60" i="38"/>
  <c r="AI60" i="38"/>
  <c r="AV56" i="15"/>
  <c r="AI54" i="38"/>
  <c r="AG54" i="38"/>
  <c r="F51" i="15"/>
  <c r="F49" i="38"/>
  <c r="AG61" i="38"/>
  <c r="AI61" i="38"/>
  <c r="H51" i="15"/>
  <c r="H49" i="38"/>
  <c r="AV65" i="15"/>
  <c r="AG63" i="38"/>
  <c r="AI63" i="38"/>
  <c r="AV61" i="15"/>
  <c r="AG59" i="38"/>
  <c r="AI59" i="38"/>
  <c r="AX57" i="15"/>
  <c r="AG55" i="38"/>
  <c r="AI55" i="38"/>
  <c r="AX59" i="15"/>
  <c r="AG57" i="38"/>
  <c r="AI57" i="38"/>
  <c r="GM67" i="14"/>
  <c r="GN67" i="14" s="1"/>
  <c r="GP67" i="14" s="1"/>
  <c r="HU67" i="14" s="1"/>
  <c r="IL67" i="14" s="1"/>
  <c r="G50" i="15"/>
  <c r="G48" i="38"/>
  <c r="AX64" i="15"/>
  <c r="AG62" i="38"/>
  <c r="AI62" i="38"/>
  <c r="J52" i="15"/>
  <c r="J50" i="38"/>
  <c r="AL67" i="14"/>
  <c r="AM67" i="14" s="1"/>
  <c r="AO67" i="14" s="1"/>
  <c r="AG67" i="14"/>
  <c r="AH67" i="14" s="1"/>
  <c r="AJ67" i="14" s="1"/>
  <c r="BO67" i="14" s="1"/>
  <c r="CF67" i="14" s="1"/>
  <c r="AV59" i="15"/>
  <c r="S66" i="14"/>
  <c r="AF66" i="14" s="1"/>
  <c r="I52" i="15"/>
  <c r="Q24" i="6"/>
  <c r="J65" i="14"/>
  <c r="P23" i="6"/>
  <c r="F64" i="14"/>
  <c r="I65" i="14"/>
  <c r="I49" i="38" s="1"/>
  <c r="AV62" i="15"/>
  <c r="AX63" i="15"/>
  <c r="AV64" i="15"/>
  <c r="AX65" i="15"/>
  <c r="AV63" i="15"/>
  <c r="AX58" i="15"/>
  <c r="AX62" i="15"/>
  <c r="AV57" i="15"/>
  <c r="AX61" i="15"/>
  <c r="AX56" i="15"/>
  <c r="AK68" i="14"/>
  <c r="BG68" i="14" s="1"/>
  <c r="IY67" i="14"/>
  <c r="JA67" i="14" s="1"/>
  <c r="JB67" i="14" s="1"/>
  <c r="R68" i="14"/>
  <c r="Q67" i="14"/>
  <c r="AY69" i="14"/>
  <c r="AQ69" i="14"/>
  <c r="AT69" i="14" s="1"/>
  <c r="AU69" i="14" s="1"/>
  <c r="AV69" i="14" s="1"/>
  <c r="AN69" i="14"/>
  <c r="BG69" i="14"/>
  <c r="P65" i="14"/>
  <c r="AE65" i="14" s="1"/>
  <c r="T66" i="14"/>
  <c r="IX66" i="14" s="1"/>
  <c r="IZ66" i="14" s="1"/>
  <c r="N24" i="6"/>
  <c r="H64" i="14" s="1"/>
  <c r="G63" i="14"/>
  <c r="HT68" i="14" l="1"/>
  <c r="ID68" i="14" s="1"/>
  <c r="GO67" i="14"/>
  <c r="HT67" i="14" s="1"/>
  <c r="ID67" i="14" s="1"/>
  <c r="G49" i="15"/>
  <c r="G47" i="38"/>
  <c r="F50" i="15"/>
  <c r="F48" i="38"/>
  <c r="H50" i="15"/>
  <c r="H48" i="38"/>
  <c r="J51" i="15"/>
  <c r="J49" i="38"/>
  <c r="AI67" i="14"/>
  <c r="S65" i="14"/>
  <c r="AF65" i="14" s="1"/>
  <c r="AL65" i="14" s="1"/>
  <c r="AM65" i="14" s="1"/>
  <c r="AO65" i="14" s="1"/>
  <c r="I51" i="15"/>
  <c r="AG66" i="14"/>
  <c r="AH66" i="14" s="1"/>
  <c r="AL66" i="14"/>
  <c r="AM66" i="14" s="1"/>
  <c r="AO66" i="14" s="1"/>
  <c r="GR66" i="14"/>
  <c r="GS66" i="14" s="1"/>
  <c r="GU66" i="14" s="1"/>
  <c r="GM66" i="14"/>
  <c r="GN66" i="14" s="1"/>
  <c r="I64" i="14"/>
  <c r="P22" i="6"/>
  <c r="F63" i="14"/>
  <c r="Q23" i="6"/>
  <c r="J64" i="14"/>
  <c r="GR65" i="14"/>
  <c r="GS65" i="14" s="1"/>
  <c r="GU65" i="14" s="1"/>
  <c r="AN68" i="14"/>
  <c r="AY68" i="14"/>
  <c r="AQ68" i="14"/>
  <c r="AT68" i="14" s="1"/>
  <c r="AU68" i="14" s="1"/>
  <c r="AV68" i="14" s="1"/>
  <c r="IY66" i="14"/>
  <c r="JA66" i="14" s="1"/>
  <c r="JB66" i="14" s="1"/>
  <c r="AW69" i="14"/>
  <c r="BB69" i="14" s="1"/>
  <c r="BC69" i="14" s="1"/>
  <c r="BD69" i="14" s="1"/>
  <c r="BE69" i="14" s="1"/>
  <c r="BJ69" i="14" s="1"/>
  <c r="BK69" i="14" s="1"/>
  <c r="BL69" i="14" s="1"/>
  <c r="BM69" i="14" s="1"/>
  <c r="BP69" i="14" s="1"/>
  <c r="T65" i="14"/>
  <c r="IX65" i="14" s="1"/>
  <c r="IZ65" i="14" s="1"/>
  <c r="P64" i="14"/>
  <c r="AE64" i="14" s="1"/>
  <c r="Q66" i="14"/>
  <c r="G62" i="14"/>
  <c r="N23" i="6"/>
  <c r="H63" i="14" s="1"/>
  <c r="GQ67" i="14" l="1"/>
  <c r="GT67" i="14" s="1"/>
  <c r="GM65" i="14"/>
  <c r="GN65" i="14" s="1"/>
  <c r="GO65" i="14" s="1"/>
  <c r="HT65" i="14" s="1"/>
  <c r="ID65" i="14" s="1"/>
  <c r="F49" i="15"/>
  <c r="F47" i="38"/>
  <c r="J50" i="15"/>
  <c r="J48" i="38"/>
  <c r="I50" i="15"/>
  <c r="I48" i="38"/>
  <c r="H49" i="15"/>
  <c r="H47" i="38"/>
  <c r="G48" i="15"/>
  <c r="G46" i="38"/>
  <c r="AG65" i="14"/>
  <c r="AH65" i="14" s="1"/>
  <c r="AI65" i="14" s="1"/>
  <c r="BN65" i="14" s="1"/>
  <c r="BX65" i="14" s="1"/>
  <c r="BN67" i="14"/>
  <c r="BX67" i="14" s="1"/>
  <c r="AK67" i="14"/>
  <c r="GO66" i="14"/>
  <c r="GP66" i="14"/>
  <c r="HU66" i="14" s="1"/>
  <c r="IL66" i="14" s="1"/>
  <c r="S64" i="14"/>
  <c r="AF64" i="14" s="1"/>
  <c r="GM64" i="14" s="1"/>
  <c r="GN64" i="14" s="1"/>
  <c r="GP64" i="14" s="1"/>
  <c r="HU64" i="14" s="1"/>
  <c r="IL64" i="14" s="1"/>
  <c r="AJ66" i="14"/>
  <c r="BO66" i="14" s="1"/>
  <c r="CF66" i="14" s="1"/>
  <c r="AI66" i="14"/>
  <c r="Q22" i="6"/>
  <c r="J63" i="14"/>
  <c r="P21" i="6"/>
  <c r="F62" i="14"/>
  <c r="I63" i="14"/>
  <c r="R67" i="14"/>
  <c r="AW68" i="14"/>
  <c r="BB68" i="14" s="1"/>
  <c r="BC68" i="14" s="1"/>
  <c r="BD68" i="14" s="1"/>
  <c r="BE68" i="14" s="1"/>
  <c r="BJ68" i="14" s="1"/>
  <c r="BK68" i="14" s="1"/>
  <c r="BL68" i="14" s="1"/>
  <c r="BM68" i="14" s="1"/>
  <c r="BP68" i="14" s="1"/>
  <c r="P63" i="14"/>
  <c r="AE63" i="14" s="1"/>
  <c r="IY65" i="14"/>
  <c r="JA65" i="14" s="1"/>
  <c r="JB65" i="14" s="1"/>
  <c r="Q65" i="14"/>
  <c r="T64" i="14"/>
  <c r="IX64" i="14" s="1"/>
  <c r="IZ64" i="14" s="1"/>
  <c r="R66" i="14"/>
  <c r="N22" i="6"/>
  <c r="H62" i="14" s="1"/>
  <c r="AJ65" i="14" l="1"/>
  <c r="BO65" i="14" s="1"/>
  <c r="CF65" i="14" s="1"/>
  <c r="GP65" i="14"/>
  <c r="HU65" i="14" s="1"/>
  <c r="IL65" i="14" s="1"/>
  <c r="I49" i="15"/>
  <c r="I47" i="38"/>
  <c r="F48" i="15"/>
  <c r="F46" i="38"/>
  <c r="AL64" i="14"/>
  <c r="AM64" i="14" s="1"/>
  <c r="AO64" i="14" s="1"/>
  <c r="J49" i="15"/>
  <c r="J47" i="38"/>
  <c r="H48" i="15"/>
  <c r="H46" i="38"/>
  <c r="GR64" i="14"/>
  <c r="GS64" i="14" s="1"/>
  <c r="GU64" i="14" s="1"/>
  <c r="AG64" i="14"/>
  <c r="AH64" i="14" s="1"/>
  <c r="AJ64" i="14" s="1"/>
  <c r="BO64" i="14" s="1"/>
  <c r="CF64" i="14" s="1"/>
  <c r="BG67" i="14"/>
  <c r="AQ67" i="14"/>
  <c r="AT67" i="14" s="1"/>
  <c r="AU67" i="14" s="1"/>
  <c r="AV67" i="14" s="1"/>
  <c r="AN67" i="14"/>
  <c r="AY67" i="14"/>
  <c r="BN66" i="14"/>
  <c r="BX66" i="14" s="1"/>
  <c r="AK66" i="14"/>
  <c r="S63" i="14"/>
  <c r="AF63" i="14" s="1"/>
  <c r="GM63" i="14" s="1"/>
  <c r="GN63" i="14" s="1"/>
  <c r="HT66" i="14"/>
  <c r="ID66" i="14" s="1"/>
  <c r="GQ66" i="14"/>
  <c r="GT66" i="14" s="1"/>
  <c r="I62" i="14"/>
  <c r="G60" i="14"/>
  <c r="G44" i="38" s="1"/>
  <c r="G61" i="14"/>
  <c r="P20" i="6"/>
  <c r="F61" i="14"/>
  <c r="Q21" i="6"/>
  <c r="J61" i="14" s="1"/>
  <c r="J62" i="14"/>
  <c r="GO64" i="14"/>
  <c r="GQ64" i="14" s="1"/>
  <c r="GT64" i="14" s="1"/>
  <c r="GQ65" i="14"/>
  <c r="GT65" i="14" s="1"/>
  <c r="IY64" i="14"/>
  <c r="JA64" i="14" s="1"/>
  <c r="JB64" i="14" s="1"/>
  <c r="R65" i="14"/>
  <c r="P62" i="14"/>
  <c r="AE62" i="14" s="1"/>
  <c r="Q64" i="14"/>
  <c r="T63" i="14"/>
  <c r="IX63" i="14" s="1"/>
  <c r="IZ63" i="14" s="1"/>
  <c r="N21" i="6"/>
  <c r="AK65" i="14" l="1"/>
  <c r="AY65" i="14" s="1"/>
  <c r="AI64" i="14"/>
  <c r="BN64" i="14" s="1"/>
  <c r="BX64" i="14" s="1"/>
  <c r="I48" i="15"/>
  <c r="I46" i="38"/>
  <c r="J48" i="15"/>
  <c r="J46" i="38"/>
  <c r="J47" i="15"/>
  <c r="J45" i="38"/>
  <c r="G47" i="15"/>
  <c r="G45" i="38"/>
  <c r="F47" i="15"/>
  <c r="F45" i="38"/>
  <c r="AL63" i="14"/>
  <c r="AM63" i="14" s="1"/>
  <c r="AO63" i="14" s="1"/>
  <c r="AG63" i="14"/>
  <c r="AH63" i="14" s="1"/>
  <c r="AJ63" i="14" s="1"/>
  <c r="BO63" i="14" s="1"/>
  <c r="CF63" i="14" s="1"/>
  <c r="AW67" i="14"/>
  <c r="BB67" i="14" s="1"/>
  <c r="BC67" i="14" s="1"/>
  <c r="BD67" i="14" s="1"/>
  <c r="BE67" i="14" s="1"/>
  <c r="BJ67" i="14" s="1"/>
  <c r="BK67" i="14" s="1"/>
  <c r="BL67" i="14" s="1"/>
  <c r="BM67" i="14" s="1"/>
  <c r="BP67" i="14" s="1"/>
  <c r="GR63" i="14"/>
  <c r="GS63" i="14" s="1"/>
  <c r="GU63" i="14" s="1"/>
  <c r="Q60" i="14"/>
  <c r="G46" i="15"/>
  <c r="S62" i="14"/>
  <c r="AF62" i="14" s="1"/>
  <c r="GM62" i="14" s="1"/>
  <c r="GN62" i="14" s="1"/>
  <c r="GP62" i="14" s="1"/>
  <c r="HU62" i="14" s="1"/>
  <c r="IL62" i="14" s="1"/>
  <c r="BG66" i="14"/>
  <c r="AQ66" i="14"/>
  <c r="AT66" i="14" s="1"/>
  <c r="AU66" i="14" s="1"/>
  <c r="AV66" i="14" s="1"/>
  <c r="AY66" i="14"/>
  <c r="AN66" i="14"/>
  <c r="F60" i="14"/>
  <c r="Q20" i="6"/>
  <c r="J60" i="14" s="1"/>
  <c r="N20" i="6"/>
  <c r="H60" i="14" s="1"/>
  <c r="H44" i="38" s="1"/>
  <c r="H61" i="14"/>
  <c r="I60" i="14"/>
  <c r="I44" i="38" s="1"/>
  <c r="I61" i="14"/>
  <c r="HT64" i="14"/>
  <c r="ID64" i="14" s="1"/>
  <c r="AN65" i="14"/>
  <c r="AQ65" i="14"/>
  <c r="AT65" i="14" s="1"/>
  <c r="AU65" i="14" s="1"/>
  <c r="AV65" i="14" s="1"/>
  <c r="BG65" i="14"/>
  <c r="T61" i="14"/>
  <c r="IX61" i="14" s="1"/>
  <c r="IZ61" i="14" s="1"/>
  <c r="R64" i="14"/>
  <c r="P61" i="14"/>
  <c r="AE61" i="14" s="1"/>
  <c r="GO63" i="14"/>
  <c r="GP63" i="14"/>
  <c r="HU63" i="14" s="1"/>
  <c r="IL63" i="14" s="1"/>
  <c r="Q63" i="14"/>
  <c r="T62" i="14"/>
  <c r="IX62" i="14" s="1"/>
  <c r="IZ62" i="14" s="1"/>
  <c r="IY63" i="14"/>
  <c r="JA63" i="14" s="1"/>
  <c r="JB63" i="14" s="1"/>
  <c r="AK64" i="14" l="1"/>
  <c r="AQ64" i="14" s="1"/>
  <c r="AT64" i="14" s="1"/>
  <c r="AU64" i="14" s="1"/>
  <c r="AV64" i="14" s="1"/>
  <c r="J46" i="15"/>
  <c r="J44" i="38"/>
  <c r="F46" i="15"/>
  <c r="F44" i="38"/>
  <c r="I47" i="15"/>
  <c r="I45" i="38"/>
  <c r="AI63" i="14"/>
  <c r="BN63" i="14" s="1"/>
  <c r="BX63" i="14" s="1"/>
  <c r="H47" i="15"/>
  <c r="H45" i="38"/>
  <c r="AG62" i="14"/>
  <c r="AH62" i="14" s="1"/>
  <c r="AJ62" i="14" s="1"/>
  <c r="BO62" i="14" s="1"/>
  <c r="CF62" i="14" s="1"/>
  <c r="AL62" i="14"/>
  <c r="AM62" i="14" s="1"/>
  <c r="AO62" i="14" s="1"/>
  <c r="GR62" i="14"/>
  <c r="GS62" i="14" s="1"/>
  <c r="GU62" i="14" s="1"/>
  <c r="AW66" i="14"/>
  <c r="BB66" i="14" s="1"/>
  <c r="BC66" i="14" s="1"/>
  <c r="BD66" i="14" s="1"/>
  <c r="BE66" i="14" s="1"/>
  <c r="BJ66" i="14" s="1"/>
  <c r="BK66" i="14" s="1"/>
  <c r="BL66" i="14" s="1"/>
  <c r="BM66" i="14" s="1"/>
  <c r="BP66" i="14" s="1"/>
  <c r="S60" i="14"/>
  <c r="I46" i="15"/>
  <c r="S61" i="14"/>
  <c r="AF61" i="14" s="1"/>
  <c r="GM61" i="14" s="1"/>
  <c r="GN61" i="14" s="1"/>
  <c r="GP61" i="14" s="1"/>
  <c r="HU61" i="14" s="1"/>
  <c r="IL61" i="14" s="1"/>
  <c r="R60" i="14"/>
  <c r="H46" i="15"/>
  <c r="BG64" i="14"/>
  <c r="AY64" i="14"/>
  <c r="AN64" i="14"/>
  <c r="AW64" i="14" s="1"/>
  <c r="AW65" i="14"/>
  <c r="BB65" i="14" s="1"/>
  <c r="BC65" i="14" s="1"/>
  <c r="BD65" i="14" s="1"/>
  <c r="BE65" i="14" s="1"/>
  <c r="BJ65" i="14" s="1"/>
  <c r="BK65" i="14" s="1"/>
  <c r="BL65" i="14" s="1"/>
  <c r="BM65" i="14" s="1"/>
  <c r="BP65" i="14" s="1"/>
  <c r="GO62" i="14"/>
  <c r="GQ62" i="14" s="1"/>
  <c r="GT62" i="14" s="1"/>
  <c r="T60" i="14"/>
  <c r="IX60" i="14" s="1"/>
  <c r="IY62" i="14"/>
  <c r="JA62" i="14" s="1"/>
  <c r="JB62" i="14" s="1"/>
  <c r="P60" i="14"/>
  <c r="AE60" i="14" s="1"/>
  <c r="R63" i="14"/>
  <c r="IY61" i="14"/>
  <c r="JA61" i="14" s="1"/>
  <c r="JB61" i="14" s="1"/>
  <c r="Q62" i="14"/>
  <c r="HT63" i="14"/>
  <c r="ID63" i="14" s="1"/>
  <c r="GQ63" i="14"/>
  <c r="GT63" i="14" s="1"/>
  <c r="AF60" i="14" l="1"/>
  <c r="GM60" i="14" s="1"/>
  <c r="GN60" i="14" s="1"/>
  <c r="AK63" i="14"/>
  <c r="AN63" i="14" s="1"/>
  <c r="AI62" i="14"/>
  <c r="BN62" i="14" s="1"/>
  <c r="BX62" i="14" s="1"/>
  <c r="AG61" i="14"/>
  <c r="AH61" i="14" s="1"/>
  <c r="AJ61" i="14" s="1"/>
  <c r="BO61" i="14" s="1"/>
  <c r="CF61" i="14" s="1"/>
  <c r="GR61" i="14"/>
  <c r="GS61" i="14" s="1"/>
  <c r="GU61" i="14" s="1"/>
  <c r="AL61" i="14"/>
  <c r="AM61" i="14" s="1"/>
  <c r="AO61" i="14" s="1"/>
  <c r="BB64" i="14"/>
  <c r="BC64" i="14" s="1"/>
  <c r="BD64" i="14" s="1"/>
  <c r="BE64" i="14" s="1"/>
  <c r="BJ64" i="14" s="1"/>
  <c r="BK64" i="14" s="1"/>
  <c r="BL64" i="14" s="1"/>
  <c r="BM64" i="14" s="1"/>
  <c r="BP64" i="14" s="1"/>
  <c r="IZ60" i="14"/>
  <c r="IY60" i="14"/>
  <c r="AG60" i="14"/>
  <c r="AH60" i="14" s="1"/>
  <c r="AJ60" i="14" s="1"/>
  <c r="BO60" i="14" s="1"/>
  <c r="CF60" i="14" s="1"/>
  <c r="GR60" i="14"/>
  <c r="GS60" i="14" s="1"/>
  <c r="HT62" i="14"/>
  <c r="ID62" i="14" s="1"/>
  <c r="AL60" i="14"/>
  <c r="AM60" i="14" s="1"/>
  <c r="AO60" i="14" s="1"/>
  <c r="GO61" i="14"/>
  <c r="HT61" i="14" s="1"/>
  <c r="ID61" i="14" s="1"/>
  <c r="R62" i="14"/>
  <c r="Q61" i="14"/>
  <c r="CJ89" i="14" l="1"/>
  <c r="CJ87" i="14"/>
  <c r="CJ88" i="14"/>
  <c r="CJ86" i="14"/>
  <c r="AK62" i="14"/>
  <c r="AN62" i="14" s="1"/>
  <c r="AQ63" i="14"/>
  <c r="AT63" i="14" s="1"/>
  <c r="AU63" i="14" s="1"/>
  <c r="AV63" i="14" s="1"/>
  <c r="AW63" i="14" s="1"/>
  <c r="BB63" i="14" s="1"/>
  <c r="BC63" i="14" s="1"/>
  <c r="BD63" i="14" s="1"/>
  <c r="BE63" i="14" s="1"/>
  <c r="BJ63" i="14" s="1"/>
  <c r="BK63" i="14" s="1"/>
  <c r="BL63" i="14" s="1"/>
  <c r="BM63" i="14" s="1"/>
  <c r="BP63" i="14" s="1"/>
  <c r="AY63" i="14"/>
  <c r="BG63" i="14"/>
  <c r="GP60" i="14"/>
  <c r="GO60" i="14"/>
  <c r="AI61" i="14"/>
  <c r="BN61" i="14" s="1"/>
  <c r="BX61" i="14" s="1"/>
  <c r="JA60" i="14"/>
  <c r="JC60" i="14" s="1"/>
  <c r="GU60" i="14"/>
  <c r="AI60" i="14"/>
  <c r="AK60" i="14" s="1"/>
  <c r="BG60" i="14" s="1"/>
  <c r="AY62" i="14"/>
  <c r="AQ62" i="14"/>
  <c r="AT62" i="14" s="1"/>
  <c r="AU62" i="14" s="1"/>
  <c r="AV62" i="14" s="1"/>
  <c r="AW62" i="14" s="1"/>
  <c r="GQ61" i="14"/>
  <c r="GT61" i="14" s="1"/>
  <c r="R61" i="14"/>
  <c r="BG62" i="14" l="1"/>
  <c r="GQ60" i="14"/>
  <c r="GT60" i="14" s="1"/>
  <c r="JC68" i="14"/>
  <c r="AH52" i="38" s="1"/>
  <c r="JC64" i="14"/>
  <c r="AU50" i="15" s="1"/>
  <c r="BH50" i="15" s="1"/>
  <c r="JB60" i="14"/>
  <c r="JD60" i="14" s="1"/>
  <c r="AG44" i="38" s="1"/>
  <c r="AK61" i="14"/>
  <c r="BG61" i="14" s="1"/>
  <c r="JC61" i="14"/>
  <c r="AH45" i="38" s="1"/>
  <c r="JC65" i="14"/>
  <c r="AH49" i="38" s="1"/>
  <c r="JC69" i="14"/>
  <c r="AH53" i="38" s="1"/>
  <c r="JC66" i="14"/>
  <c r="AF50" i="38" s="1"/>
  <c r="JC63" i="14"/>
  <c r="AU49" i="15" s="1"/>
  <c r="BH49" i="15" s="1"/>
  <c r="JC67" i="14"/>
  <c r="AF51" i="38" s="1"/>
  <c r="JC62" i="14"/>
  <c r="AH46" i="38" s="1"/>
  <c r="AU46" i="15"/>
  <c r="BH46" i="15" s="1"/>
  <c r="AF44" i="38"/>
  <c r="AH44" i="38"/>
  <c r="BN60" i="14"/>
  <c r="CE61" i="14"/>
  <c r="CE156" i="14"/>
  <c r="CO156" i="14" s="1"/>
  <c r="CE149" i="14"/>
  <c r="CO149" i="14" s="1"/>
  <c r="CE157" i="14"/>
  <c r="CO157" i="14" s="1"/>
  <c r="CE155" i="14"/>
  <c r="CO155" i="14" s="1"/>
  <c r="CE154" i="14"/>
  <c r="CO154" i="14" s="1"/>
  <c r="CE148" i="14"/>
  <c r="CO148" i="14" s="1"/>
  <c r="CE147" i="14"/>
  <c r="CO147" i="14" s="1"/>
  <c r="CE153" i="14"/>
  <c r="CO153" i="14" s="1"/>
  <c r="CE160" i="14"/>
  <c r="CO160" i="14" s="1"/>
  <c r="CE152" i="14"/>
  <c r="CO152" i="14" s="1"/>
  <c r="CE158" i="14"/>
  <c r="CO158" i="14" s="1"/>
  <c r="CE151" i="14"/>
  <c r="CO151" i="14" s="1"/>
  <c r="CE159" i="14"/>
  <c r="CO159" i="14" s="1"/>
  <c r="CE150" i="14"/>
  <c r="CO150" i="14" s="1"/>
  <c r="CE145" i="14"/>
  <c r="CO145" i="14" s="1"/>
  <c r="CE146" i="14"/>
  <c r="CO146" i="14" s="1"/>
  <c r="CE144" i="14"/>
  <c r="CO144" i="14" s="1"/>
  <c r="CE143" i="14"/>
  <c r="CO143" i="14" s="1"/>
  <c r="CE142" i="14"/>
  <c r="CO142" i="14" s="1"/>
  <c r="CE139" i="14"/>
  <c r="CO139" i="14" s="1"/>
  <c r="CE141" i="14"/>
  <c r="CO141" i="14" s="1"/>
  <c r="CE140" i="14"/>
  <c r="CO140" i="14" s="1"/>
  <c r="CE136" i="14"/>
  <c r="CO136" i="14" s="1"/>
  <c r="CE138" i="14"/>
  <c r="CO138" i="14" s="1"/>
  <c r="CE137" i="14"/>
  <c r="CO137" i="14" s="1"/>
  <c r="CE133" i="14"/>
  <c r="CO133" i="14" s="1"/>
  <c r="CE134" i="14"/>
  <c r="CO134" i="14" s="1"/>
  <c r="CE135" i="14"/>
  <c r="CO135" i="14" s="1"/>
  <c r="CE131" i="14"/>
  <c r="CO131" i="14" s="1"/>
  <c r="CE132" i="14"/>
  <c r="CO132" i="14" s="1"/>
  <c r="CE129" i="14"/>
  <c r="CO129" i="14" s="1"/>
  <c r="CE128" i="14"/>
  <c r="CO128" i="14" s="1"/>
  <c r="CE130" i="14"/>
  <c r="CO130" i="14" s="1"/>
  <c r="CE127" i="14"/>
  <c r="CO127" i="14" s="1"/>
  <c r="CE126" i="14"/>
  <c r="CO126" i="14" s="1"/>
  <c r="CE123" i="14"/>
  <c r="CO123" i="14" s="1"/>
  <c r="CE124" i="14"/>
  <c r="CO124" i="14" s="1"/>
  <c r="CE125" i="14"/>
  <c r="CO125" i="14" s="1"/>
  <c r="CE121" i="14"/>
  <c r="CO121" i="14" s="1"/>
  <c r="CE120" i="14"/>
  <c r="CO120" i="14" s="1"/>
  <c r="CE122" i="14"/>
  <c r="CO122" i="14" s="1"/>
  <c r="CE119" i="14"/>
  <c r="CO119" i="14" s="1"/>
  <c r="CE117" i="14"/>
  <c r="CO117" i="14" s="1"/>
  <c r="CE118" i="14"/>
  <c r="CO118" i="14" s="1"/>
  <c r="CE113" i="14"/>
  <c r="CO113" i="14" s="1"/>
  <c r="CE116" i="14"/>
  <c r="CO116" i="14" s="1"/>
  <c r="CE115" i="14"/>
  <c r="CO115" i="14" s="1"/>
  <c r="CE114" i="14"/>
  <c r="CO114" i="14" s="1"/>
  <c r="CE112" i="14"/>
  <c r="CO112" i="14" s="1"/>
  <c r="CE111" i="14"/>
  <c r="CO111" i="14" s="1"/>
  <c r="CE109" i="14"/>
  <c r="CO109" i="14" s="1"/>
  <c r="CE108" i="14"/>
  <c r="CO108" i="14" s="1"/>
  <c r="CE110" i="14"/>
  <c r="CO110" i="14" s="1"/>
  <c r="CE107" i="14"/>
  <c r="CO107" i="14" s="1"/>
  <c r="CE106" i="14"/>
  <c r="CO106" i="14" s="1"/>
  <c r="CE105" i="14"/>
  <c r="CO105" i="14" s="1"/>
  <c r="CE104" i="14"/>
  <c r="CO104" i="14" s="1"/>
  <c r="CE102" i="14"/>
  <c r="CO102" i="14" s="1"/>
  <c r="CE103" i="14"/>
  <c r="CO103" i="14" s="1"/>
  <c r="CE101" i="14"/>
  <c r="CO101" i="14" s="1"/>
  <c r="CE100" i="14"/>
  <c r="CO100" i="14" s="1"/>
  <c r="CE98" i="14"/>
  <c r="CO98" i="14" s="1"/>
  <c r="CE99" i="14"/>
  <c r="CO99" i="14" s="1"/>
  <c r="CE97" i="14"/>
  <c r="CO97" i="14" s="1"/>
  <c r="CE94" i="14"/>
  <c r="CO94" i="14" s="1"/>
  <c r="CE96" i="14"/>
  <c r="CO96" i="14" s="1"/>
  <c r="CE95" i="14"/>
  <c r="CO95" i="14" s="1"/>
  <c r="CE92" i="14"/>
  <c r="CO92" i="14" s="1"/>
  <c r="CE93" i="14"/>
  <c r="CO93" i="14" s="1"/>
  <c r="CE91" i="14"/>
  <c r="CO91" i="14" s="1"/>
  <c r="CE88" i="14"/>
  <c r="CE90" i="14"/>
  <c r="CO90" i="14" s="1"/>
  <c r="CE89" i="14"/>
  <c r="CE87" i="14"/>
  <c r="CE86" i="14"/>
  <c r="CE85" i="14"/>
  <c r="CE83" i="14"/>
  <c r="CE84" i="14"/>
  <c r="CE80" i="14"/>
  <c r="CE82" i="14"/>
  <c r="CE81" i="14"/>
  <c r="CE79" i="14"/>
  <c r="CE76" i="14"/>
  <c r="CE77" i="14"/>
  <c r="CE78" i="14"/>
  <c r="CE75" i="14"/>
  <c r="CE72" i="14"/>
  <c r="CE74" i="14"/>
  <c r="CE73" i="14"/>
  <c r="CE70" i="14"/>
  <c r="CE71" i="14"/>
  <c r="CE68" i="14"/>
  <c r="CE67" i="14"/>
  <c r="CE69" i="14"/>
  <c r="CE66" i="14"/>
  <c r="CE65" i="14"/>
  <c r="CE64" i="14"/>
  <c r="CE62" i="14"/>
  <c r="CM60" i="14"/>
  <c r="CM146" i="14"/>
  <c r="CP146" i="14" s="1"/>
  <c r="CM160" i="14"/>
  <c r="CP160" i="14" s="1"/>
  <c r="CM152" i="14"/>
  <c r="CP152" i="14" s="1"/>
  <c r="CM158" i="14"/>
  <c r="CP158" i="14" s="1"/>
  <c r="CM151" i="14"/>
  <c r="CP151" i="14" s="1"/>
  <c r="CM148" i="14"/>
  <c r="CP148" i="14" s="1"/>
  <c r="CM159" i="14"/>
  <c r="CP159" i="14" s="1"/>
  <c r="CM150" i="14"/>
  <c r="CP150" i="14" s="1"/>
  <c r="CM156" i="14"/>
  <c r="CP156" i="14" s="1"/>
  <c r="CM149" i="14"/>
  <c r="CP149" i="14" s="1"/>
  <c r="CM157" i="14"/>
  <c r="CP157" i="14" s="1"/>
  <c r="CM155" i="14"/>
  <c r="CP155" i="14" s="1"/>
  <c r="CM154" i="14"/>
  <c r="CP154" i="14" s="1"/>
  <c r="CM147" i="14"/>
  <c r="CP147" i="14" s="1"/>
  <c r="CM153" i="14"/>
  <c r="CP153" i="14" s="1"/>
  <c r="CM145" i="14"/>
  <c r="CP145" i="14" s="1"/>
  <c r="CM144" i="14"/>
  <c r="CP144" i="14" s="1"/>
  <c r="CM143" i="14"/>
  <c r="CP143" i="14" s="1"/>
  <c r="CM141" i="14"/>
  <c r="CP141" i="14" s="1"/>
  <c r="CM142" i="14"/>
  <c r="CP142" i="14" s="1"/>
  <c r="CM139" i="14"/>
  <c r="CP139" i="14" s="1"/>
  <c r="CM140" i="14"/>
  <c r="CP140" i="14" s="1"/>
  <c r="CM138" i="14"/>
  <c r="CP138" i="14" s="1"/>
  <c r="CM137" i="14"/>
  <c r="CP137" i="14" s="1"/>
  <c r="CM135" i="14"/>
  <c r="CP135" i="14" s="1"/>
  <c r="CM136" i="14"/>
  <c r="CP136" i="14" s="1"/>
  <c r="CM132" i="14"/>
  <c r="CP132" i="14" s="1"/>
  <c r="CM134" i="14"/>
  <c r="CP134" i="14" s="1"/>
  <c r="CM133" i="14"/>
  <c r="CP133" i="14" s="1"/>
  <c r="CM130" i="14"/>
  <c r="CP130" i="14" s="1"/>
  <c r="CM129" i="14"/>
  <c r="CP129" i="14" s="1"/>
  <c r="CM131" i="14"/>
  <c r="CP131" i="14" s="1"/>
  <c r="CM127" i="14"/>
  <c r="CP127" i="14" s="1"/>
  <c r="CM128" i="14"/>
  <c r="CP128" i="14" s="1"/>
  <c r="CM125" i="14"/>
  <c r="CP125" i="14" s="1"/>
  <c r="CM126" i="14"/>
  <c r="CP126" i="14" s="1"/>
  <c r="CM122" i="14"/>
  <c r="CP122" i="14" s="1"/>
  <c r="CM124" i="14"/>
  <c r="CP124" i="14" s="1"/>
  <c r="CM123" i="14"/>
  <c r="CP123" i="14" s="1"/>
  <c r="CM121" i="14"/>
  <c r="CP121" i="14" s="1"/>
  <c r="CM120" i="14"/>
  <c r="CP120" i="14" s="1"/>
  <c r="CM118" i="14"/>
  <c r="CP118" i="14" s="1"/>
  <c r="CM117" i="14"/>
  <c r="CP117" i="14" s="1"/>
  <c r="CM119" i="14"/>
  <c r="CP119" i="14" s="1"/>
  <c r="CM115" i="14"/>
  <c r="CP115" i="14" s="1"/>
  <c r="CM116" i="14"/>
  <c r="CP116" i="14" s="1"/>
  <c r="CM114" i="14"/>
  <c r="CP114" i="14" s="1"/>
  <c r="CM111" i="14"/>
  <c r="CP111" i="14" s="1"/>
  <c r="CM113" i="14"/>
  <c r="CP113" i="14" s="1"/>
  <c r="CM110" i="14"/>
  <c r="CP110" i="14" s="1"/>
  <c r="CM112" i="14"/>
  <c r="CP112" i="14" s="1"/>
  <c r="CM109" i="14"/>
  <c r="CP109" i="14" s="1"/>
  <c r="CM107" i="14"/>
  <c r="CP107" i="14" s="1"/>
  <c r="CM106" i="14"/>
  <c r="CP106" i="14" s="1"/>
  <c r="CM108" i="14"/>
  <c r="CP108" i="14" s="1"/>
  <c r="CM105" i="14"/>
  <c r="CP105" i="14" s="1"/>
  <c r="CM104" i="14"/>
  <c r="CP104" i="14" s="1"/>
  <c r="CM101" i="14"/>
  <c r="CP101" i="14" s="1"/>
  <c r="CM103" i="14"/>
  <c r="CP103" i="14" s="1"/>
  <c r="CM102" i="14"/>
  <c r="CP102" i="14" s="1"/>
  <c r="CM100" i="14"/>
  <c r="CP100" i="14" s="1"/>
  <c r="CM99" i="14"/>
  <c r="CP99" i="14" s="1"/>
  <c r="CM98" i="14"/>
  <c r="CP98" i="14" s="1"/>
  <c r="CM96" i="14"/>
  <c r="CP96" i="14" s="1"/>
  <c r="CM95" i="14"/>
  <c r="CP95" i="14" s="1"/>
  <c r="CM97" i="14"/>
  <c r="CP97" i="14" s="1"/>
  <c r="CM93" i="14"/>
  <c r="CP93" i="14" s="1"/>
  <c r="CM94" i="14"/>
  <c r="CP94" i="14" s="1"/>
  <c r="CM90" i="14"/>
  <c r="CP90" i="14" s="1"/>
  <c r="CM91" i="14"/>
  <c r="CP91" i="14" s="1"/>
  <c r="CM92" i="14"/>
  <c r="CP92" i="14" s="1"/>
  <c r="CM89" i="14"/>
  <c r="CP89" i="14" s="1"/>
  <c r="CM88" i="14"/>
  <c r="CP88" i="14" s="1"/>
  <c r="CM86" i="14"/>
  <c r="CP86" i="14" s="1"/>
  <c r="CM87" i="14"/>
  <c r="CP87" i="14" s="1"/>
  <c r="CM85" i="14"/>
  <c r="CM83" i="14"/>
  <c r="CM82" i="14"/>
  <c r="CM84" i="14"/>
  <c r="CM81" i="14"/>
  <c r="CM80" i="14"/>
  <c r="CM79" i="14"/>
  <c r="CM77" i="14"/>
  <c r="CM78" i="14"/>
  <c r="CM75" i="14"/>
  <c r="CM76" i="14"/>
  <c r="CM73" i="14"/>
  <c r="CM74" i="14"/>
  <c r="CM72" i="14"/>
  <c r="CM71" i="14"/>
  <c r="CM70" i="14"/>
  <c r="CM69" i="14"/>
  <c r="CM66" i="14"/>
  <c r="CM67" i="14"/>
  <c r="CM68" i="14"/>
  <c r="CM64" i="14"/>
  <c r="CM65" i="14"/>
  <c r="CM62" i="14"/>
  <c r="CM61" i="14"/>
  <c r="CM63" i="14"/>
  <c r="CE63" i="14"/>
  <c r="BB62" i="14"/>
  <c r="BC62" i="14" s="1"/>
  <c r="BD62" i="14" s="1"/>
  <c r="BE62" i="14" s="1"/>
  <c r="BJ62" i="14" s="1"/>
  <c r="BK62" i="14" s="1"/>
  <c r="BL62" i="14" s="1"/>
  <c r="BM62" i="14" s="1"/>
  <c r="BP62" i="14" s="1"/>
  <c r="AN61" i="14"/>
  <c r="AQ61" i="14"/>
  <c r="AT61" i="14" s="1"/>
  <c r="AU61" i="14" s="1"/>
  <c r="AV61" i="14" s="1"/>
  <c r="AY61" i="14"/>
  <c r="AW46" i="15"/>
  <c r="BI46" i="15" s="1"/>
  <c r="AW55" i="15"/>
  <c r="BI55" i="15" s="1"/>
  <c r="AU55" i="15"/>
  <c r="BH55" i="15" s="1"/>
  <c r="JD68" i="14"/>
  <c r="JD65" i="14"/>
  <c r="JD62" i="14"/>
  <c r="JD69" i="14"/>
  <c r="AN60" i="14"/>
  <c r="AQ60" i="14"/>
  <c r="AT60" i="14" s="1"/>
  <c r="AU60" i="14" s="1"/>
  <c r="AV60" i="14" s="1"/>
  <c r="AY60" i="14"/>
  <c r="JD64" i="14" l="1"/>
  <c r="AF48" i="38"/>
  <c r="AH48" i="38"/>
  <c r="JD66" i="14"/>
  <c r="AW50" i="15"/>
  <c r="BI50" i="15" s="1"/>
  <c r="JD67" i="14"/>
  <c r="JD63" i="14"/>
  <c r="JD61" i="14"/>
  <c r="AI45" i="38" s="1"/>
  <c r="AW54" i="15"/>
  <c r="BI54" i="15" s="1"/>
  <c r="AU54" i="15"/>
  <c r="BH54" i="15" s="1"/>
  <c r="AW51" i="15"/>
  <c r="BI51" i="15" s="1"/>
  <c r="AU51" i="15"/>
  <c r="BH51" i="15" s="1"/>
  <c r="AF52" i="38"/>
  <c r="AI44" i="38"/>
  <c r="AU52" i="15"/>
  <c r="BH52" i="15" s="1"/>
  <c r="AW52" i="15"/>
  <c r="BI52" i="15" s="1"/>
  <c r="AU47" i="15"/>
  <c r="BH47" i="15" s="1"/>
  <c r="AF45" i="38"/>
  <c r="AW47" i="15"/>
  <c r="BI47" i="15" s="1"/>
  <c r="AW53" i="15"/>
  <c r="BI53" i="15" s="1"/>
  <c r="AU53" i="15"/>
  <c r="BH53" i="15" s="1"/>
  <c r="AF53" i="38"/>
  <c r="AF49" i="38"/>
  <c r="AH47" i="38"/>
  <c r="AW49" i="15"/>
  <c r="BI49" i="15" s="1"/>
  <c r="AF47" i="38"/>
  <c r="AH50" i="38"/>
  <c r="AW48" i="15"/>
  <c r="BI48" i="15" s="1"/>
  <c r="AH51" i="38"/>
  <c r="AF46" i="38"/>
  <c r="AU48" i="15"/>
  <c r="BH48" i="15" s="1"/>
  <c r="AH76" i="40"/>
  <c r="AH117" i="40"/>
  <c r="AH125" i="40"/>
  <c r="V77" i="38"/>
  <c r="AH78" i="40"/>
  <c r="V84" i="38"/>
  <c r="AH85" i="40"/>
  <c r="V94" i="38"/>
  <c r="AH95" i="40"/>
  <c r="V97" i="38"/>
  <c r="AH98" i="40"/>
  <c r="V108" i="38"/>
  <c r="AH109" i="40"/>
  <c r="V115" i="38"/>
  <c r="AH116" i="40"/>
  <c r="AH126" i="40"/>
  <c r="AH144" i="40"/>
  <c r="V138" i="38"/>
  <c r="AH139" i="40"/>
  <c r="V134" i="38"/>
  <c r="AH135" i="40"/>
  <c r="V76" i="38"/>
  <c r="AH77" i="40"/>
  <c r="V85" i="38"/>
  <c r="AH86" i="40"/>
  <c r="AH93" i="40"/>
  <c r="V102" i="38"/>
  <c r="AH103" i="40"/>
  <c r="V107" i="38"/>
  <c r="AH108" i="40"/>
  <c r="V119" i="38"/>
  <c r="AH120" i="40"/>
  <c r="V123" i="38"/>
  <c r="AH124" i="40"/>
  <c r="AH136" i="40"/>
  <c r="V139" i="38"/>
  <c r="AH140" i="40"/>
  <c r="V132" i="38"/>
  <c r="AH133" i="40"/>
  <c r="V79" i="38"/>
  <c r="AH80" i="40"/>
  <c r="V87" i="38"/>
  <c r="AH88" i="40"/>
  <c r="V93" i="38"/>
  <c r="AH94" i="40"/>
  <c r="V101" i="38"/>
  <c r="AH102" i="40"/>
  <c r="AH111" i="40"/>
  <c r="AH119" i="40"/>
  <c r="V126" i="38"/>
  <c r="AH127" i="40"/>
  <c r="V142" i="38"/>
  <c r="AH143" i="40"/>
  <c r="V141" i="38"/>
  <c r="AH142" i="40"/>
  <c r="V82" i="38"/>
  <c r="AH83" i="40"/>
  <c r="V109" i="38"/>
  <c r="AH110" i="40"/>
  <c r="V80" i="38"/>
  <c r="AH81" i="40"/>
  <c r="V86" i="38"/>
  <c r="AH87" i="40"/>
  <c r="V95" i="38"/>
  <c r="AH96" i="40"/>
  <c r="V103" i="38"/>
  <c r="AH104" i="40"/>
  <c r="V111" i="38"/>
  <c r="AH112" i="40"/>
  <c r="V117" i="38"/>
  <c r="AH118" i="40"/>
  <c r="V127" i="38"/>
  <c r="AH128" i="40"/>
  <c r="V136" i="38"/>
  <c r="AH137" i="40"/>
  <c r="V133" i="38"/>
  <c r="AH134" i="40"/>
  <c r="V78" i="38"/>
  <c r="AH79" i="40"/>
  <c r="V88" i="38"/>
  <c r="AH89" i="40"/>
  <c r="V96" i="38"/>
  <c r="AH97" i="40"/>
  <c r="V106" i="38"/>
  <c r="AH107" i="40"/>
  <c r="V114" i="38"/>
  <c r="AH115" i="40"/>
  <c r="V121" i="38"/>
  <c r="AH122" i="40"/>
  <c r="V128" i="38"/>
  <c r="AH129" i="40"/>
  <c r="V144" i="38"/>
  <c r="AH145" i="40"/>
  <c r="V140" i="38"/>
  <c r="AH141" i="40"/>
  <c r="V91" i="38"/>
  <c r="AH92" i="40"/>
  <c r="V74" i="38"/>
  <c r="AH75" i="40"/>
  <c r="V81" i="38"/>
  <c r="AH82" i="40"/>
  <c r="V89" i="38"/>
  <c r="AH90" i="40"/>
  <c r="V98" i="38"/>
  <c r="AH99" i="40"/>
  <c r="V104" i="38"/>
  <c r="AH105" i="40"/>
  <c r="V112" i="38"/>
  <c r="AH113" i="40"/>
  <c r="V122" i="38"/>
  <c r="AH123" i="40"/>
  <c r="V130" i="38"/>
  <c r="AH131" i="40"/>
  <c r="AH138" i="40"/>
  <c r="V100" i="38"/>
  <c r="AH101" i="40"/>
  <c r="AH84" i="40"/>
  <c r="V90" i="38"/>
  <c r="AH91" i="40"/>
  <c r="V99" i="38"/>
  <c r="AH100" i="40"/>
  <c r="V105" i="38"/>
  <c r="AH106" i="40"/>
  <c r="V113" i="38"/>
  <c r="AH114" i="40"/>
  <c r="V120" i="38"/>
  <c r="AH121" i="40"/>
  <c r="V129" i="38"/>
  <c r="AH130" i="40"/>
  <c r="V131" i="38"/>
  <c r="AH132" i="40"/>
  <c r="V144" i="15"/>
  <c r="W142" i="38"/>
  <c r="AG47" i="38"/>
  <c r="AI47" i="38"/>
  <c r="V73" i="15"/>
  <c r="W71" i="38"/>
  <c r="V79" i="15"/>
  <c r="W77" i="38"/>
  <c r="V89" i="15"/>
  <c r="W87" i="38"/>
  <c r="V98" i="15"/>
  <c r="W96" i="38"/>
  <c r="V103" i="15"/>
  <c r="W101" i="38"/>
  <c r="V111" i="15"/>
  <c r="W109" i="38"/>
  <c r="V118" i="15"/>
  <c r="W116" i="38"/>
  <c r="V127" i="15"/>
  <c r="W125" i="38"/>
  <c r="V143" i="15"/>
  <c r="W141" i="38"/>
  <c r="V138" i="15"/>
  <c r="W136" i="38"/>
  <c r="U77" i="15"/>
  <c r="V75" i="38"/>
  <c r="U118" i="15"/>
  <c r="V116" i="38"/>
  <c r="U126" i="15"/>
  <c r="V124" i="38"/>
  <c r="V141" i="15"/>
  <c r="W139" i="38"/>
  <c r="U85" i="15"/>
  <c r="V83" i="38"/>
  <c r="V72" i="15"/>
  <c r="W70" i="38"/>
  <c r="V83" i="15"/>
  <c r="W81" i="38"/>
  <c r="V87" i="15"/>
  <c r="W85" i="38"/>
  <c r="V96" i="15"/>
  <c r="W94" i="38"/>
  <c r="V104" i="15"/>
  <c r="W102" i="38"/>
  <c r="V114" i="15"/>
  <c r="W112" i="38"/>
  <c r="V122" i="15"/>
  <c r="W120" i="38"/>
  <c r="V129" i="15"/>
  <c r="W127" i="38"/>
  <c r="V135" i="15"/>
  <c r="W133" i="38"/>
  <c r="V146" i="15"/>
  <c r="W144" i="38"/>
  <c r="U127" i="15"/>
  <c r="V125" i="38"/>
  <c r="U145" i="15"/>
  <c r="V143" i="38"/>
  <c r="V95" i="15"/>
  <c r="W93" i="38"/>
  <c r="V120" i="15"/>
  <c r="W118" i="38"/>
  <c r="V74" i="15"/>
  <c r="W72" i="38"/>
  <c r="V81" i="15"/>
  <c r="W79" i="38"/>
  <c r="V90" i="15"/>
  <c r="W88" i="38"/>
  <c r="V99" i="15"/>
  <c r="W97" i="38"/>
  <c r="AW97" i="38" s="1"/>
  <c r="BB97" i="38" s="1"/>
  <c r="BC97" i="38" s="1"/>
  <c r="L98" i="40" s="1"/>
  <c r="V106" i="15"/>
  <c r="W104" i="38"/>
  <c r="V113" i="15"/>
  <c r="W111" i="38"/>
  <c r="V121" i="15"/>
  <c r="W119" i="38"/>
  <c r="V130" i="15"/>
  <c r="W128" i="38"/>
  <c r="V142" i="15"/>
  <c r="W140" i="38"/>
  <c r="V132" i="15"/>
  <c r="W130" i="38"/>
  <c r="U94" i="15"/>
  <c r="V92" i="38"/>
  <c r="U137" i="15"/>
  <c r="V135" i="38"/>
  <c r="V105" i="15"/>
  <c r="W103" i="38"/>
  <c r="AI51" i="38"/>
  <c r="AG51" i="38"/>
  <c r="V75" i="15"/>
  <c r="W73" i="38"/>
  <c r="V82" i="15"/>
  <c r="W80" i="38"/>
  <c r="V91" i="15"/>
  <c r="W89" i="38"/>
  <c r="V97" i="15"/>
  <c r="W95" i="38"/>
  <c r="V107" i="15"/>
  <c r="W105" i="38"/>
  <c r="V117" i="15"/>
  <c r="W115" i="38"/>
  <c r="V123" i="15"/>
  <c r="W121" i="38"/>
  <c r="V131" i="15"/>
  <c r="W129" i="38"/>
  <c r="V136" i="15"/>
  <c r="W134" i="38"/>
  <c r="U112" i="15"/>
  <c r="V110" i="38"/>
  <c r="U120" i="15"/>
  <c r="V118" i="38"/>
  <c r="AG50" i="38"/>
  <c r="AI50" i="38"/>
  <c r="V128" i="15"/>
  <c r="W126" i="38"/>
  <c r="AG49" i="38"/>
  <c r="AI49" i="38"/>
  <c r="AG48" i="38"/>
  <c r="AI48" i="38"/>
  <c r="V78" i="15"/>
  <c r="W76" i="38"/>
  <c r="V84" i="15"/>
  <c r="W82" i="38"/>
  <c r="V94" i="15"/>
  <c r="W92" i="38"/>
  <c r="V100" i="15"/>
  <c r="W98" i="38"/>
  <c r="V109" i="15"/>
  <c r="W107" i="38"/>
  <c r="V115" i="15"/>
  <c r="W113" i="38"/>
  <c r="V124" i="15"/>
  <c r="W122" i="38"/>
  <c r="V139" i="15"/>
  <c r="W137" i="38"/>
  <c r="V145" i="15"/>
  <c r="W143" i="38"/>
  <c r="V80" i="15"/>
  <c r="W78" i="38"/>
  <c r="V112" i="15"/>
  <c r="W110" i="38"/>
  <c r="V77" i="15"/>
  <c r="W75" i="38"/>
  <c r="V85" i="15"/>
  <c r="W83" i="38"/>
  <c r="V92" i="15"/>
  <c r="W90" i="38"/>
  <c r="V102" i="15"/>
  <c r="W100" i="38"/>
  <c r="V110" i="15"/>
  <c r="W108" i="38"/>
  <c r="V116" i="15"/>
  <c r="W114" i="38"/>
  <c r="V126" i="15"/>
  <c r="W124" i="38"/>
  <c r="V133" i="15"/>
  <c r="W131" i="38"/>
  <c r="V134" i="15"/>
  <c r="W132" i="38"/>
  <c r="V88" i="15"/>
  <c r="W86" i="38"/>
  <c r="AI53" i="38"/>
  <c r="AG53" i="38"/>
  <c r="AG52" i="38"/>
  <c r="AI52" i="38"/>
  <c r="AI46" i="38"/>
  <c r="AG46" i="38"/>
  <c r="V76" i="15"/>
  <c r="W74" i="38"/>
  <c r="V86" i="15"/>
  <c r="W84" i="38"/>
  <c r="V93" i="15"/>
  <c r="W91" i="38"/>
  <c r="V101" i="15"/>
  <c r="W99" i="38"/>
  <c r="V108" i="15"/>
  <c r="W106" i="38"/>
  <c r="V119" i="15"/>
  <c r="W117" i="38"/>
  <c r="V125" i="15"/>
  <c r="W123" i="38"/>
  <c r="V140" i="15"/>
  <c r="W138" i="38"/>
  <c r="V137" i="15"/>
  <c r="W135" i="38"/>
  <c r="U139" i="15"/>
  <c r="V137" i="38"/>
  <c r="AW60" i="14"/>
  <c r="BB60" i="14" s="1"/>
  <c r="BC60" i="14" s="1"/>
  <c r="BD60" i="14" s="1"/>
  <c r="BE60" i="14" s="1"/>
  <c r="BJ60" i="14" s="1"/>
  <c r="BK60" i="14" s="1"/>
  <c r="BL60" i="14" s="1"/>
  <c r="CE60" i="14"/>
  <c r="F10" i="16" s="1"/>
  <c r="U35" i="46" s="1"/>
  <c r="BX60" i="14"/>
  <c r="CB84" i="14" s="1"/>
  <c r="CO84" i="14" s="1"/>
  <c r="G10" i="16"/>
  <c r="V35" i="46" s="1"/>
  <c r="U84" i="15"/>
  <c r="U93" i="15"/>
  <c r="U102" i="15"/>
  <c r="U111" i="15"/>
  <c r="U136" i="15"/>
  <c r="U134" i="15"/>
  <c r="U79" i="15"/>
  <c r="U86" i="15"/>
  <c r="U96" i="15"/>
  <c r="U99" i="15"/>
  <c r="U110" i="15"/>
  <c r="U117" i="15"/>
  <c r="U140" i="15"/>
  <c r="U78" i="15"/>
  <c r="U87" i="15"/>
  <c r="U104" i="15"/>
  <c r="U109" i="15"/>
  <c r="U121" i="15"/>
  <c r="U125" i="15"/>
  <c r="CQ139" i="14"/>
  <c r="U141" i="15"/>
  <c r="U81" i="15"/>
  <c r="U89" i="15"/>
  <c r="U95" i="15"/>
  <c r="U103" i="15"/>
  <c r="U128" i="15"/>
  <c r="U144" i="15"/>
  <c r="U143" i="15"/>
  <c r="U82" i="15"/>
  <c r="U88" i="15"/>
  <c r="U97" i="15"/>
  <c r="U105" i="15"/>
  <c r="U113" i="15"/>
  <c r="U119" i="15"/>
  <c r="U129" i="15"/>
  <c r="U138" i="15"/>
  <c r="U135" i="15"/>
  <c r="U80" i="15"/>
  <c r="U90" i="15"/>
  <c r="U98" i="15"/>
  <c r="U108" i="15"/>
  <c r="U116" i="15"/>
  <c r="U123" i="15"/>
  <c r="U130" i="15"/>
  <c r="U146" i="15"/>
  <c r="U142" i="15"/>
  <c r="AW61" i="14"/>
  <c r="BB61" i="14" s="1"/>
  <c r="BC61" i="14" s="1"/>
  <c r="BD61" i="14" s="1"/>
  <c r="BE61" i="14" s="1"/>
  <c r="BJ61" i="14" s="1"/>
  <c r="BK61" i="14" s="1"/>
  <c r="BL61" i="14" s="1"/>
  <c r="BM61" i="14" s="1"/>
  <c r="BP61" i="14" s="1"/>
  <c r="U76" i="15"/>
  <c r="U83" i="15"/>
  <c r="U91" i="15"/>
  <c r="U100" i="15"/>
  <c r="U106" i="15"/>
  <c r="U114" i="15"/>
  <c r="U124" i="15"/>
  <c r="U132" i="15"/>
  <c r="U92" i="15"/>
  <c r="U101" i="15"/>
  <c r="U107" i="15"/>
  <c r="U115" i="15"/>
  <c r="U122" i="15"/>
  <c r="U131" i="15"/>
  <c r="U133" i="15"/>
  <c r="AX51" i="15"/>
  <c r="AV51" i="15"/>
  <c r="AV46" i="15"/>
  <c r="AX46" i="15"/>
  <c r="AX55" i="15"/>
  <c r="AV55" i="15"/>
  <c r="AV50" i="15"/>
  <c r="AX50" i="15"/>
  <c r="AX48" i="15"/>
  <c r="AV48" i="15"/>
  <c r="AV54" i="15"/>
  <c r="AX54" i="15"/>
  <c r="AX52" i="15"/>
  <c r="AV52" i="15"/>
  <c r="AV49" i="15"/>
  <c r="AX49" i="15"/>
  <c r="AV53" i="15"/>
  <c r="AX53" i="15"/>
  <c r="CJ60" i="14"/>
  <c r="CJ84" i="14"/>
  <c r="CP84" i="14" s="1"/>
  <c r="CJ85" i="14"/>
  <c r="CP85" i="14" s="1"/>
  <c r="CJ83" i="14"/>
  <c r="CP83" i="14" s="1"/>
  <c r="CJ82" i="14"/>
  <c r="CP82" i="14" s="1"/>
  <c r="CJ81" i="14"/>
  <c r="CP81" i="14" s="1"/>
  <c r="CJ80" i="14"/>
  <c r="CP80" i="14" s="1"/>
  <c r="CJ79" i="14"/>
  <c r="CP79" i="14" s="1"/>
  <c r="CJ78" i="14"/>
  <c r="CP78" i="14" s="1"/>
  <c r="CJ77" i="14"/>
  <c r="CP77" i="14" s="1"/>
  <c r="CJ76" i="14"/>
  <c r="CP76" i="14" s="1"/>
  <c r="CJ75" i="14"/>
  <c r="CP75" i="14" s="1"/>
  <c r="CJ74" i="14"/>
  <c r="CP74" i="14" s="1"/>
  <c r="CJ73" i="14"/>
  <c r="CP73" i="14" s="1"/>
  <c r="CJ72" i="14"/>
  <c r="CP72" i="14" s="1"/>
  <c r="CJ71" i="14"/>
  <c r="CP71" i="14" s="1"/>
  <c r="CJ70" i="14"/>
  <c r="CP70" i="14" s="1"/>
  <c r="CJ69" i="14"/>
  <c r="CP69" i="14" s="1"/>
  <c r="CJ68" i="14"/>
  <c r="CP68" i="14" s="1"/>
  <c r="CJ66" i="14"/>
  <c r="CP66" i="14" s="1"/>
  <c r="CJ67" i="14"/>
  <c r="CP67" i="14" s="1"/>
  <c r="CJ65" i="14"/>
  <c r="CP65" i="14" s="1"/>
  <c r="CJ63" i="14"/>
  <c r="CP63" i="14" s="1"/>
  <c r="CJ64" i="14"/>
  <c r="CP64" i="14" s="1"/>
  <c r="CJ62" i="14"/>
  <c r="CP62" i="14" s="1"/>
  <c r="CJ61" i="14"/>
  <c r="CP61" i="14" s="1"/>
  <c r="CB85" i="14"/>
  <c r="CO85" i="14" s="1"/>
  <c r="HU60" i="14"/>
  <c r="IL60" i="14" s="1"/>
  <c r="AV47" i="15" l="1"/>
  <c r="AX47" i="15"/>
  <c r="AG45" i="38"/>
  <c r="AW141" i="38"/>
  <c r="BB141" i="38" s="1"/>
  <c r="BC141" i="38" s="1"/>
  <c r="L142" i="40" s="1"/>
  <c r="AW101" i="38"/>
  <c r="BB101" i="38" s="1"/>
  <c r="BC101" i="38" s="1"/>
  <c r="L102" i="40" s="1"/>
  <c r="BF62" i="43" s="1"/>
  <c r="K30" i="45" s="1"/>
  <c r="AW76" i="38"/>
  <c r="BB76" i="38" s="1"/>
  <c r="BC76" i="38" s="1"/>
  <c r="L77" i="40" s="1"/>
  <c r="AW132" i="38"/>
  <c r="BB132" i="38" s="1"/>
  <c r="BC132" i="38" s="1"/>
  <c r="L133" i="40" s="1"/>
  <c r="AW87" i="38"/>
  <c r="BB87" i="38" s="1"/>
  <c r="BC87" i="38" s="1"/>
  <c r="L88" i="40" s="1"/>
  <c r="BJ82" i="38"/>
  <c r="CB83" i="14"/>
  <c r="CO83" i="14" s="1"/>
  <c r="U69" i="15" s="1"/>
  <c r="CB89" i="14"/>
  <c r="CO89" i="14" s="1"/>
  <c r="CB86" i="14"/>
  <c r="CO86" i="14" s="1"/>
  <c r="CB88" i="14"/>
  <c r="CO88" i="14" s="1"/>
  <c r="CB87" i="14"/>
  <c r="CO87" i="14" s="1"/>
  <c r="IP89" i="14"/>
  <c r="IP86" i="14"/>
  <c r="IP88" i="14"/>
  <c r="IP87" i="14"/>
  <c r="CB63" i="14"/>
  <c r="CO63" i="14" s="1"/>
  <c r="V47" i="38" s="1"/>
  <c r="AW93" i="38"/>
  <c r="BB93" i="38" s="1"/>
  <c r="BC93" i="38" s="1"/>
  <c r="L94" i="40" s="1"/>
  <c r="AW138" i="38"/>
  <c r="BB138" i="38" s="1"/>
  <c r="BC138" i="38" s="1"/>
  <c r="L139" i="40" s="1"/>
  <c r="CB60" i="14"/>
  <c r="CO60" i="14" s="1"/>
  <c r="AW107" i="38"/>
  <c r="BB107" i="38" s="1"/>
  <c r="BC107" i="38" s="1"/>
  <c r="L108" i="40" s="1"/>
  <c r="AW130" i="38"/>
  <c r="BB130" i="38" s="1"/>
  <c r="BC130" i="38" s="1"/>
  <c r="L131" i="40" s="1"/>
  <c r="CB67" i="14"/>
  <c r="CO67" i="14" s="1"/>
  <c r="U53" i="15" s="1"/>
  <c r="CB68" i="14"/>
  <c r="CO68" i="14" s="1"/>
  <c r="V52" i="38" s="1"/>
  <c r="CB73" i="14"/>
  <c r="CO73" i="14" s="1"/>
  <c r="U59" i="15" s="1"/>
  <c r="CB76" i="14"/>
  <c r="CO76" i="14" s="1"/>
  <c r="V60" i="38" s="1"/>
  <c r="AW111" i="38"/>
  <c r="BB111" i="38" s="1"/>
  <c r="BC111" i="38" s="1"/>
  <c r="L112" i="40" s="1"/>
  <c r="CB70" i="14"/>
  <c r="CO70" i="14" s="1"/>
  <c r="V54" i="38" s="1"/>
  <c r="AW91" i="38"/>
  <c r="BB91" i="38" s="1"/>
  <c r="BC91" i="38" s="1"/>
  <c r="L92" i="40" s="1"/>
  <c r="BF60" i="43" s="1"/>
  <c r="K28" i="45" s="1"/>
  <c r="AW98" i="38"/>
  <c r="BB98" i="38" s="1"/>
  <c r="BC98" i="38" s="1"/>
  <c r="L99" i="40" s="1"/>
  <c r="AW121" i="38"/>
  <c r="BB121" i="38" s="1"/>
  <c r="BC121" i="38" s="1"/>
  <c r="L122" i="40" s="1"/>
  <c r="AW103" i="38"/>
  <c r="BB103" i="38" s="1"/>
  <c r="BC103" i="38" s="1"/>
  <c r="L104" i="40" s="1"/>
  <c r="CB71" i="14"/>
  <c r="CO71" i="14" s="1"/>
  <c r="U57" i="15" s="1"/>
  <c r="AW90" i="38"/>
  <c r="BB90" i="38" s="1"/>
  <c r="BC90" i="38" s="1"/>
  <c r="L91" i="40" s="1"/>
  <c r="AW120" i="38"/>
  <c r="BB120" i="38" s="1"/>
  <c r="BC120" i="38" s="1"/>
  <c r="L121" i="40" s="1"/>
  <c r="BF66" i="43" s="1"/>
  <c r="K34" i="45" s="1"/>
  <c r="AW136" i="38"/>
  <c r="BB136" i="38" s="1"/>
  <c r="BC136" i="38" s="1"/>
  <c r="L137" i="40" s="1"/>
  <c r="AW99" i="38"/>
  <c r="BB99" i="38" s="1"/>
  <c r="BC99" i="38" s="1"/>
  <c r="L100" i="40" s="1"/>
  <c r="BJ108" i="38"/>
  <c r="W126" i="15"/>
  <c r="Z126" i="15" s="1"/>
  <c r="W94" i="15"/>
  <c r="Z94" i="15" s="1"/>
  <c r="BJ125" i="38"/>
  <c r="CB61" i="14"/>
  <c r="CO61" i="14" s="1"/>
  <c r="AH46" i="40" s="1"/>
  <c r="AW74" i="38"/>
  <c r="BB74" i="38" s="1"/>
  <c r="BC74" i="38" s="1"/>
  <c r="L75" i="40" s="1"/>
  <c r="AW119" i="38"/>
  <c r="BB119" i="38" s="1"/>
  <c r="BC119" i="38" s="1"/>
  <c r="L120" i="40" s="1"/>
  <c r="AW88" i="38"/>
  <c r="BB88" i="38" s="1"/>
  <c r="BC88" i="38" s="1"/>
  <c r="L89" i="40" s="1"/>
  <c r="O25" i="15"/>
  <c r="W18" i="46" s="1"/>
  <c r="BJ138" i="38"/>
  <c r="AW133" i="38"/>
  <c r="BB133" i="38" s="1"/>
  <c r="BC133" i="38" s="1"/>
  <c r="L134" i="40" s="1"/>
  <c r="AW96" i="38"/>
  <c r="BB96" i="38" s="1"/>
  <c r="BC96" i="38" s="1"/>
  <c r="L97" i="40" s="1"/>
  <c r="BJ86" i="38"/>
  <c r="AW100" i="38"/>
  <c r="BB100" i="38" s="1"/>
  <c r="BC100" i="38" s="1"/>
  <c r="L101" i="40" s="1"/>
  <c r="AW104" i="38"/>
  <c r="BB104" i="38" s="1"/>
  <c r="BC104" i="38" s="1"/>
  <c r="L105" i="40" s="1"/>
  <c r="AW94" i="38"/>
  <c r="BB94" i="38" s="1"/>
  <c r="BC94" i="38" s="1"/>
  <c r="L95" i="40" s="1"/>
  <c r="BJ134" i="38"/>
  <c r="AW80" i="38"/>
  <c r="BB80" i="38" s="1"/>
  <c r="BC80" i="38" s="1"/>
  <c r="L81" i="40" s="1"/>
  <c r="AW128" i="38"/>
  <c r="BB128" i="38" s="1"/>
  <c r="BC128" i="38" s="1"/>
  <c r="L129" i="40" s="1"/>
  <c r="AW85" i="38"/>
  <c r="BB85" i="38" s="1"/>
  <c r="BC85" i="38" s="1"/>
  <c r="L86" i="40" s="1"/>
  <c r="AW106" i="38"/>
  <c r="BB106" i="38" s="1"/>
  <c r="BC106" i="38" s="1"/>
  <c r="L107" i="40" s="1"/>
  <c r="AW86" i="38"/>
  <c r="BB86" i="38" s="1"/>
  <c r="BC86" i="38" s="1"/>
  <c r="L87" i="40" s="1"/>
  <c r="AW105" i="38"/>
  <c r="BB105" i="38" s="1"/>
  <c r="BC105" i="38" s="1"/>
  <c r="L106" i="40" s="1"/>
  <c r="AW144" i="38"/>
  <c r="BB144" i="38" s="1"/>
  <c r="BC144" i="38" s="1"/>
  <c r="L145" i="40" s="1"/>
  <c r="AW112" i="38"/>
  <c r="BB112" i="38" s="1"/>
  <c r="BC112" i="38" s="1"/>
  <c r="L113" i="40" s="1"/>
  <c r="CB68" i="43"/>
  <c r="AG36" i="45" s="1"/>
  <c r="CB61" i="43"/>
  <c r="AG29" i="45" s="1"/>
  <c r="BJ120" i="38"/>
  <c r="BJ85" i="38"/>
  <c r="W137" i="15"/>
  <c r="AC137" i="15" s="1"/>
  <c r="CB65" i="43"/>
  <c r="AG33" i="45" s="1"/>
  <c r="BJ139" i="38"/>
  <c r="CB66" i="43"/>
  <c r="AG34" i="45" s="1"/>
  <c r="CB60" i="43"/>
  <c r="AG28" i="45" s="1"/>
  <c r="CB70" i="43"/>
  <c r="AG38" i="45" s="1"/>
  <c r="CB69" i="43"/>
  <c r="AG37" i="45" s="1"/>
  <c r="CB57" i="43"/>
  <c r="AG25" i="45" s="1"/>
  <c r="W127" i="15"/>
  <c r="AC127" i="15" s="1"/>
  <c r="AW123" i="38"/>
  <c r="BB123" i="38" s="1"/>
  <c r="BC123" i="38" s="1"/>
  <c r="L124" i="40" s="1"/>
  <c r="AW131" i="38"/>
  <c r="BB131" i="38" s="1"/>
  <c r="BC131" i="38" s="1"/>
  <c r="L132" i="40" s="1"/>
  <c r="W112" i="15"/>
  <c r="AC112" i="15" s="1"/>
  <c r="BJ118" i="38"/>
  <c r="CB58" i="43"/>
  <c r="AG26" i="45" s="1"/>
  <c r="CB67" i="43"/>
  <c r="AG35" i="45" s="1"/>
  <c r="CB62" i="43"/>
  <c r="AG30" i="45" s="1"/>
  <c r="AW117" i="38"/>
  <c r="BB117" i="38" s="1"/>
  <c r="BC117" i="38" s="1"/>
  <c r="L118" i="40" s="1"/>
  <c r="CB63" i="43"/>
  <c r="AG31" i="45" s="1"/>
  <c r="CB71" i="43"/>
  <c r="AG39" i="45" s="1"/>
  <c r="CB59" i="43"/>
  <c r="AG27" i="45" s="1"/>
  <c r="CB64" i="43"/>
  <c r="AG32" i="45" s="1"/>
  <c r="AW139" i="38"/>
  <c r="BB139" i="38" s="1"/>
  <c r="BC139" i="38" s="1"/>
  <c r="L140" i="40" s="1"/>
  <c r="AW109" i="38"/>
  <c r="BB109" i="38" s="1"/>
  <c r="BC109" i="38" s="1"/>
  <c r="L110" i="40" s="1"/>
  <c r="AW77" i="38"/>
  <c r="BB77" i="38" s="1"/>
  <c r="BC77" i="38" s="1"/>
  <c r="L78" i="40" s="1"/>
  <c r="AW137" i="38"/>
  <c r="BB137" i="38" s="1"/>
  <c r="BC137" i="38" s="1"/>
  <c r="L138" i="40" s="1"/>
  <c r="AW126" i="38"/>
  <c r="BB126" i="38" s="1"/>
  <c r="BC126" i="38" s="1"/>
  <c r="L127" i="40" s="1"/>
  <c r="AW134" i="38"/>
  <c r="BB134" i="38" s="1"/>
  <c r="BC134" i="38" s="1"/>
  <c r="L135" i="40" s="1"/>
  <c r="BJ84" i="38"/>
  <c r="AW108" i="38"/>
  <c r="BB108" i="38" s="1"/>
  <c r="BC108" i="38" s="1"/>
  <c r="L109" i="40" s="1"/>
  <c r="O26" i="15"/>
  <c r="W19" i="46" s="1"/>
  <c r="AW81" i="38"/>
  <c r="BB81" i="38" s="1"/>
  <c r="BC81" i="38" s="1"/>
  <c r="L82" i="40" s="1"/>
  <c r="CB62" i="14"/>
  <c r="CO62" i="14" s="1"/>
  <c r="V46" i="38" s="1"/>
  <c r="CB74" i="14"/>
  <c r="CO74" i="14" s="1"/>
  <c r="V58" i="38" s="1"/>
  <c r="CB65" i="14"/>
  <c r="CO65" i="14" s="1"/>
  <c r="V49" i="38" s="1"/>
  <c r="CB78" i="14"/>
  <c r="CO78" i="14" s="1"/>
  <c r="AH63" i="40" s="1"/>
  <c r="CB77" i="14"/>
  <c r="CO77" i="14" s="1"/>
  <c r="AH62" i="40" s="1"/>
  <c r="CB69" i="14"/>
  <c r="CO69" i="14" s="1"/>
  <c r="V53" i="38" s="1"/>
  <c r="CB80" i="14"/>
  <c r="CO80" i="14" s="1"/>
  <c r="U66" i="15" s="1"/>
  <c r="CB79" i="14"/>
  <c r="CO79" i="14" s="1"/>
  <c r="U65" i="15" s="1"/>
  <c r="CB64" i="14"/>
  <c r="CO64" i="14" s="1"/>
  <c r="V48" i="38" s="1"/>
  <c r="CB72" i="14"/>
  <c r="CO72" i="14" s="1"/>
  <c r="V56" i="38" s="1"/>
  <c r="CB82" i="14"/>
  <c r="CO82" i="14" s="1"/>
  <c r="V66" i="38" s="1"/>
  <c r="CB81" i="14"/>
  <c r="CO81" i="14" s="1"/>
  <c r="V65" i="38" s="1"/>
  <c r="CB66" i="14"/>
  <c r="CO66" i="14" s="1"/>
  <c r="AH51" i="40" s="1"/>
  <c r="CB75" i="14"/>
  <c r="CO75" i="14" s="1"/>
  <c r="V59" i="38" s="1"/>
  <c r="AW82" i="38"/>
  <c r="BB82" i="38" s="1"/>
  <c r="BC82" i="38" s="1"/>
  <c r="L83" i="40" s="1"/>
  <c r="AW129" i="38"/>
  <c r="BB129" i="38" s="1"/>
  <c r="BC129" i="38" s="1"/>
  <c r="L130" i="40" s="1"/>
  <c r="AW79" i="38"/>
  <c r="BB79" i="38" s="1"/>
  <c r="BC79" i="38" s="1"/>
  <c r="L80" i="40" s="1"/>
  <c r="AW142" i="38"/>
  <c r="BB142" i="38" s="1"/>
  <c r="BC142" i="38" s="1"/>
  <c r="L143" i="40" s="1"/>
  <c r="W139" i="15"/>
  <c r="Z139" i="15" s="1"/>
  <c r="BJ143" i="38"/>
  <c r="BJ83" i="38"/>
  <c r="BJ75" i="38"/>
  <c r="W118" i="15"/>
  <c r="AC118" i="15" s="1"/>
  <c r="AW84" i="38"/>
  <c r="BB84" i="38" s="1"/>
  <c r="BC84" i="38" s="1"/>
  <c r="L85" i="40" s="1"/>
  <c r="AW115" i="38"/>
  <c r="BB115" i="38" s="1"/>
  <c r="BC115" i="38" s="1"/>
  <c r="L116" i="40" s="1"/>
  <c r="W131" i="15"/>
  <c r="Z131" i="15" s="1"/>
  <c r="BJ129" i="38"/>
  <c r="W76" i="15"/>
  <c r="AC76" i="15" s="1"/>
  <c r="BJ74" i="38"/>
  <c r="W98" i="15"/>
  <c r="Z98" i="15" s="1"/>
  <c r="BJ96" i="38"/>
  <c r="W113" i="15"/>
  <c r="AC113" i="15" s="1"/>
  <c r="BJ111" i="38"/>
  <c r="W120" i="15"/>
  <c r="Z120" i="15" s="1"/>
  <c r="W79" i="15"/>
  <c r="Z79" i="15" s="1"/>
  <c r="BJ77" i="38"/>
  <c r="AW78" i="38"/>
  <c r="BB78" i="38" s="1"/>
  <c r="BC78" i="38" s="1"/>
  <c r="L79" i="40" s="1"/>
  <c r="AW122" i="38"/>
  <c r="BB122" i="38" s="1"/>
  <c r="BC122" i="38" s="1"/>
  <c r="L123" i="40" s="1"/>
  <c r="W132" i="15"/>
  <c r="AC132" i="15" s="1"/>
  <c r="BJ130" i="38"/>
  <c r="W90" i="15"/>
  <c r="Z90" i="15" s="1"/>
  <c r="BJ88" i="38"/>
  <c r="W105" i="15"/>
  <c r="AC105" i="15" s="1"/>
  <c r="BJ103" i="38"/>
  <c r="W125" i="15"/>
  <c r="Z125" i="15" s="1"/>
  <c r="BJ123" i="38"/>
  <c r="W145" i="15"/>
  <c r="Z145" i="15" s="1"/>
  <c r="W134" i="15"/>
  <c r="Z134" i="15" s="1"/>
  <c r="BJ132" i="38"/>
  <c r="W77" i="15"/>
  <c r="Z77" i="15" s="1"/>
  <c r="BJ137" i="38"/>
  <c r="BJ110" i="38"/>
  <c r="BJ135" i="38"/>
  <c r="V68" i="38"/>
  <c r="AH69" i="40"/>
  <c r="W119" i="15"/>
  <c r="Z119" i="15" s="1"/>
  <c r="BJ117" i="38"/>
  <c r="W80" i="15"/>
  <c r="AC80" i="15" s="1"/>
  <c r="BJ78" i="38"/>
  <c r="AW114" i="38"/>
  <c r="BB114" i="38" s="1"/>
  <c r="BC114" i="38" s="1"/>
  <c r="L115" i="40" s="1"/>
  <c r="AW113" i="38"/>
  <c r="BB113" i="38" s="1"/>
  <c r="BC113" i="38" s="1"/>
  <c r="L114" i="40" s="1"/>
  <c r="W133" i="15"/>
  <c r="AC133" i="15" s="1"/>
  <c r="BJ131" i="38"/>
  <c r="W115" i="15"/>
  <c r="AC115" i="15" s="1"/>
  <c r="BJ113" i="38"/>
  <c r="W124" i="15"/>
  <c r="Z124" i="15" s="1"/>
  <c r="BJ122" i="38"/>
  <c r="W142" i="15"/>
  <c r="Z142" i="15" s="1"/>
  <c r="BJ140" i="38"/>
  <c r="W97" i="15"/>
  <c r="AC97" i="15" s="1"/>
  <c r="BJ95" i="38"/>
  <c r="W103" i="15"/>
  <c r="Z103" i="15" s="1"/>
  <c r="BJ101" i="38"/>
  <c r="W121" i="15"/>
  <c r="AC121" i="15" s="1"/>
  <c r="BJ119" i="38"/>
  <c r="W107" i="15"/>
  <c r="AC107" i="15" s="1"/>
  <c r="BJ105" i="38"/>
  <c r="W114" i="15"/>
  <c r="AC114" i="15" s="1"/>
  <c r="BJ112" i="38"/>
  <c r="W146" i="15"/>
  <c r="Z146" i="15" s="1"/>
  <c r="BJ144" i="38"/>
  <c r="W95" i="15"/>
  <c r="Z95" i="15" s="1"/>
  <c r="BJ93" i="38"/>
  <c r="W109" i="15"/>
  <c r="Z109" i="15" s="1"/>
  <c r="BJ107" i="38"/>
  <c r="W117" i="15"/>
  <c r="AC117" i="15" s="1"/>
  <c r="BJ115" i="38"/>
  <c r="BJ92" i="38"/>
  <c r="BJ124" i="38"/>
  <c r="W108" i="15"/>
  <c r="AC108" i="15" s="1"/>
  <c r="BJ106" i="38"/>
  <c r="W128" i="15"/>
  <c r="AC128" i="15" s="1"/>
  <c r="BJ126" i="38"/>
  <c r="W93" i="15"/>
  <c r="Z93" i="15" s="1"/>
  <c r="BJ91" i="38"/>
  <c r="W101" i="15"/>
  <c r="Z101" i="15" s="1"/>
  <c r="BJ99" i="38"/>
  <c r="W106" i="15"/>
  <c r="AC106" i="15" s="1"/>
  <c r="BJ104" i="38"/>
  <c r="W130" i="15"/>
  <c r="Z130" i="15" s="1"/>
  <c r="BJ128" i="38"/>
  <c r="W135" i="15"/>
  <c r="Z135" i="15" s="1"/>
  <c r="BJ133" i="38"/>
  <c r="W82" i="15"/>
  <c r="Z82" i="15" s="1"/>
  <c r="BJ80" i="38"/>
  <c r="W89" i="15"/>
  <c r="AC89" i="15" s="1"/>
  <c r="BJ87" i="38"/>
  <c r="W104" i="15"/>
  <c r="AC104" i="15" s="1"/>
  <c r="BJ102" i="38"/>
  <c r="AW95" i="38"/>
  <c r="BB95" i="38" s="1"/>
  <c r="BC95" i="38" s="1"/>
  <c r="L96" i="40" s="1"/>
  <c r="AW102" i="38"/>
  <c r="BB102" i="38" s="1"/>
  <c r="BC102" i="38" s="1"/>
  <c r="L103" i="40" s="1"/>
  <c r="AW116" i="38"/>
  <c r="BB116" i="38" s="1"/>
  <c r="BC116" i="38" s="1"/>
  <c r="L117" i="40" s="1"/>
  <c r="W78" i="15"/>
  <c r="AC78" i="15" s="1"/>
  <c r="BJ76" i="38"/>
  <c r="W92" i="15"/>
  <c r="Z92" i="15" s="1"/>
  <c r="BJ90" i="38"/>
  <c r="W100" i="15"/>
  <c r="AC100" i="15" s="1"/>
  <c r="BJ98" i="38"/>
  <c r="W123" i="15"/>
  <c r="Z123" i="15" s="1"/>
  <c r="BJ121" i="38"/>
  <c r="W138" i="15"/>
  <c r="Z138" i="15" s="1"/>
  <c r="BJ136" i="38"/>
  <c r="W143" i="15"/>
  <c r="Z143" i="15" s="1"/>
  <c r="BJ141" i="38"/>
  <c r="W81" i="15"/>
  <c r="AC81" i="15" s="1"/>
  <c r="BJ79" i="38"/>
  <c r="W99" i="15"/>
  <c r="Z99" i="15" s="1"/>
  <c r="BJ97" i="38"/>
  <c r="W111" i="15"/>
  <c r="AC111" i="15" s="1"/>
  <c r="BJ109" i="38"/>
  <c r="BJ116" i="38"/>
  <c r="W83" i="15"/>
  <c r="AC83" i="15" s="1"/>
  <c r="BJ81" i="38"/>
  <c r="V69" i="38"/>
  <c r="AH70" i="40"/>
  <c r="W85" i="15"/>
  <c r="Z85" i="15" s="1"/>
  <c r="W91" i="15"/>
  <c r="Z91" i="15" s="1"/>
  <c r="BJ89" i="38"/>
  <c r="W116" i="15"/>
  <c r="Z116" i="15" s="1"/>
  <c r="BJ114" i="38"/>
  <c r="W129" i="15"/>
  <c r="Z129" i="15" s="1"/>
  <c r="BJ127" i="38"/>
  <c r="W144" i="15"/>
  <c r="Z144" i="15" s="1"/>
  <c r="BJ142" i="38"/>
  <c r="W96" i="15"/>
  <c r="AC96" i="15" s="1"/>
  <c r="BJ94" i="38"/>
  <c r="W102" i="15"/>
  <c r="AC102" i="15" s="1"/>
  <c r="BJ100" i="38"/>
  <c r="AW89" i="38"/>
  <c r="BB89" i="38" s="1"/>
  <c r="BC89" i="38" s="1"/>
  <c r="L90" i="40" s="1"/>
  <c r="AW140" i="38"/>
  <c r="BB140" i="38" s="1"/>
  <c r="BC140" i="38" s="1"/>
  <c r="L141" i="40" s="1"/>
  <c r="AW127" i="38"/>
  <c r="BB127" i="38" s="1"/>
  <c r="BC127" i="38" s="1"/>
  <c r="L128" i="40" s="1"/>
  <c r="AW124" i="38"/>
  <c r="BB124" i="38" s="1"/>
  <c r="BC124" i="38" s="1"/>
  <c r="L125" i="40" s="1"/>
  <c r="AW92" i="38"/>
  <c r="BB92" i="38" s="1"/>
  <c r="BC92" i="38" s="1"/>
  <c r="L93" i="40" s="1"/>
  <c r="AW118" i="38"/>
  <c r="BB118" i="38" s="1"/>
  <c r="BC118" i="38" s="1"/>
  <c r="L119" i="40" s="1"/>
  <c r="AW143" i="38"/>
  <c r="BB143" i="38" s="1"/>
  <c r="BC143" i="38" s="1"/>
  <c r="L144" i="40" s="1"/>
  <c r="AW83" i="38"/>
  <c r="BB83" i="38" s="1"/>
  <c r="BC83" i="38" s="1"/>
  <c r="L84" i="40" s="1"/>
  <c r="AW75" i="38"/>
  <c r="BB75" i="38" s="1"/>
  <c r="BC75" i="38" s="1"/>
  <c r="L76" i="40" s="1"/>
  <c r="AW110" i="38"/>
  <c r="BB110" i="38" s="1"/>
  <c r="BC110" i="38" s="1"/>
  <c r="L111" i="40" s="1"/>
  <c r="AW135" i="38"/>
  <c r="BB135" i="38" s="1"/>
  <c r="BC135" i="38" s="1"/>
  <c r="L136" i="40" s="1"/>
  <c r="AW125" i="38"/>
  <c r="BB125" i="38" s="1"/>
  <c r="BC125" i="38" s="1"/>
  <c r="L126" i="40" s="1"/>
  <c r="W136" i="15"/>
  <c r="Z136" i="15" s="1"/>
  <c r="W110" i="15"/>
  <c r="Z110" i="15" s="1"/>
  <c r="W86" i="15"/>
  <c r="AC86" i="15" s="1"/>
  <c r="W140" i="15"/>
  <c r="Z140" i="15" s="1"/>
  <c r="W88" i="15"/>
  <c r="Z88" i="15" s="1"/>
  <c r="V51" i="15"/>
  <c r="W49" i="38"/>
  <c r="V59" i="15"/>
  <c r="W57" i="38"/>
  <c r="V67" i="15"/>
  <c r="W65" i="38"/>
  <c r="V49" i="15"/>
  <c r="W47" i="38"/>
  <c r="V53" i="15"/>
  <c r="W51" i="38"/>
  <c r="V60" i="15"/>
  <c r="W58" i="38"/>
  <c r="V68" i="15"/>
  <c r="W66" i="38"/>
  <c r="V52" i="15"/>
  <c r="W50" i="38"/>
  <c r="V61" i="15"/>
  <c r="W59" i="38"/>
  <c r="V69" i="15"/>
  <c r="W67" i="38"/>
  <c r="V54" i="15"/>
  <c r="W52" i="38"/>
  <c r="V62" i="15"/>
  <c r="W60" i="38"/>
  <c r="V71" i="15"/>
  <c r="W69" i="38"/>
  <c r="W141" i="15"/>
  <c r="Z141" i="15" s="1"/>
  <c r="W87" i="15"/>
  <c r="AC87" i="15" s="1"/>
  <c r="V58" i="15"/>
  <c r="W56" i="38"/>
  <c r="V47" i="15"/>
  <c r="W45" i="38"/>
  <c r="V55" i="15"/>
  <c r="W53" i="38"/>
  <c r="V63" i="15"/>
  <c r="W61" i="38"/>
  <c r="V70" i="15"/>
  <c r="W68" i="38"/>
  <c r="W122" i="15"/>
  <c r="Z122" i="15" s="1"/>
  <c r="V48" i="15"/>
  <c r="W46" i="38"/>
  <c r="V56" i="15"/>
  <c r="W54" i="38"/>
  <c r="V64" i="15"/>
  <c r="W62" i="38"/>
  <c r="W84" i="15"/>
  <c r="Z84" i="15" s="1"/>
  <c r="V66" i="15"/>
  <c r="W64" i="38"/>
  <c r="V50" i="15"/>
  <c r="W48" i="38"/>
  <c r="V57" i="15"/>
  <c r="W55" i="38"/>
  <c r="V65" i="15"/>
  <c r="W63" i="38"/>
  <c r="BM60" i="14"/>
  <c r="BP60" i="14" s="1"/>
  <c r="V35" i="1"/>
  <c r="G17" i="16"/>
  <c r="BW61" i="14"/>
  <c r="DZ139" i="14"/>
  <c r="CR139" i="14"/>
  <c r="U35" i="1"/>
  <c r="F17" i="16"/>
  <c r="U71" i="15"/>
  <c r="U70" i="15"/>
  <c r="CP60" i="14"/>
  <c r="G7" i="16"/>
  <c r="IP84" i="14"/>
  <c r="IP85" i="14"/>
  <c r="IP83" i="14"/>
  <c r="IP82" i="14"/>
  <c r="IP81" i="14"/>
  <c r="IP80" i="14"/>
  <c r="IP79" i="14"/>
  <c r="IP78" i="14"/>
  <c r="IP76" i="14"/>
  <c r="IP77" i="14"/>
  <c r="IP75" i="14"/>
  <c r="IP74" i="14"/>
  <c r="IP73" i="14"/>
  <c r="IP72" i="14"/>
  <c r="IP70" i="14"/>
  <c r="IP71" i="14"/>
  <c r="IP69" i="14"/>
  <c r="IP68" i="14"/>
  <c r="IP67" i="14"/>
  <c r="IP66" i="14"/>
  <c r="IP64" i="14"/>
  <c r="IP65" i="14"/>
  <c r="IP63" i="14"/>
  <c r="IP62" i="14"/>
  <c r="IP61" i="14"/>
  <c r="HT60" i="14"/>
  <c r="ID60" i="14" s="1"/>
  <c r="W18" i="1" l="1"/>
  <c r="U56" i="15"/>
  <c r="U52" i="15"/>
  <c r="AH68" i="40"/>
  <c r="CB55" i="43" s="1"/>
  <c r="AG23" i="45" s="1"/>
  <c r="V67" i="38"/>
  <c r="AW67" i="38" s="1"/>
  <c r="BB67" i="38" s="1"/>
  <c r="BC67" i="38" s="1"/>
  <c r="L68" i="40" s="1"/>
  <c r="AH55" i="40"/>
  <c r="Z115" i="15"/>
  <c r="AH48" i="40"/>
  <c r="U49" i="15"/>
  <c r="W49" i="15" s="1"/>
  <c r="Z49" i="15" s="1"/>
  <c r="V50" i="38"/>
  <c r="AW50" i="38" s="1"/>
  <c r="BB50" i="38" s="1"/>
  <c r="BC50" i="38" s="1"/>
  <c r="L51" i="40" s="1"/>
  <c r="AC126" i="15"/>
  <c r="AH52" i="40"/>
  <c r="BT86" i="14"/>
  <c r="BT89" i="14"/>
  <c r="BT88" i="14"/>
  <c r="BT87" i="14"/>
  <c r="V51" i="38"/>
  <c r="AW51" i="38" s="1"/>
  <c r="BB51" i="38" s="1"/>
  <c r="BC51" i="38" s="1"/>
  <c r="L52" i="40" s="1"/>
  <c r="IH89" i="14"/>
  <c r="IH87" i="14"/>
  <c r="IH86" i="14"/>
  <c r="IH88" i="14"/>
  <c r="AH72" i="40"/>
  <c r="U73" i="15"/>
  <c r="V71" i="38"/>
  <c r="AW71" i="38" s="1"/>
  <c r="BB71" i="38" s="1"/>
  <c r="BC71" i="38" s="1"/>
  <c r="L72" i="40" s="1"/>
  <c r="V72" i="38"/>
  <c r="AW72" i="38" s="1"/>
  <c r="BB72" i="38" s="1"/>
  <c r="BC72" i="38" s="1"/>
  <c r="L73" i="40" s="1"/>
  <c r="BF56" i="43" s="1"/>
  <c r="K24" i="45" s="1"/>
  <c r="AH73" i="40"/>
  <c r="CB56" i="43" s="1"/>
  <c r="AG24" i="45" s="1"/>
  <c r="U74" i="15"/>
  <c r="AH71" i="40"/>
  <c r="U72" i="15"/>
  <c r="V70" i="38"/>
  <c r="AW70" i="38" s="1"/>
  <c r="BB70" i="38" s="1"/>
  <c r="BC70" i="38" s="1"/>
  <c r="L71" i="40" s="1"/>
  <c r="AH74" i="40"/>
  <c r="U75" i="15"/>
  <c r="V73" i="38"/>
  <c r="AW73" i="38" s="1"/>
  <c r="BB73" i="38" s="1"/>
  <c r="BC73" i="38" s="1"/>
  <c r="L74" i="40" s="1"/>
  <c r="AC94" i="15"/>
  <c r="AH53" i="40"/>
  <c r="U54" i="15"/>
  <c r="BJ52" i="38" s="1"/>
  <c r="AH58" i="40"/>
  <c r="V57" i="38"/>
  <c r="AW57" i="38" s="1"/>
  <c r="BB57" i="38" s="1"/>
  <c r="BC57" i="38" s="1"/>
  <c r="L58" i="40" s="1"/>
  <c r="AH67" i="40"/>
  <c r="U62" i="15"/>
  <c r="W62" i="15" s="1"/>
  <c r="AC62" i="15" s="1"/>
  <c r="Z127" i="15"/>
  <c r="U68" i="15"/>
  <c r="W68" i="15" s="1"/>
  <c r="Z68" i="15" s="1"/>
  <c r="AH61" i="40"/>
  <c r="U58" i="15"/>
  <c r="W58" i="15" s="1"/>
  <c r="AC58" i="15" s="1"/>
  <c r="U60" i="15"/>
  <c r="BJ58" i="38" s="1"/>
  <c r="AH59" i="40"/>
  <c r="CB53" i="43" s="1"/>
  <c r="AG21" i="45" s="1"/>
  <c r="Z89" i="15"/>
  <c r="V61" i="38"/>
  <c r="AW61" i="38" s="1"/>
  <c r="BB61" i="38" s="1"/>
  <c r="BC61" i="38" s="1"/>
  <c r="L62" i="40" s="1"/>
  <c r="AH56" i="40"/>
  <c r="U63" i="15"/>
  <c r="W63" i="15" s="1"/>
  <c r="AC63" i="15" s="1"/>
  <c r="U47" i="15"/>
  <c r="W47" i="15" s="1"/>
  <c r="Z47" i="15" s="1"/>
  <c r="AC131" i="15"/>
  <c r="AC136" i="15"/>
  <c r="V55" i="38"/>
  <c r="AW55" i="38" s="1"/>
  <c r="BB55" i="38" s="1"/>
  <c r="BC55" i="38" s="1"/>
  <c r="L56" i="40" s="1"/>
  <c r="Z113" i="15"/>
  <c r="Z137" i="15"/>
  <c r="V45" i="38"/>
  <c r="AW45" i="38" s="1"/>
  <c r="BB45" i="38" s="1"/>
  <c r="BC45" i="38" s="1"/>
  <c r="L46" i="40" s="1"/>
  <c r="U51" i="15"/>
  <c r="W51" i="15" s="1"/>
  <c r="AC51" i="15" s="1"/>
  <c r="Z132" i="15"/>
  <c r="AW66" i="38"/>
  <c r="BB66" i="38" s="1"/>
  <c r="BC66" i="38" s="1"/>
  <c r="L67" i="40" s="1"/>
  <c r="BF61" i="43"/>
  <c r="K29" i="45" s="1"/>
  <c r="Z81" i="15"/>
  <c r="AH57" i="40"/>
  <c r="AH50" i="40"/>
  <c r="AC103" i="15"/>
  <c r="U50" i="15"/>
  <c r="W50" i="15" s="1"/>
  <c r="Z50" i="15" s="1"/>
  <c r="AC135" i="15"/>
  <c r="BJ63" i="38"/>
  <c r="Z118" i="15"/>
  <c r="AW49" i="38"/>
  <c r="BB49" i="38" s="1"/>
  <c r="BC49" i="38" s="1"/>
  <c r="L50" i="40" s="1"/>
  <c r="AC145" i="15"/>
  <c r="Z133" i="15"/>
  <c r="AH64" i="40"/>
  <c r="Z112" i="15"/>
  <c r="AC142" i="15"/>
  <c r="Z117" i="15"/>
  <c r="V63" i="38"/>
  <c r="AW63" i="38" s="1"/>
  <c r="BB63" i="38" s="1"/>
  <c r="BC63" i="38" s="1"/>
  <c r="L64" i="40" s="1"/>
  <c r="U48" i="15"/>
  <c r="W48" i="15" s="1"/>
  <c r="Z48" i="15" s="1"/>
  <c r="Z106" i="15"/>
  <c r="AC98" i="15"/>
  <c r="AH47" i="40"/>
  <c r="Z83" i="15"/>
  <c r="AC85" i="15"/>
  <c r="BF67" i="43"/>
  <c r="K35" i="45" s="1"/>
  <c r="BF69" i="43"/>
  <c r="K37" i="45" s="1"/>
  <c r="U67" i="15"/>
  <c r="W67" i="15" s="1"/>
  <c r="Z67" i="15" s="1"/>
  <c r="AC138" i="15"/>
  <c r="BF65" i="43"/>
  <c r="K33" i="45" s="1"/>
  <c r="AC90" i="15"/>
  <c r="BF64" i="43"/>
  <c r="K32" i="45" s="1"/>
  <c r="BF57" i="43"/>
  <c r="K25" i="45" s="1"/>
  <c r="BF71" i="43"/>
  <c r="K39" i="45" s="1"/>
  <c r="AC139" i="15"/>
  <c r="Z111" i="15"/>
  <c r="BF68" i="43"/>
  <c r="K36" i="45" s="1"/>
  <c r="V32" i="1"/>
  <c r="V32" i="46"/>
  <c r="U64" i="15"/>
  <c r="BJ62" i="38" s="1"/>
  <c r="BF58" i="43"/>
  <c r="K26" i="45" s="1"/>
  <c r="BF70" i="43"/>
  <c r="K38" i="45" s="1"/>
  <c r="BF63" i="43"/>
  <c r="K31" i="45" s="1"/>
  <c r="AC116" i="15"/>
  <c r="BF59" i="43"/>
  <c r="K27" i="45" s="1"/>
  <c r="V62" i="38"/>
  <c r="AW62" i="38" s="1"/>
  <c r="BB62" i="38" s="1"/>
  <c r="BC62" i="38" s="1"/>
  <c r="L63" i="40" s="1"/>
  <c r="W19" i="1"/>
  <c r="AC93" i="15"/>
  <c r="AC143" i="15"/>
  <c r="Z86" i="15"/>
  <c r="AC110" i="15"/>
  <c r="AC120" i="15"/>
  <c r="AC129" i="15"/>
  <c r="AC77" i="15"/>
  <c r="AC92" i="15"/>
  <c r="Z87" i="15"/>
  <c r="Z96" i="15"/>
  <c r="Z102" i="15"/>
  <c r="Z80" i="15"/>
  <c r="U61" i="15"/>
  <c r="W61" i="15" s="1"/>
  <c r="Z61" i="15" s="1"/>
  <c r="Z114" i="15"/>
  <c r="AW56" i="38"/>
  <c r="BB56" i="38" s="1"/>
  <c r="BC56" i="38" s="1"/>
  <c r="L57" i="40" s="1"/>
  <c r="AC79" i="15"/>
  <c r="U55" i="15"/>
  <c r="W55" i="15" s="1"/>
  <c r="Z55" i="15" s="1"/>
  <c r="AH60" i="40"/>
  <c r="AH54" i="40"/>
  <c r="AW48" i="38"/>
  <c r="BB48" i="38" s="1"/>
  <c r="BC48" i="38" s="1"/>
  <c r="L49" i="40" s="1"/>
  <c r="AW59" i="38"/>
  <c r="BB59" i="38" s="1"/>
  <c r="BC59" i="38" s="1"/>
  <c r="L60" i="40" s="1"/>
  <c r="AC140" i="15"/>
  <c r="AH49" i="40"/>
  <c r="AC109" i="15"/>
  <c r="AW58" i="38"/>
  <c r="BB58" i="38" s="1"/>
  <c r="BC58" i="38" s="1"/>
  <c r="L59" i="40" s="1"/>
  <c r="AH65" i="40"/>
  <c r="V64" i="38"/>
  <c r="AW64" i="38" s="1"/>
  <c r="BB64" i="38" s="1"/>
  <c r="BC64" i="38" s="1"/>
  <c r="L65" i="40" s="1"/>
  <c r="AW53" i="38"/>
  <c r="BB53" i="38" s="1"/>
  <c r="BC53" i="38" s="1"/>
  <c r="L54" i="40" s="1"/>
  <c r="Z108" i="15"/>
  <c r="AW60" i="38"/>
  <c r="BB60" i="38" s="1"/>
  <c r="BC60" i="38" s="1"/>
  <c r="L61" i="40" s="1"/>
  <c r="BJ68" i="38"/>
  <c r="AC134" i="15"/>
  <c r="Z76" i="15"/>
  <c r="Z100" i="15"/>
  <c r="Y125" i="15"/>
  <c r="AE125" i="15" s="1"/>
  <c r="AC88" i="15"/>
  <c r="AC144" i="15"/>
  <c r="AC125" i="15"/>
  <c r="F7" i="16"/>
  <c r="F14" i="16" s="1"/>
  <c r="AH66" i="40"/>
  <c r="AW46" i="38"/>
  <c r="BB46" i="38" s="1"/>
  <c r="BC46" i="38" s="1"/>
  <c r="L47" i="40" s="1"/>
  <c r="BJ55" i="38"/>
  <c r="AC119" i="15"/>
  <c r="AC95" i="15"/>
  <c r="AC130" i="15"/>
  <c r="Z107" i="15"/>
  <c r="Z104" i="15"/>
  <c r="BJ67" i="38"/>
  <c r="AC124" i="15"/>
  <c r="Z121" i="15"/>
  <c r="Z128" i="15"/>
  <c r="AC101" i="15"/>
  <c r="Z97" i="15"/>
  <c r="AW54" i="38"/>
  <c r="BB54" i="38" s="1"/>
  <c r="BC54" i="38" s="1"/>
  <c r="L55" i="40" s="1"/>
  <c r="AC82" i="15"/>
  <c r="AC146" i="15"/>
  <c r="AW69" i="38"/>
  <c r="BB69" i="38" s="1"/>
  <c r="BC69" i="38" s="1"/>
  <c r="L70" i="40" s="1"/>
  <c r="AW47" i="38"/>
  <c r="BB47" i="38" s="1"/>
  <c r="BC47" i="38" s="1"/>
  <c r="L48" i="40" s="1"/>
  <c r="AW68" i="38"/>
  <c r="BB68" i="38" s="1"/>
  <c r="BC68" i="38" s="1"/>
  <c r="L69" i="40" s="1"/>
  <c r="AW65" i="38"/>
  <c r="BB65" i="38" s="1"/>
  <c r="BC65" i="38" s="1"/>
  <c r="L66" i="40" s="1"/>
  <c r="AW52" i="38"/>
  <c r="BB52" i="38" s="1"/>
  <c r="BC52" i="38" s="1"/>
  <c r="L53" i="40" s="1"/>
  <c r="W59" i="15"/>
  <c r="Z59" i="15" s="1"/>
  <c r="BJ57" i="38"/>
  <c r="AC123" i="15"/>
  <c r="W66" i="15"/>
  <c r="AC66" i="15" s="1"/>
  <c r="BJ64" i="38"/>
  <c r="W56" i="15"/>
  <c r="Z56" i="15" s="1"/>
  <c r="BJ54" i="38"/>
  <c r="Z105" i="15"/>
  <c r="BJ60" i="38"/>
  <c r="W52" i="15"/>
  <c r="Z52" i="15" s="1"/>
  <c r="BJ50" i="38"/>
  <c r="Z78" i="15"/>
  <c r="AC99" i="15"/>
  <c r="AC91" i="15"/>
  <c r="V44" i="38"/>
  <c r="AH45" i="40"/>
  <c r="W71" i="15"/>
  <c r="Z71" i="15" s="1"/>
  <c r="BJ69" i="38"/>
  <c r="W53" i="15"/>
  <c r="Z53" i="15" s="1"/>
  <c r="BJ51" i="38"/>
  <c r="W69" i="15"/>
  <c r="AC69" i="15" s="1"/>
  <c r="AC141" i="15"/>
  <c r="W57" i="15"/>
  <c r="Z57" i="15" s="1"/>
  <c r="W70" i="15"/>
  <c r="Z70" i="15" s="1"/>
  <c r="W65" i="15"/>
  <c r="AC65" i="15" s="1"/>
  <c r="AC84" i="15"/>
  <c r="V46" i="15"/>
  <c r="W44" i="38"/>
  <c r="AC122" i="15"/>
  <c r="CS139" i="14"/>
  <c r="CT139" i="14" s="1"/>
  <c r="CU139" i="14"/>
  <c r="CV139" i="14" s="1"/>
  <c r="EH139" i="14"/>
  <c r="EI139" i="14" s="1"/>
  <c r="EK139" i="14" s="1"/>
  <c r="EA139" i="14"/>
  <c r="EB139" i="14" s="1"/>
  <c r="IS60" i="14"/>
  <c r="IS147" i="14"/>
  <c r="IV147" i="14" s="1"/>
  <c r="IS153" i="14"/>
  <c r="IV153" i="14" s="1"/>
  <c r="IS160" i="14"/>
  <c r="IV160" i="14" s="1"/>
  <c r="IS151" i="14"/>
  <c r="IV151" i="14" s="1"/>
  <c r="IS159" i="14"/>
  <c r="IV159" i="14" s="1"/>
  <c r="IS152" i="14"/>
  <c r="IV152" i="14" s="1"/>
  <c r="IS158" i="14"/>
  <c r="IV158" i="14" s="1"/>
  <c r="IS150" i="14"/>
  <c r="IV150" i="14" s="1"/>
  <c r="IS156" i="14"/>
  <c r="IV156" i="14" s="1"/>
  <c r="IS149" i="14"/>
  <c r="IV149" i="14" s="1"/>
  <c r="IS157" i="14"/>
  <c r="IV157" i="14" s="1"/>
  <c r="IS148" i="14"/>
  <c r="IV148" i="14" s="1"/>
  <c r="IS155" i="14"/>
  <c r="IV155" i="14" s="1"/>
  <c r="IS154" i="14"/>
  <c r="IV154" i="14" s="1"/>
  <c r="IS146" i="14"/>
  <c r="IV146" i="14" s="1"/>
  <c r="IS145" i="14"/>
  <c r="IV145" i="14" s="1"/>
  <c r="IS143" i="14"/>
  <c r="IV143" i="14" s="1"/>
  <c r="IS144" i="14"/>
  <c r="IV144" i="14" s="1"/>
  <c r="IS142" i="14"/>
  <c r="IV142" i="14" s="1"/>
  <c r="IS141" i="14"/>
  <c r="IV141" i="14" s="1"/>
  <c r="IS140" i="14"/>
  <c r="IV140" i="14" s="1"/>
  <c r="IS139" i="14"/>
  <c r="IV139" i="14" s="1"/>
  <c r="IS138" i="14"/>
  <c r="IV138" i="14" s="1"/>
  <c r="IS137" i="14"/>
  <c r="IV137" i="14" s="1"/>
  <c r="IS136" i="14"/>
  <c r="IV136" i="14" s="1"/>
  <c r="IS135" i="14"/>
  <c r="IV135" i="14" s="1"/>
  <c r="IS134" i="14"/>
  <c r="IV134" i="14" s="1"/>
  <c r="IS133" i="14"/>
  <c r="IV133" i="14" s="1"/>
  <c r="IS132" i="14"/>
  <c r="IV132" i="14" s="1"/>
  <c r="IS131" i="14"/>
  <c r="IV131" i="14" s="1"/>
  <c r="IS129" i="14"/>
  <c r="IV129" i="14" s="1"/>
  <c r="IS130" i="14"/>
  <c r="IV130" i="14" s="1"/>
  <c r="IS128" i="14"/>
  <c r="IV128" i="14" s="1"/>
  <c r="IS127" i="14"/>
  <c r="IV127" i="14" s="1"/>
  <c r="IS125" i="14"/>
  <c r="IV125" i="14" s="1"/>
  <c r="IS126" i="14"/>
  <c r="IV126" i="14" s="1"/>
  <c r="IS124" i="14"/>
  <c r="IV124" i="14" s="1"/>
  <c r="IS123" i="14"/>
  <c r="IV123" i="14" s="1"/>
  <c r="IS122" i="14"/>
  <c r="IV122" i="14" s="1"/>
  <c r="IS121" i="14"/>
  <c r="IV121" i="14" s="1"/>
  <c r="IS120" i="14"/>
  <c r="IV120" i="14" s="1"/>
  <c r="IS119" i="14"/>
  <c r="IV119" i="14" s="1"/>
  <c r="IS118" i="14"/>
  <c r="IV118" i="14" s="1"/>
  <c r="IS117" i="14"/>
  <c r="IV117" i="14" s="1"/>
  <c r="IS116" i="14"/>
  <c r="IV116" i="14" s="1"/>
  <c r="IS115" i="14"/>
  <c r="IV115" i="14" s="1"/>
  <c r="IS114" i="14"/>
  <c r="IV114" i="14" s="1"/>
  <c r="IS113" i="14"/>
  <c r="IV113" i="14" s="1"/>
  <c r="IS112" i="14"/>
  <c r="IV112" i="14" s="1"/>
  <c r="IS111" i="14"/>
  <c r="IV111" i="14" s="1"/>
  <c r="IS109" i="14"/>
  <c r="IV109" i="14" s="1"/>
  <c r="IS110" i="14"/>
  <c r="IV110" i="14" s="1"/>
  <c r="IS107" i="14"/>
  <c r="IV107" i="14" s="1"/>
  <c r="IS108" i="14"/>
  <c r="IV108" i="14" s="1"/>
  <c r="IS105" i="14"/>
  <c r="IV105" i="14" s="1"/>
  <c r="IS106" i="14"/>
  <c r="IV106" i="14" s="1"/>
  <c r="IS104" i="14"/>
  <c r="IV104" i="14" s="1"/>
  <c r="IS102" i="14"/>
  <c r="IV102" i="14" s="1"/>
  <c r="IS103" i="14"/>
  <c r="IV103" i="14" s="1"/>
  <c r="IS101" i="14"/>
  <c r="IV101" i="14" s="1"/>
  <c r="IS100" i="14"/>
  <c r="IV100" i="14" s="1"/>
  <c r="IS98" i="14"/>
  <c r="IV98" i="14" s="1"/>
  <c r="IS99" i="14"/>
  <c r="IV99" i="14" s="1"/>
  <c r="IS97" i="14"/>
  <c r="IV97" i="14" s="1"/>
  <c r="IS96" i="14"/>
  <c r="IV96" i="14" s="1"/>
  <c r="IS94" i="14"/>
  <c r="IV94" i="14" s="1"/>
  <c r="IS95" i="14"/>
  <c r="IV95" i="14" s="1"/>
  <c r="IS93" i="14"/>
  <c r="IV93" i="14" s="1"/>
  <c r="IS92" i="14"/>
  <c r="IV92" i="14" s="1"/>
  <c r="IS91" i="14"/>
  <c r="IV91" i="14" s="1"/>
  <c r="IS90" i="14"/>
  <c r="IV90" i="14" s="1"/>
  <c r="IS88" i="14"/>
  <c r="IV88" i="14" s="1"/>
  <c r="IS89" i="14"/>
  <c r="IV89" i="14" s="1"/>
  <c r="IS86" i="14"/>
  <c r="IV86" i="14" s="1"/>
  <c r="IS87" i="14"/>
  <c r="IV87" i="14" s="1"/>
  <c r="IS85" i="14"/>
  <c r="IV85" i="14" s="1"/>
  <c r="IS83" i="14"/>
  <c r="IV83" i="14" s="1"/>
  <c r="IS84" i="14"/>
  <c r="IV84" i="14" s="1"/>
  <c r="IS81" i="14"/>
  <c r="IV81" i="14" s="1"/>
  <c r="IS82" i="14"/>
  <c r="IV82" i="14" s="1"/>
  <c r="IS80" i="14"/>
  <c r="IV80" i="14" s="1"/>
  <c r="IS79" i="14"/>
  <c r="IV79" i="14" s="1"/>
  <c r="IS78" i="14"/>
  <c r="IV78" i="14" s="1"/>
  <c r="IS77" i="14"/>
  <c r="IV77" i="14" s="1"/>
  <c r="IS76" i="14"/>
  <c r="IV76" i="14" s="1"/>
  <c r="IS75" i="14"/>
  <c r="IV75" i="14" s="1"/>
  <c r="IS74" i="14"/>
  <c r="IV74" i="14" s="1"/>
  <c r="IS73" i="14"/>
  <c r="IV73" i="14" s="1"/>
  <c r="IS72" i="14"/>
  <c r="IV72" i="14" s="1"/>
  <c r="IS70" i="14"/>
  <c r="IV70" i="14" s="1"/>
  <c r="IS71" i="14"/>
  <c r="IV71" i="14" s="1"/>
  <c r="IS69" i="14"/>
  <c r="IV69" i="14" s="1"/>
  <c r="IS67" i="14"/>
  <c r="IV67" i="14" s="1"/>
  <c r="IS68" i="14"/>
  <c r="IV68" i="14" s="1"/>
  <c r="IS66" i="14"/>
  <c r="IV66" i="14" s="1"/>
  <c r="IS65" i="14"/>
  <c r="IV65" i="14" s="1"/>
  <c r="IS64" i="14"/>
  <c r="IV64" i="14" s="1"/>
  <c r="IS62" i="14"/>
  <c r="IV62" i="14" s="1"/>
  <c r="IS63" i="14"/>
  <c r="IV63" i="14" s="1"/>
  <c r="IS61" i="14"/>
  <c r="IV61" i="14" s="1"/>
  <c r="BW60" i="14"/>
  <c r="BW158" i="14"/>
  <c r="CN158" i="14" s="1"/>
  <c r="U142" i="38" s="1"/>
  <c r="BW154" i="14"/>
  <c r="CN154" i="14" s="1"/>
  <c r="U138" i="38" s="1"/>
  <c r="BW147" i="14"/>
  <c r="CN147" i="14" s="1"/>
  <c r="U131" i="38" s="1"/>
  <c r="BW155" i="14"/>
  <c r="CN155" i="14" s="1"/>
  <c r="U139" i="38" s="1"/>
  <c r="BW151" i="14"/>
  <c r="CN151" i="14" s="1"/>
  <c r="U135" i="38" s="1"/>
  <c r="BW149" i="14"/>
  <c r="CN149" i="14" s="1"/>
  <c r="U133" i="38" s="1"/>
  <c r="BW153" i="14"/>
  <c r="CN153" i="14" s="1"/>
  <c r="U137" i="38" s="1"/>
  <c r="BW156" i="14"/>
  <c r="CN156" i="14" s="1"/>
  <c r="U140" i="38" s="1"/>
  <c r="BW159" i="14"/>
  <c r="CN159" i="14" s="1"/>
  <c r="U143" i="38" s="1"/>
  <c r="BW148" i="14"/>
  <c r="CN148" i="14" s="1"/>
  <c r="U132" i="38" s="1"/>
  <c r="BW152" i="14"/>
  <c r="CN152" i="14" s="1"/>
  <c r="U136" i="38" s="1"/>
  <c r="BW157" i="14"/>
  <c r="CN157" i="14" s="1"/>
  <c r="U141" i="38" s="1"/>
  <c r="BW160" i="14"/>
  <c r="CN160" i="14" s="1"/>
  <c r="U144" i="38" s="1"/>
  <c r="BW150" i="14"/>
  <c r="CN150" i="14" s="1"/>
  <c r="U134" i="38" s="1"/>
  <c r="BW146" i="14"/>
  <c r="CN146" i="14" s="1"/>
  <c r="U130" i="38" s="1"/>
  <c r="BW145" i="14"/>
  <c r="CN145" i="14" s="1"/>
  <c r="U129" i="38" s="1"/>
  <c r="BW143" i="14"/>
  <c r="CN143" i="14" s="1"/>
  <c r="U127" i="38" s="1"/>
  <c r="BW144" i="14"/>
  <c r="CN144" i="14" s="1"/>
  <c r="U128" i="38" s="1"/>
  <c r="BW142" i="14"/>
  <c r="CN142" i="14" s="1"/>
  <c r="U126" i="38" s="1"/>
  <c r="BW141" i="14"/>
  <c r="CN141" i="14" s="1"/>
  <c r="U125" i="38" s="1"/>
  <c r="BW140" i="14"/>
  <c r="CN140" i="14" s="1"/>
  <c r="U124" i="38" s="1"/>
  <c r="BW138" i="14"/>
  <c r="CN138" i="14" s="1"/>
  <c r="U122" i="38" s="1"/>
  <c r="BW137" i="14"/>
  <c r="CN137" i="14" s="1"/>
  <c r="U121" i="38" s="1"/>
  <c r="BW135" i="14"/>
  <c r="CN135" i="14" s="1"/>
  <c r="U119" i="38" s="1"/>
  <c r="BW136" i="14"/>
  <c r="CN136" i="14" s="1"/>
  <c r="U120" i="38" s="1"/>
  <c r="BW134" i="14"/>
  <c r="CN134" i="14" s="1"/>
  <c r="U118" i="38" s="1"/>
  <c r="BW133" i="14"/>
  <c r="CN133" i="14" s="1"/>
  <c r="U117" i="38" s="1"/>
  <c r="BW132" i="14"/>
  <c r="CN132" i="14" s="1"/>
  <c r="U116" i="38" s="1"/>
  <c r="BW129" i="14"/>
  <c r="CN129" i="14" s="1"/>
  <c r="U113" i="38" s="1"/>
  <c r="BW131" i="14"/>
  <c r="CN131" i="14" s="1"/>
  <c r="U115" i="38" s="1"/>
  <c r="BW130" i="14"/>
  <c r="CN130" i="14" s="1"/>
  <c r="U114" i="38" s="1"/>
  <c r="BW127" i="14"/>
  <c r="CN127" i="14" s="1"/>
  <c r="U111" i="38" s="1"/>
  <c r="BW128" i="14"/>
  <c r="CN128" i="14" s="1"/>
  <c r="U112" i="38" s="1"/>
  <c r="BW125" i="14"/>
  <c r="CN125" i="14" s="1"/>
  <c r="U109" i="38" s="1"/>
  <c r="BW126" i="14"/>
  <c r="CN126" i="14" s="1"/>
  <c r="U110" i="38" s="1"/>
  <c r="BW124" i="14"/>
  <c r="CN124" i="14" s="1"/>
  <c r="U108" i="38" s="1"/>
  <c r="BW123" i="14"/>
  <c r="CN123" i="14" s="1"/>
  <c r="U107" i="38" s="1"/>
  <c r="BW121" i="14"/>
  <c r="CN121" i="14" s="1"/>
  <c r="U105" i="38" s="1"/>
  <c r="BW122" i="14"/>
  <c r="CN122" i="14" s="1"/>
  <c r="U106" i="38" s="1"/>
  <c r="BW120" i="14"/>
  <c r="CN120" i="14" s="1"/>
  <c r="U104" i="38" s="1"/>
  <c r="BW119" i="14"/>
  <c r="CN119" i="14" s="1"/>
  <c r="U103" i="38" s="1"/>
  <c r="BW117" i="14"/>
  <c r="CN117" i="14" s="1"/>
  <c r="U101" i="38" s="1"/>
  <c r="BW118" i="14"/>
  <c r="CN118" i="14" s="1"/>
  <c r="U102" i="38" s="1"/>
  <c r="BW116" i="14"/>
  <c r="CN116" i="14" s="1"/>
  <c r="U100" i="38" s="1"/>
  <c r="BW115" i="14"/>
  <c r="CN115" i="14" s="1"/>
  <c r="U99" i="38" s="1"/>
  <c r="BW114" i="14"/>
  <c r="CN114" i="14" s="1"/>
  <c r="U98" i="38" s="1"/>
  <c r="BW113" i="14"/>
  <c r="CN113" i="14" s="1"/>
  <c r="U97" i="38" s="1"/>
  <c r="BW112" i="14"/>
  <c r="CN112" i="14" s="1"/>
  <c r="U96" i="38" s="1"/>
  <c r="BW109" i="14"/>
  <c r="CN109" i="14" s="1"/>
  <c r="U93" i="38" s="1"/>
  <c r="BW111" i="14"/>
  <c r="CN111" i="14" s="1"/>
  <c r="U95" i="38" s="1"/>
  <c r="BW110" i="14"/>
  <c r="CN110" i="14" s="1"/>
  <c r="U94" i="38" s="1"/>
  <c r="BW107" i="14"/>
  <c r="CN107" i="14" s="1"/>
  <c r="U91" i="38" s="1"/>
  <c r="BW108" i="14"/>
  <c r="CN108" i="14" s="1"/>
  <c r="U92" i="38" s="1"/>
  <c r="BW106" i="14"/>
  <c r="CN106" i="14" s="1"/>
  <c r="U90" i="38" s="1"/>
  <c r="BW104" i="14"/>
  <c r="CN104" i="14" s="1"/>
  <c r="U88" i="38" s="1"/>
  <c r="BW105" i="14"/>
  <c r="CN105" i="14" s="1"/>
  <c r="U89" i="38" s="1"/>
  <c r="BW102" i="14"/>
  <c r="CN102" i="14" s="1"/>
  <c r="U86" i="38" s="1"/>
  <c r="BW103" i="14"/>
  <c r="CN103" i="14" s="1"/>
  <c r="U87" i="38" s="1"/>
  <c r="BW101" i="14"/>
  <c r="CN101" i="14" s="1"/>
  <c r="U85" i="38" s="1"/>
  <c r="BW98" i="14"/>
  <c r="CN98" i="14" s="1"/>
  <c r="U82" i="38" s="1"/>
  <c r="BW100" i="14"/>
  <c r="CN100" i="14" s="1"/>
  <c r="U84" i="38" s="1"/>
  <c r="BW99" i="14"/>
  <c r="CN99" i="14" s="1"/>
  <c r="U83" i="38" s="1"/>
  <c r="BW96" i="14"/>
  <c r="CN96" i="14" s="1"/>
  <c r="U80" i="38" s="1"/>
  <c r="BW97" i="14"/>
  <c r="CN97" i="14" s="1"/>
  <c r="U81" i="38" s="1"/>
  <c r="BW94" i="14"/>
  <c r="CN94" i="14" s="1"/>
  <c r="U78" i="38" s="1"/>
  <c r="BW95" i="14"/>
  <c r="CN95" i="14" s="1"/>
  <c r="U79" i="38" s="1"/>
  <c r="BW93" i="14"/>
  <c r="CN93" i="14" s="1"/>
  <c r="U77" i="38" s="1"/>
  <c r="BW92" i="14"/>
  <c r="CN92" i="14" s="1"/>
  <c r="U76" i="38" s="1"/>
  <c r="BW90" i="14"/>
  <c r="CN90" i="14" s="1"/>
  <c r="U74" i="38" s="1"/>
  <c r="BW91" i="14"/>
  <c r="CN91" i="14" s="1"/>
  <c r="U75" i="38" s="1"/>
  <c r="BW89" i="14"/>
  <c r="BW88" i="14"/>
  <c r="BW86" i="14"/>
  <c r="BW87" i="14"/>
  <c r="CN87" i="14" s="1"/>
  <c r="U71" i="38" s="1"/>
  <c r="BW83" i="14"/>
  <c r="BW85" i="14"/>
  <c r="BW84" i="14"/>
  <c r="BW82" i="14"/>
  <c r="BW81" i="14"/>
  <c r="BW80" i="14"/>
  <c r="BW79" i="14"/>
  <c r="BW78" i="14"/>
  <c r="BW77" i="14"/>
  <c r="BW76" i="14"/>
  <c r="BW75" i="14"/>
  <c r="BW72" i="14"/>
  <c r="BW74" i="14"/>
  <c r="BW73" i="14"/>
  <c r="BW70" i="14"/>
  <c r="BW71" i="14"/>
  <c r="BW69" i="14"/>
  <c r="BW67" i="14"/>
  <c r="BW66" i="14"/>
  <c r="BW68" i="14"/>
  <c r="BW64" i="14"/>
  <c r="BW65" i="14"/>
  <c r="BW62" i="14"/>
  <c r="BW63" i="14"/>
  <c r="U46" i="15"/>
  <c r="G14" i="16"/>
  <c r="IH85" i="14"/>
  <c r="IH84" i="14"/>
  <c r="IH83" i="14"/>
  <c r="IH82" i="14"/>
  <c r="IH81" i="14"/>
  <c r="IH80" i="14"/>
  <c r="IH79" i="14"/>
  <c r="IH78" i="14"/>
  <c r="IH77" i="14"/>
  <c r="IH76" i="14"/>
  <c r="IH75" i="14"/>
  <c r="IH74" i="14"/>
  <c r="IH73" i="14"/>
  <c r="IH72" i="14"/>
  <c r="IH70" i="14"/>
  <c r="IH71" i="14"/>
  <c r="IH69" i="14"/>
  <c r="IH68" i="14"/>
  <c r="IH67" i="14"/>
  <c r="IH66" i="14"/>
  <c r="IH65" i="14"/>
  <c r="IH64" i="14"/>
  <c r="IH63" i="14"/>
  <c r="IH62" i="14"/>
  <c r="IH61" i="14"/>
  <c r="BT82" i="14"/>
  <c r="BT74" i="14"/>
  <c r="BT66" i="14"/>
  <c r="BT75" i="14"/>
  <c r="BT68" i="14"/>
  <c r="BT81" i="14"/>
  <c r="BT73" i="14"/>
  <c r="BT65" i="14"/>
  <c r="BT78" i="14"/>
  <c r="BT71" i="14"/>
  <c r="BT64" i="14"/>
  <c r="BT80" i="14"/>
  <c r="BT72" i="14"/>
  <c r="BT63" i="14"/>
  <c r="BT60" i="14"/>
  <c r="BT79" i="14"/>
  <c r="BT70" i="14"/>
  <c r="BT61" i="14"/>
  <c r="CN61" i="14" s="1"/>
  <c r="U45" i="38" s="1"/>
  <c r="BT69" i="14"/>
  <c r="BT85" i="14"/>
  <c r="BT77" i="14"/>
  <c r="BT62" i="14"/>
  <c r="BT84" i="14"/>
  <c r="BT83" i="14"/>
  <c r="BT76" i="14"/>
  <c r="BT67" i="14"/>
  <c r="BJ47" i="38" l="1"/>
  <c r="CN86" i="14"/>
  <c r="U70" i="38" s="1"/>
  <c r="CN89" i="14"/>
  <c r="U73" i="38" s="1"/>
  <c r="CN88" i="14"/>
  <c r="U72" i="38" s="1"/>
  <c r="W54" i="15"/>
  <c r="AC54" i="15" s="1"/>
  <c r="BJ45" i="38"/>
  <c r="W74" i="15"/>
  <c r="BJ72" i="38"/>
  <c r="W75" i="15"/>
  <c r="BJ73" i="38"/>
  <c r="W73" i="15"/>
  <c r="BJ71" i="38"/>
  <c r="W72" i="15"/>
  <c r="BJ70" i="38"/>
  <c r="BJ46" i="38"/>
  <c r="BJ66" i="38"/>
  <c r="Z62" i="15"/>
  <c r="BJ56" i="38"/>
  <c r="BJ61" i="38"/>
  <c r="W60" i="15"/>
  <c r="Z60" i="15" s="1"/>
  <c r="BJ59" i="38"/>
  <c r="BJ49" i="38"/>
  <c r="BJ48" i="38"/>
  <c r="CB54" i="43"/>
  <c r="AG22" i="45" s="1"/>
  <c r="W64" i="15"/>
  <c r="AC64" i="15" s="1"/>
  <c r="BF55" i="43"/>
  <c r="K23" i="45" s="1"/>
  <c r="Z69" i="15"/>
  <c r="Z65" i="15"/>
  <c r="AC48" i="15"/>
  <c r="BJ53" i="38"/>
  <c r="BJ65" i="38"/>
  <c r="BF53" i="43"/>
  <c r="K21" i="45" s="1"/>
  <c r="CB51" i="43"/>
  <c r="AG19" i="45" s="1"/>
  <c r="CB50" i="43"/>
  <c r="AG18" i="45" s="1"/>
  <c r="BF54" i="43"/>
  <c r="K22" i="45" s="1"/>
  <c r="BF52" i="43"/>
  <c r="K20" i="45" s="1"/>
  <c r="BF51" i="43"/>
  <c r="K19" i="45" s="1"/>
  <c r="U32" i="1"/>
  <c r="U32" i="46"/>
  <c r="CB52" i="43"/>
  <c r="AG20" i="45" s="1"/>
  <c r="AC71" i="15"/>
  <c r="AC59" i="15"/>
  <c r="AC49" i="15"/>
  <c r="AC50" i="15"/>
  <c r="Z63" i="15"/>
  <c r="Z66" i="15"/>
  <c r="AB125" i="15"/>
  <c r="AC47" i="15"/>
  <c r="AC68" i="15"/>
  <c r="Z51" i="15"/>
  <c r="AC57" i="15"/>
  <c r="AC67" i="15"/>
  <c r="AC55" i="15"/>
  <c r="AC53" i="15"/>
  <c r="Z58" i="15"/>
  <c r="AW44" i="38"/>
  <c r="BB44" i="38" s="1"/>
  <c r="BC44" i="38" s="1"/>
  <c r="L45" i="40" s="1"/>
  <c r="CN63" i="14"/>
  <c r="U47" i="38" s="1"/>
  <c r="AC52" i="15"/>
  <c r="AC61" i="15"/>
  <c r="AC56" i="15"/>
  <c r="W46" i="15"/>
  <c r="Z46" i="15" s="1"/>
  <c r="BJ44" i="38"/>
  <c r="CN84" i="14"/>
  <c r="U68" i="38" s="1"/>
  <c r="AC70" i="15"/>
  <c r="BA54" i="15"/>
  <c r="AL52" i="38"/>
  <c r="BA61" i="15"/>
  <c r="AL59" i="38"/>
  <c r="BA84" i="15"/>
  <c r="AL82" i="38"/>
  <c r="BA109" i="15"/>
  <c r="AL107" i="38"/>
  <c r="BA53" i="15"/>
  <c r="AL51" i="38"/>
  <c r="BA62" i="15"/>
  <c r="AL60" i="38"/>
  <c r="BA69" i="15"/>
  <c r="AL67" i="38"/>
  <c r="BA78" i="15"/>
  <c r="AL76" i="38"/>
  <c r="BA86" i="15"/>
  <c r="AL84" i="38"/>
  <c r="BA93" i="15"/>
  <c r="AL91" i="38"/>
  <c r="BA102" i="15"/>
  <c r="AL100" i="38"/>
  <c r="BA110" i="15"/>
  <c r="AL108" i="38"/>
  <c r="BA118" i="15"/>
  <c r="AL116" i="38"/>
  <c r="BA126" i="15"/>
  <c r="AL124" i="38"/>
  <c r="BA141" i="15"/>
  <c r="AL139" i="38"/>
  <c r="BA145" i="15"/>
  <c r="AL143" i="38"/>
  <c r="BA70" i="15"/>
  <c r="AL68" i="38"/>
  <c r="BA94" i="15"/>
  <c r="AL92" i="38"/>
  <c r="BA101" i="15"/>
  <c r="AL99" i="38"/>
  <c r="BA47" i="15"/>
  <c r="AL45" i="38"/>
  <c r="BA55" i="15"/>
  <c r="AL53" i="38"/>
  <c r="BA71" i="15"/>
  <c r="AL69" i="38"/>
  <c r="BA79" i="15"/>
  <c r="AL77" i="38"/>
  <c r="BA87" i="15"/>
  <c r="AL85" i="38"/>
  <c r="BA96" i="15"/>
  <c r="AL94" i="38"/>
  <c r="BA103" i="15"/>
  <c r="AL101" i="38"/>
  <c r="BA112" i="15"/>
  <c r="AL110" i="38"/>
  <c r="BA119" i="15"/>
  <c r="AL117" i="38"/>
  <c r="BA127" i="15"/>
  <c r="AL125" i="38"/>
  <c r="BA134" i="15"/>
  <c r="AL132" i="38"/>
  <c r="BA137" i="15"/>
  <c r="AL135" i="38"/>
  <c r="BA77" i="15"/>
  <c r="AL75" i="38"/>
  <c r="BA117" i="15"/>
  <c r="AL115" i="38"/>
  <c r="BA49" i="15"/>
  <c r="AL47" i="38"/>
  <c r="BA57" i="15"/>
  <c r="AL55" i="38"/>
  <c r="BA64" i="15"/>
  <c r="AL62" i="38"/>
  <c r="BA73" i="15"/>
  <c r="AL71" i="38"/>
  <c r="BA81" i="15"/>
  <c r="AL79" i="38"/>
  <c r="BA89" i="15"/>
  <c r="AL87" i="38"/>
  <c r="BA95" i="15"/>
  <c r="AL93" i="38"/>
  <c r="BA104" i="15"/>
  <c r="AL102" i="38"/>
  <c r="BA111" i="15"/>
  <c r="AL109" i="38"/>
  <c r="BA120" i="15"/>
  <c r="AL118" i="38"/>
  <c r="BA128" i="15"/>
  <c r="AL126" i="38"/>
  <c r="BA143" i="15"/>
  <c r="AL141" i="38"/>
  <c r="BA146" i="15"/>
  <c r="AL144" i="38"/>
  <c r="BA138" i="15"/>
  <c r="AL136" i="38"/>
  <c r="BA48" i="15"/>
  <c r="AL46" i="38"/>
  <c r="BA56" i="15"/>
  <c r="AL54" i="38"/>
  <c r="BA65" i="15"/>
  <c r="AL63" i="38"/>
  <c r="BA72" i="15"/>
  <c r="AL70" i="38"/>
  <c r="BA80" i="15"/>
  <c r="AL78" i="38"/>
  <c r="BA88" i="15"/>
  <c r="AL86" i="38"/>
  <c r="BA97" i="15"/>
  <c r="AL95" i="38"/>
  <c r="BA105" i="15"/>
  <c r="AL103" i="38"/>
  <c r="BA113" i="15"/>
  <c r="AL111" i="38"/>
  <c r="BA121" i="15"/>
  <c r="AL119" i="38"/>
  <c r="BA130" i="15"/>
  <c r="AL128" i="38"/>
  <c r="BA135" i="15"/>
  <c r="AL133" i="38"/>
  <c r="BA139" i="15"/>
  <c r="AL137" i="38"/>
  <c r="BA125" i="15"/>
  <c r="AL123" i="38"/>
  <c r="BA63" i="15"/>
  <c r="AL61" i="38"/>
  <c r="BA50" i="15"/>
  <c r="AL48" i="38"/>
  <c r="BA58" i="15"/>
  <c r="AL56" i="38"/>
  <c r="BA66" i="15"/>
  <c r="AL64" i="38"/>
  <c r="BA75" i="15"/>
  <c r="AL73" i="38"/>
  <c r="BA82" i="15"/>
  <c r="AL80" i="38"/>
  <c r="BA90" i="15"/>
  <c r="AL88" i="38"/>
  <c r="BA98" i="15"/>
  <c r="AL96" i="38"/>
  <c r="BA106" i="15"/>
  <c r="AL104" i="38"/>
  <c r="BA114" i="15"/>
  <c r="AL112" i="38"/>
  <c r="BA122" i="15"/>
  <c r="AL120" i="38"/>
  <c r="BA129" i="15"/>
  <c r="AL127" i="38"/>
  <c r="BA142" i="15"/>
  <c r="AL140" i="38"/>
  <c r="BA133" i="15"/>
  <c r="AL131" i="38"/>
  <c r="BA51" i="15"/>
  <c r="AL49" i="38"/>
  <c r="BA59" i="15"/>
  <c r="AL57" i="38"/>
  <c r="BA68" i="15"/>
  <c r="AL66" i="38"/>
  <c r="BA74" i="15"/>
  <c r="AL72" i="38"/>
  <c r="BA83" i="15"/>
  <c r="AL81" i="38"/>
  <c r="BA92" i="15"/>
  <c r="AL90" i="38"/>
  <c r="BA99" i="15"/>
  <c r="AL97" i="38"/>
  <c r="BA107" i="15"/>
  <c r="AL105" i="38"/>
  <c r="BA116" i="15"/>
  <c r="AL114" i="38"/>
  <c r="BA123" i="15"/>
  <c r="AL121" i="38"/>
  <c r="BA131" i="15"/>
  <c r="AL129" i="38"/>
  <c r="BA136" i="15"/>
  <c r="AL134" i="38"/>
  <c r="BA140" i="15"/>
  <c r="AL138" i="38"/>
  <c r="BA52" i="15"/>
  <c r="AL50" i="38"/>
  <c r="BA60" i="15"/>
  <c r="AL58" i="38"/>
  <c r="BA67" i="15"/>
  <c r="AL65" i="38"/>
  <c r="BA76" i="15"/>
  <c r="AL74" i="38"/>
  <c r="BA85" i="15"/>
  <c r="AL83" i="38"/>
  <c r="BA91" i="15"/>
  <c r="AL89" i="38"/>
  <c r="BA100" i="15"/>
  <c r="AL98" i="38"/>
  <c r="BA108" i="15"/>
  <c r="AL106" i="38"/>
  <c r="BA115" i="15"/>
  <c r="AL113" i="38"/>
  <c r="BA124" i="15"/>
  <c r="AL122" i="38"/>
  <c r="BA132" i="15"/>
  <c r="AL130" i="38"/>
  <c r="BA144" i="15"/>
  <c r="AL142" i="38"/>
  <c r="CN80" i="14"/>
  <c r="U64" i="38" s="1"/>
  <c r="CN64" i="14"/>
  <c r="U48" i="38" s="1"/>
  <c r="CN72" i="14"/>
  <c r="CN85" i="14"/>
  <c r="CN67" i="14"/>
  <c r="U51" i="38" s="1"/>
  <c r="CN76" i="14"/>
  <c r="CN62" i="14"/>
  <c r="CN70" i="14"/>
  <c r="CN75" i="14"/>
  <c r="CN82" i="14"/>
  <c r="CN68" i="14"/>
  <c r="CN77" i="14"/>
  <c r="CN69" i="14"/>
  <c r="CN83" i="14"/>
  <c r="H10" i="16"/>
  <c r="W35" i="46" s="1"/>
  <c r="CN66" i="14"/>
  <c r="CN71" i="14"/>
  <c r="CN78" i="14"/>
  <c r="CW139" i="14"/>
  <c r="CX139" i="14" s="1"/>
  <c r="CY139" i="14" s="1"/>
  <c r="CZ139" i="14" s="1"/>
  <c r="CN81" i="14"/>
  <c r="CN74" i="14"/>
  <c r="CN73" i="14"/>
  <c r="T79" i="15"/>
  <c r="X79" i="15" s="1"/>
  <c r="CQ93" i="14"/>
  <c r="T87" i="15"/>
  <c r="X87" i="15" s="1"/>
  <c r="CQ101" i="14"/>
  <c r="T96" i="15"/>
  <c r="X96" i="15" s="1"/>
  <c r="CQ110" i="14"/>
  <c r="T104" i="15"/>
  <c r="X104" i="15" s="1"/>
  <c r="CQ118" i="14"/>
  <c r="CQ126" i="14"/>
  <c r="T112" i="15"/>
  <c r="X112" i="15" s="1"/>
  <c r="T119" i="15"/>
  <c r="X119" i="15" s="1"/>
  <c r="CQ133" i="14"/>
  <c r="T128" i="15"/>
  <c r="X128" i="15" s="1"/>
  <c r="CQ142" i="14"/>
  <c r="T138" i="15"/>
  <c r="X138" i="15" s="1"/>
  <c r="CQ152" i="14"/>
  <c r="T133" i="15"/>
  <c r="X133" i="15" s="1"/>
  <c r="CQ147" i="14"/>
  <c r="CQ87" i="14"/>
  <c r="T73" i="15"/>
  <c r="X73" i="15" s="1"/>
  <c r="T81" i="15"/>
  <c r="X81" i="15" s="1"/>
  <c r="CQ95" i="14"/>
  <c r="T89" i="15"/>
  <c r="X89" i="15" s="1"/>
  <c r="CQ103" i="14"/>
  <c r="T97" i="15"/>
  <c r="X97" i="15" s="1"/>
  <c r="CQ111" i="14"/>
  <c r="T103" i="15"/>
  <c r="X103" i="15" s="1"/>
  <c r="CQ117" i="14"/>
  <c r="T111" i="15"/>
  <c r="X111" i="15" s="1"/>
  <c r="CQ125" i="14"/>
  <c r="CQ134" i="14"/>
  <c r="T120" i="15"/>
  <c r="X120" i="15" s="1"/>
  <c r="T130" i="15"/>
  <c r="X130" i="15" s="1"/>
  <c r="CQ144" i="14"/>
  <c r="T134" i="15"/>
  <c r="X134" i="15" s="1"/>
  <c r="CQ148" i="14"/>
  <c r="T140" i="15"/>
  <c r="X140" i="15" s="1"/>
  <c r="CQ154" i="14"/>
  <c r="T80" i="15"/>
  <c r="X80" i="15" s="1"/>
  <c r="CQ94" i="14"/>
  <c r="T88" i="15"/>
  <c r="X88" i="15" s="1"/>
  <c r="CQ102" i="14"/>
  <c r="T95" i="15"/>
  <c r="X95" i="15" s="1"/>
  <c r="CQ109" i="14"/>
  <c r="T105" i="15"/>
  <c r="X105" i="15" s="1"/>
  <c r="CQ119" i="14"/>
  <c r="T114" i="15"/>
  <c r="X114" i="15" s="1"/>
  <c r="CQ128" i="14"/>
  <c r="T122" i="15"/>
  <c r="X122" i="15" s="1"/>
  <c r="CQ136" i="14"/>
  <c r="T129" i="15"/>
  <c r="X129" i="15" s="1"/>
  <c r="CQ143" i="14"/>
  <c r="CQ159" i="14"/>
  <c r="T145" i="15"/>
  <c r="X145" i="15" s="1"/>
  <c r="T144" i="15"/>
  <c r="X144" i="15" s="1"/>
  <c r="CQ158" i="14"/>
  <c r="T83" i="15"/>
  <c r="X83" i="15" s="1"/>
  <c r="CQ97" i="14"/>
  <c r="T91" i="15"/>
  <c r="X91" i="15" s="1"/>
  <c r="CQ105" i="14"/>
  <c r="T98" i="15"/>
  <c r="X98" i="15" s="1"/>
  <c r="CQ112" i="14"/>
  <c r="T106" i="15"/>
  <c r="X106" i="15" s="1"/>
  <c r="CQ120" i="14"/>
  <c r="T113" i="15"/>
  <c r="X113" i="15" s="1"/>
  <c r="CQ127" i="14"/>
  <c r="T121" i="15"/>
  <c r="X121" i="15" s="1"/>
  <c r="CQ135" i="14"/>
  <c r="T131" i="15"/>
  <c r="X131" i="15" s="1"/>
  <c r="CQ145" i="14"/>
  <c r="T142" i="15"/>
  <c r="X142" i="15" s="1"/>
  <c r="CQ156" i="14"/>
  <c r="T82" i="15"/>
  <c r="X82" i="15" s="1"/>
  <c r="CQ96" i="14"/>
  <c r="T90" i="15"/>
  <c r="X90" i="15" s="1"/>
  <c r="CQ104" i="14"/>
  <c r="T99" i="15"/>
  <c r="X99" i="15" s="1"/>
  <c r="CQ113" i="14"/>
  <c r="T108" i="15"/>
  <c r="X108" i="15" s="1"/>
  <c r="CQ122" i="14"/>
  <c r="T116" i="15"/>
  <c r="X116" i="15" s="1"/>
  <c r="CQ130" i="14"/>
  <c r="T123" i="15"/>
  <c r="X123" i="15" s="1"/>
  <c r="CQ137" i="14"/>
  <c r="T132" i="15"/>
  <c r="X132" i="15" s="1"/>
  <c r="CQ146" i="14"/>
  <c r="CQ153" i="14"/>
  <c r="T139" i="15"/>
  <c r="X139" i="15" s="1"/>
  <c r="CQ91" i="14"/>
  <c r="T77" i="15"/>
  <c r="X77" i="15" s="1"/>
  <c r="CQ99" i="14"/>
  <c r="T85" i="15"/>
  <c r="X85" i="15" s="1"/>
  <c r="T92" i="15"/>
  <c r="X92" i="15" s="1"/>
  <c r="CQ106" i="14"/>
  <c r="T100" i="15"/>
  <c r="X100" i="15" s="1"/>
  <c r="CQ114" i="14"/>
  <c r="T107" i="15"/>
  <c r="X107" i="15" s="1"/>
  <c r="CQ121" i="14"/>
  <c r="T117" i="15"/>
  <c r="X117" i="15" s="1"/>
  <c r="CQ131" i="14"/>
  <c r="T124" i="15"/>
  <c r="X124" i="15" s="1"/>
  <c r="CQ138" i="14"/>
  <c r="T136" i="15"/>
  <c r="X136" i="15" s="1"/>
  <c r="CQ150" i="14"/>
  <c r="T135" i="15"/>
  <c r="X135" i="15" s="1"/>
  <c r="CQ149" i="14"/>
  <c r="G57" i="16"/>
  <c r="T76" i="15"/>
  <c r="X76" i="15" s="1"/>
  <c r="CQ90" i="14"/>
  <c r="T86" i="15"/>
  <c r="X86" i="15" s="1"/>
  <c r="CQ100" i="14"/>
  <c r="CQ108" i="14"/>
  <c r="T94" i="15"/>
  <c r="X94" i="15" s="1"/>
  <c r="T101" i="15"/>
  <c r="X101" i="15" s="1"/>
  <c r="CQ115" i="14"/>
  <c r="T109" i="15"/>
  <c r="X109" i="15" s="1"/>
  <c r="CQ123" i="14"/>
  <c r="T115" i="15"/>
  <c r="X115" i="15" s="1"/>
  <c r="CQ129" i="14"/>
  <c r="CQ140" i="14"/>
  <c r="T126" i="15"/>
  <c r="X126" i="15" s="1"/>
  <c r="T146" i="15"/>
  <c r="X146" i="15" s="1"/>
  <c r="CQ160" i="14"/>
  <c r="CQ151" i="14"/>
  <c r="T137" i="15"/>
  <c r="X137" i="15" s="1"/>
  <c r="CN79" i="14"/>
  <c r="CN65" i="14"/>
  <c r="T78" i="15"/>
  <c r="X78" i="15" s="1"/>
  <c r="CQ92" i="14"/>
  <c r="T84" i="15"/>
  <c r="X84" i="15" s="1"/>
  <c r="CQ98" i="14"/>
  <c r="T93" i="15"/>
  <c r="X93" i="15" s="1"/>
  <c r="CQ107" i="14"/>
  <c r="T102" i="15"/>
  <c r="X102" i="15" s="1"/>
  <c r="CQ116" i="14"/>
  <c r="T110" i="15"/>
  <c r="X110" i="15" s="1"/>
  <c r="CQ124" i="14"/>
  <c r="CQ132" i="14"/>
  <c r="T118" i="15"/>
  <c r="X118" i="15" s="1"/>
  <c r="CQ141" i="14"/>
  <c r="T127" i="15"/>
  <c r="X127" i="15" s="1"/>
  <c r="T143" i="15"/>
  <c r="X143" i="15" s="1"/>
  <c r="CQ157" i="14"/>
  <c r="T141" i="15"/>
  <c r="X141" i="15" s="1"/>
  <c r="CQ155" i="14"/>
  <c r="IK155" i="14"/>
  <c r="IU155" i="14" s="1"/>
  <c r="IK154" i="14"/>
  <c r="IU154" i="14" s="1"/>
  <c r="IK147" i="14"/>
  <c r="IU147" i="14" s="1"/>
  <c r="IK153" i="14"/>
  <c r="IU153" i="14" s="1"/>
  <c r="IK160" i="14"/>
  <c r="IU160" i="14" s="1"/>
  <c r="IK151" i="14"/>
  <c r="IU151" i="14" s="1"/>
  <c r="IK159" i="14"/>
  <c r="IU159" i="14" s="1"/>
  <c r="IK152" i="14"/>
  <c r="IU152" i="14" s="1"/>
  <c r="IK158" i="14"/>
  <c r="IU158" i="14" s="1"/>
  <c r="IK150" i="14"/>
  <c r="IU150" i="14" s="1"/>
  <c r="IK156" i="14"/>
  <c r="IU156" i="14" s="1"/>
  <c r="IK149" i="14"/>
  <c r="IU149" i="14" s="1"/>
  <c r="IK157" i="14"/>
  <c r="IU157" i="14" s="1"/>
  <c r="IK148" i="14"/>
  <c r="IU148" i="14" s="1"/>
  <c r="IK146" i="14"/>
  <c r="IU146" i="14" s="1"/>
  <c r="IK145" i="14"/>
  <c r="IU145" i="14" s="1"/>
  <c r="IK144" i="14"/>
  <c r="IU144" i="14" s="1"/>
  <c r="IK143" i="14"/>
  <c r="IU143" i="14" s="1"/>
  <c r="IK142" i="14"/>
  <c r="IU142" i="14" s="1"/>
  <c r="IK141" i="14"/>
  <c r="IU141" i="14" s="1"/>
  <c r="IK140" i="14"/>
  <c r="IU140" i="14" s="1"/>
  <c r="IK139" i="14"/>
  <c r="IU139" i="14" s="1"/>
  <c r="IK138" i="14"/>
  <c r="IU138" i="14" s="1"/>
  <c r="IK137" i="14"/>
  <c r="IU137" i="14" s="1"/>
  <c r="IK136" i="14"/>
  <c r="IU136" i="14" s="1"/>
  <c r="IK135" i="14"/>
  <c r="IU135" i="14" s="1"/>
  <c r="IK134" i="14"/>
  <c r="IU134" i="14" s="1"/>
  <c r="IK133" i="14"/>
  <c r="IU133" i="14" s="1"/>
  <c r="IK132" i="14"/>
  <c r="IU132" i="14" s="1"/>
  <c r="IK131" i="14"/>
  <c r="IU131" i="14" s="1"/>
  <c r="IK129" i="14"/>
  <c r="IU129" i="14" s="1"/>
  <c r="IK130" i="14"/>
  <c r="IU130" i="14" s="1"/>
  <c r="IK127" i="14"/>
  <c r="IU127" i="14" s="1"/>
  <c r="IK128" i="14"/>
  <c r="IU128" i="14" s="1"/>
  <c r="IK126" i="14"/>
  <c r="IU126" i="14" s="1"/>
  <c r="IK125" i="14"/>
  <c r="IU125" i="14" s="1"/>
  <c r="IK124" i="14"/>
  <c r="IU124" i="14" s="1"/>
  <c r="IK123" i="14"/>
  <c r="IU123" i="14" s="1"/>
  <c r="IK122" i="14"/>
  <c r="IU122" i="14" s="1"/>
  <c r="IK121" i="14"/>
  <c r="IU121" i="14" s="1"/>
  <c r="IK120" i="14"/>
  <c r="IU120" i="14" s="1"/>
  <c r="IK118" i="14"/>
  <c r="IU118" i="14" s="1"/>
  <c r="IK119" i="14"/>
  <c r="IU119" i="14" s="1"/>
  <c r="IK117" i="14"/>
  <c r="IU117" i="14" s="1"/>
  <c r="IK116" i="14"/>
  <c r="IU116" i="14" s="1"/>
  <c r="IK114" i="14"/>
  <c r="IU114" i="14" s="1"/>
  <c r="IK115" i="14"/>
  <c r="IU115" i="14" s="1"/>
  <c r="IK113" i="14"/>
  <c r="IU113" i="14" s="1"/>
  <c r="IK112" i="14"/>
  <c r="IU112" i="14" s="1"/>
  <c r="IK111" i="14"/>
  <c r="IU111" i="14" s="1"/>
  <c r="IK110" i="14"/>
  <c r="IU110" i="14" s="1"/>
  <c r="IK109" i="14"/>
  <c r="IU109" i="14" s="1"/>
  <c r="IK108" i="14"/>
  <c r="IU108" i="14" s="1"/>
  <c r="IK107" i="14"/>
  <c r="IU107" i="14" s="1"/>
  <c r="IK106" i="14"/>
  <c r="IU106" i="14" s="1"/>
  <c r="IK105" i="14"/>
  <c r="IU105" i="14" s="1"/>
  <c r="IK104" i="14"/>
  <c r="IU104" i="14" s="1"/>
  <c r="IK103" i="14"/>
  <c r="IU103" i="14" s="1"/>
  <c r="IK102" i="14"/>
  <c r="IU102" i="14" s="1"/>
  <c r="IK101" i="14"/>
  <c r="IU101" i="14" s="1"/>
  <c r="IK100" i="14"/>
  <c r="IU100" i="14" s="1"/>
  <c r="IK98" i="14"/>
  <c r="IU98" i="14" s="1"/>
  <c r="IK99" i="14"/>
  <c r="IU99" i="14" s="1"/>
  <c r="IK97" i="14"/>
  <c r="IU97" i="14" s="1"/>
  <c r="IK96" i="14"/>
  <c r="IU96" i="14" s="1"/>
  <c r="IK94" i="14"/>
  <c r="IU94" i="14" s="1"/>
  <c r="IK95" i="14"/>
  <c r="IU95" i="14" s="1"/>
  <c r="IK93" i="14"/>
  <c r="IU93" i="14" s="1"/>
  <c r="IK92" i="14"/>
  <c r="IU92" i="14" s="1"/>
  <c r="IK91" i="14"/>
  <c r="IU91" i="14" s="1"/>
  <c r="IK90" i="14"/>
  <c r="IU90" i="14" s="1"/>
  <c r="IK88" i="14"/>
  <c r="IU88" i="14" s="1"/>
  <c r="IK89" i="14"/>
  <c r="IU89" i="14" s="1"/>
  <c r="IK86" i="14"/>
  <c r="IU86" i="14" s="1"/>
  <c r="IK87" i="14"/>
  <c r="IU87" i="14" s="1"/>
  <c r="IK85" i="14"/>
  <c r="IU85" i="14" s="1"/>
  <c r="IK83" i="14"/>
  <c r="IU83" i="14" s="1"/>
  <c r="IK84" i="14"/>
  <c r="IU84" i="14" s="1"/>
  <c r="IK81" i="14"/>
  <c r="IU81" i="14" s="1"/>
  <c r="IK82" i="14"/>
  <c r="IU82" i="14" s="1"/>
  <c r="IK80" i="14"/>
  <c r="IU80" i="14" s="1"/>
  <c r="IK79" i="14"/>
  <c r="IU79" i="14" s="1"/>
  <c r="IK78" i="14"/>
  <c r="IU78" i="14" s="1"/>
  <c r="IK77" i="14"/>
  <c r="IU77" i="14" s="1"/>
  <c r="IK75" i="14"/>
  <c r="IU75" i="14" s="1"/>
  <c r="IK76" i="14"/>
  <c r="IU76" i="14" s="1"/>
  <c r="IK72" i="14"/>
  <c r="IU72" i="14" s="1"/>
  <c r="IK74" i="14"/>
  <c r="IU74" i="14" s="1"/>
  <c r="IK73" i="14"/>
  <c r="IU73" i="14" s="1"/>
  <c r="IK70" i="14"/>
  <c r="IU70" i="14" s="1"/>
  <c r="IK71" i="14"/>
  <c r="IU71" i="14" s="1"/>
  <c r="IK69" i="14"/>
  <c r="IU69" i="14" s="1"/>
  <c r="IK67" i="14"/>
  <c r="IU67" i="14" s="1"/>
  <c r="IK68" i="14"/>
  <c r="IU68" i="14" s="1"/>
  <c r="IK66" i="14"/>
  <c r="IU66" i="14" s="1"/>
  <c r="IK65" i="14"/>
  <c r="IU65" i="14" s="1"/>
  <c r="IK64" i="14"/>
  <c r="IU64" i="14" s="1"/>
  <c r="IK63" i="14"/>
  <c r="IU63" i="14" s="1"/>
  <c r="IK61" i="14"/>
  <c r="IU61" i="14" s="1"/>
  <c r="IK62" i="14"/>
  <c r="IU62" i="14" s="1"/>
  <c r="T47" i="15"/>
  <c r="X47" i="15" s="1"/>
  <c r="AD47" i="15" s="1"/>
  <c r="CQ61" i="14"/>
  <c r="DZ61" i="14" s="1"/>
  <c r="CN60" i="14"/>
  <c r="H7" i="16"/>
  <c r="W32" i="46" s="1"/>
  <c r="Z54" i="15" l="1"/>
  <c r="CQ86" i="14"/>
  <c r="T72" i="15"/>
  <c r="X72" i="15" s="1"/>
  <c r="Y72" i="15" s="1"/>
  <c r="CQ88" i="14"/>
  <c r="DZ88" i="14" s="1"/>
  <c r="T74" i="15"/>
  <c r="X74" i="15" s="1"/>
  <c r="Y74" i="15" s="1"/>
  <c r="CQ89" i="14"/>
  <c r="DZ89" i="14" s="1"/>
  <c r="T75" i="15"/>
  <c r="X75" i="15" s="1"/>
  <c r="AC60" i="15"/>
  <c r="AC72" i="15"/>
  <c r="Z72" i="15"/>
  <c r="AC73" i="15"/>
  <c r="Z73" i="15"/>
  <c r="Z75" i="15"/>
  <c r="AC75" i="15"/>
  <c r="AC74" i="15"/>
  <c r="Z74" i="15"/>
  <c r="Z64" i="15"/>
  <c r="V43" i="1"/>
  <c r="V43" i="46"/>
  <c r="BF50" i="43"/>
  <c r="K18" i="45" s="1"/>
  <c r="W32" i="1"/>
  <c r="W35" i="1"/>
  <c r="T49" i="15"/>
  <c r="X49" i="15" s="1"/>
  <c r="AA49" i="15" s="1"/>
  <c r="CQ63" i="14"/>
  <c r="DZ63" i="14" s="1"/>
  <c r="EH63" i="14" s="1"/>
  <c r="EI63" i="14" s="1"/>
  <c r="EK63" i="14" s="1"/>
  <c r="CQ80" i="14"/>
  <c r="DZ80" i="14" s="1"/>
  <c r="EH80" i="14" s="1"/>
  <c r="EI80" i="14" s="1"/>
  <c r="EK80" i="14" s="1"/>
  <c r="T66" i="15"/>
  <c r="X66" i="15" s="1"/>
  <c r="AA66" i="15" s="1"/>
  <c r="CQ67" i="14"/>
  <c r="DZ67" i="14" s="1"/>
  <c r="EH67" i="14" s="1"/>
  <c r="EI67" i="14" s="1"/>
  <c r="EK67" i="14" s="1"/>
  <c r="T53" i="15"/>
  <c r="X53" i="15" s="1"/>
  <c r="AA53" i="15" s="1"/>
  <c r="T70" i="15"/>
  <c r="X70" i="15" s="1"/>
  <c r="AD70" i="15" s="1"/>
  <c r="CQ84" i="14"/>
  <c r="DZ84" i="14" s="1"/>
  <c r="EA84" i="14" s="1"/>
  <c r="EB84" i="14" s="1"/>
  <c r="CQ64" i="14"/>
  <c r="DZ64" i="14" s="1"/>
  <c r="EA64" i="14" s="1"/>
  <c r="EB64" i="14" s="1"/>
  <c r="AC46" i="15"/>
  <c r="T50" i="15"/>
  <c r="X50" i="15" s="1"/>
  <c r="AA50" i="15" s="1"/>
  <c r="U44" i="38"/>
  <c r="CQ60" i="14"/>
  <c r="AZ49" i="15"/>
  <c r="BB49" i="15" s="1"/>
  <c r="BE49" i="15" s="1"/>
  <c r="AK47" i="38"/>
  <c r="AY47" i="38" s="1"/>
  <c r="AZ121" i="15"/>
  <c r="BB121" i="15" s="1"/>
  <c r="BE121" i="15" s="1"/>
  <c r="AK119" i="38"/>
  <c r="AY119" i="38" s="1"/>
  <c r="AZ144" i="15"/>
  <c r="BB144" i="15" s="1"/>
  <c r="BE144" i="15" s="1"/>
  <c r="AK142" i="38"/>
  <c r="AY142" i="38" s="1"/>
  <c r="CQ83" i="14"/>
  <c r="CR83" i="14" s="1"/>
  <c r="CU83" i="14" s="1"/>
  <c r="CV83" i="14" s="1"/>
  <c r="U67" i="38"/>
  <c r="AZ65" i="15"/>
  <c r="BB65" i="15" s="1"/>
  <c r="BE65" i="15" s="1"/>
  <c r="AK63" i="38"/>
  <c r="AY63" i="38" s="1"/>
  <c r="AZ104" i="15"/>
  <c r="BB104" i="15" s="1"/>
  <c r="BE104" i="15" s="1"/>
  <c r="AK102" i="38"/>
  <c r="AY102" i="38" s="1"/>
  <c r="AZ140" i="15"/>
  <c r="BB140" i="15" s="1"/>
  <c r="BE140" i="15" s="1"/>
  <c r="AK138" i="38"/>
  <c r="AY138" i="38" s="1"/>
  <c r="AZ59" i="15"/>
  <c r="BB59" i="15" s="1"/>
  <c r="BE59" i="15" s="1"/>
  <c r="AK57" i="38"/>
  <c r="AY57" i="38" s="1"/>
  <c r="AZ122" i="15"/>
  <c r="BB122" i="15" s="1"/>
  <c r="BE122" i="15" s="1"/>
  <c r="AK120" i="38"/>
  <c r="AY120" i="38" s="1"/>
  <c r="T59" i="15"/>
  <c r="X59" i="15" s="1"/>
  <c r="AA59" i="15" s="1"/>
  <c r="U57" i="38"/>
  <c r="AZ60" i="15"/>
  <c r="BB60" i="15" s="1"/>
  <c r="BE60" i="15" s="1"/>
  <c r="AK58" i="38"/>
  <c r="AY58" i="38" s="1"/>
  <c r="AZ91" i="15"/>
  <c r="BB91" i="15" s="1"/>
  <c r="BE91" i="15" s="1"/>
  <c r="AK89" i="38"/>
  <c r="AY89" i="38" s="1"/>
  <c r="AZ99" i="15"/>
  <c r="BB99" i="15" s="1"/>
  <c r="BE99" i="15" s="1"/>
  <c r="AK97" i="38"/>
  <c r="AY97" i="38" s="1"/>
  <c r="AZ131" i="15"/>
  <c r="BB131" i="15" s="1"/>
  <c r="BE131" i="15" s="1"/>
  <c r="AK129" i="38"/>
  <c r="AY129" i="38" s="1"/>
  <c r="AZ138" i="15"/>
  <c r="BB138" i="15" s="1"/>
  <c r="BE138" i="15" s="1"/>
  <c r="AK136" i="38"/>
  <c r="AY136" i="38" s="1"/>
  <c r="T60" i="15"/>
  <c r="X60" i="15" s="1"/>
  <c r="AD60" i="15" s="1"/>
  <c r="U58" i="38"/>
  <c r="T55" i="15"/>
  <c r="X55" i="15" s="1"/>
  <c r="Y55" i="15" s="1"/>
  <c r="AB55" i="15" s="1"/>
  <c r="U53" i="38"/>
  <c r="T62" i="15"/>
  <c r="X62" i="15" s="1"/>
  <c r="AA62" i="15" s="1"/>
  <c r="U60" i="38"/>
  <c r="AZ56" i="15"/>
  <c r="BB56" i="15" s="1"/>
  <c r="BE56" i="15" s="1"/>
  <c r="AK54" i="38"/>
  <c r="AY54" i="38" s="1"/>
  <c r="AZ97" i="15"/>
  <c r="BB97" i="15" s="1"/>
  <c r="BE97" i="15" s="1"/>
  <c r="AK95" i="38"/>
  <c r="AY95" i="38" s="1"/>
  <c r="AZ136" i="15"/>
  <c r="BB136" i="15" s="1"/>
  <c r="BE136" i="15" s="1"/>
  <c r="AK134" i="38"/>
  <c r="AY134" i="38" s="1"/>
  <c r="AZ82" i="15"/>
  <c r="BB82" i="15" s="1"/>
  <c r="BE82" i="15" s="1"/>
  <c r="AK80" i="38"/>
  <c r="AY80" i="38" s="1"/>
  <c r="AZ141" i="15"/>
  <c r="BB141" i="15" s="1"/>
  <c r="BE141" i="15" s="1"/>
  <c r="AK139" i="38"/>
  <c r="AY139" i="38" s="1"/>
  <c r="AZ51" i="15"/>
  <c r="BB51" i="15" s="1"/>
  <c r="BE51" i="15" s="1"/>
  <c r="AK49" i="38"/>
  <c r="AY49" i="38" s="1"/>
  <c r="AZ123" i="15"/>
  <c r="BB123" i="15" s="1"/>
  <c r="BE123" i="15" s="1"/>
  <c r="AK121" i="38"/>
  <c r="AY121" i="38" s="1"/>
  <c r="AZ52" i="15"/>
  <c r="BB52" i="15" s="1"/>
  <c r="BE52" i="15" s="1"/>
  <c r="AK50" i="38"/>
  <c r="AY50" i="38" s="1"/>
  <c r="AZ67" i="15"/>
  <c r="BB67" i="15" s="1"/>
  <c r="BE67" i="15" s="1"/>
  <c r="AK65" i="38"/>
  <c r="AY65" i="38" s="1"/>
  <c r="AZ76" i="15"/>
  <c r="BB76" i="15" s="1"/>
  <c r="BE76" i="15" s="1"/>
  <c r="AK74" i="38"/>
  <c r="AY74" i="38" s="1"/>
  <c r="AZ85" i="15"/>
  <c r="BB85" i="15" s="1"/>
  <c r="BE85" i="15" s="1"/>
  <c r="AK83" i="38"/>
  <c r="AY83" i="38" s="1"/>
  <c r="AZ92" i="15"/>
  <c r="BB92" i="15" s="1"/>
  <c r="BE92" i="15" s="1"/>
  <c r="AK90" i="38"/>
  <c r="AY90" i="38" s="1"/>
  <c r="AZ101" i="15"/>
  <c r="BB101" i="15" s="1"/>
  <c r="BE101" i="15" s="1"/>
  <c r="AK99" i="38"/>
  <c r="AY99" i="38" s="1"/>
  <c r="AZ108" i="15"/>
  <c r="BB108" i="15" s="1"/>
  <c r="BE108" i="15" s="1"/>
  <c r="AK106" i="38"/>
  <c r="AY106" i="38" s="1"/>
  <c r="AZ115" i="15"/>
  <c r="BB115" i="15" s="1"/>
  <c r="BE115" i="15" s="1"/>
  <c r="AK113" i="38"/>
  <c r="AY113" i="38" s="1"/>
  <c r="AZ124" i="15"/>
  <c r="BB124" i="15" s="1"/>
  <c r="BE124" i="15" s="1"/>
  <c r="AK122" i="38"/>
  <c r="AY122" i="38" s="1"/>
  <c r="AZ132" i="15"/>
  <c r="BB132" i="15" s="1"/>
  <c r="BE132" i="15" s="1"/>
  <c r="AK130" i="38"/>
  <c r="AY130" i="38" s="1"/>
  <c r="AZ145" i="15"/>
  <c r="BB145" i="15" s="1"/>
  <c r="BE145" i="15" s="1"/>
  <c r="AK143" i="38"/>
  <c r="AY143" i="38" s="1"/>
  <c r="T67" i="15"/>
  <c r="X67" i="15" s="1"/>
  <c r="Y67" i="15" s="1"/>
  <c r="AB67" i="15" s="1"/>
  <c r="U65" i="38"/>
  <c r="AZ89" i="15"/>
  <c r="BB89" i="15" s="1"/>
  <c r="BE89" i="15" s="1"/>
  <c r="AK87" i="38"/>
  <c r="AY87" i="38" s="1"/>
  <c r="AZ114" i="15"/>
  <c r="BB114" i="15" s="1"/>
  <c r="BE114" i="15" s="1"/>
  <c r="AK112" i="38"/>
  <c r="AY112" i="38" s="1"/>
  <c r="AZ50" i="15"/>
  <c r="BB50" i="15" s="1"/>
  <c r="BE50" i="15" s="1"/>
  <c r="AK48" i="38"/>
  <c r="AY48" i="38" s="1"/>
  <c r="AZ75" i="15"/>
  <c r="BB75" i="15" s="1"/>
  <c r="BE75" i="15" s="1"/>
  <c r="AK73" i="38"/>
  <c r="AY73" i="38" s="1"/>
  <c r="AZ98" i="15"/>
  <c r="BB98" i="15" s="1"/>
  <c r="BE98" i="15" s="1"/>
  <c r="AK96" i="38"/>
  <c r="AY96" i="38" s="1"/>
  <c r="AZ106" i="15"/>
  <c r="BB106" i="15" s="1"/>
  <c r="BE106" i="15" s="1"/>
  <c r="AK104" i="38"/>
  <c r="AY104" i="38" s="1"/>
  <c r="AZ113" i="15"/>
  <c r="BB113" i="15" s="1"/>
  <c r="BE113" i="15" s="1"/>
  <c r="AK111" i="38"/>
  <c r="AY111" i="38" s="1"/>
  <c r="CQ62" i="14"/>
  <c r="DZ62" i="14" s="1"/>
  <c r="EA62" i="14" s="1"/>
  <c r="EB62" i="14" s="1"/>
  <c r="U46" i="38"/>
  <c r="AZ68" i="15"/>
  <c r="BB68" i="15" s="1"/>
  <c r="BE68" i="15" s="1"/>
  <c r="AK66" i="38"/>
  <c r="AY66" i="38" s="1"/>
  <c r="AZ83" i="15"/>
  <c r="BB83" i="15" s="1"/>
  <c r="BE83" i="15" s="1"/>
  <c r="AK81" i="38"/>
  <c r="AY81" i="38" s="1"/>
  <c r="AZ107" i="15"/>
  <c r="BB107" i="15" s="1"/>
  <c r="BE107" i="15" s="1"/>
  <c r="AK105" i="38"/>
  <c r="AY105" i="38" s="1"/>
  <c r="AZ54" i="15"/>
  <c r="BB54" i="15" s="1"/>
  <c r="BE54" i="15" s="1"/>
  <c r="AK52" i="38"/>
  <c r="AY52" i="38" s="1"/>
  <c r="AZ62" i="15"/>
  <c r="BB62" i="15" s="1"/>
  <c r="BE62" i="15" s="1"/>
  <c r="AK60" i="38"/>
  <c r="AY60" i="38" s="1"/>
  <c r="AZ70" i="15"/>
  <c r="BB70" i="15" s="1"/>
  <c r="BE70" i="15" s="1"/>
  <c r="AK68" i="38"/>
  <c r="AY68" i="38" s="1"/>
  <c r="AZ77" i="15"/>
  <c r="BB77" i="15" s="1"/>
  <c r="BE77" i="15" s="1"/>
  <c r="AK75" i="38"/>
  <c r="AY75" i="38" s="1"/>
  <c r="AZ84" i="15"/>
  <c r="BB84" i="15" s="1"/>
  <c r="BE84" i="15" s="1"/>
  <c r="AK82" i="38"/>
  <c r="AY82" i="38" s="1"/>
  <c r="AZ93" i="15"/>
  <c r="BB93" i="15" s="1"/>
  <c r="BE93" i="15" s="1"/>
  <c r="AK91" i="38"/>
  <c r="AY91" i="38" s="1"/>
  <c r="AZ100" i="15"/>
  <c r="BB100" i="15" s="1"/>
  <c r="BE100" i="15" s="1"/>
  <c r="AK98" i="38"/>
  <c r="AY98" i="38" s="1"/>
  <c r="AZ109" i="15"/>
  <c r="BB109" i="15" s="1"/>
  <c r="BE109" i="15" s="1"/>
  <c r="AK107" i="38"/>
  <c r="AY107" i="38" s="1"/>
  <c r="AZ117" i="15"/>
  <c r="BB117" i="15" s="1"/>
  <c r="BE117" i="15" s="1"/>
  <c r="AK115" i="38"/>
  <c r="AY115" i="38" s="1"/>
  <c r="AZ125" i="15"/>
  <c r="BB125" i="15" s="1"/>
  <c r="BE125" i="15" s="1"/>
  <c r="AK123" i="38"/>
  <c r="AY123" i="38" s="1"/>
  <c r="AZ134" i="15"/>
  <c r="BB134" i="15" s="1"/>
  <c r="BE134" i="15" s="1"/>
  <c r="AK132" i="38"/>
  <c r="AY132" i="38" s="1"/>
  <c r="AZ137" i="15"/>
  <c r="BB137" i="15" s="1"/>
  <c r="BE137" i="15" s="1"/>
  <c r="AK135" i="38"/>
  <c r="AY135" i="38" s="1"/>
  <c r="CQ65" i="14"/>
  <c r="DZ65" i="14" s="1"/>
  <c r="EA65" i="14" s="1"/>
  <c r="EB65" i="14" s="1"/>
  <c r="U49" i="38"/>
  <c r="T63" i="15"/>
  <c r="X63" i="15" s="1"/>
  <c r="AA63" i="15" s="1"/>
  <c r="U61" i="38"/>
  <c r="CQ85" i="14"/>
  <c r="CR85" i="14" s="1"/>
  <c r="CU85" i="14" s="1"/>
  <c r="CV85" i="14" s="1"/>
  <c r="U69" i="38"/>
  <c r="AZ80" i="15"/>
  <c r="BB80" i="15" s="1"/>
  <c r="BE80" i="15" s="1"/>
  <c r="AK78" i="38"/>
  <c r="AY78" i="38" s="1"/>
  <c r="AZ66" i="15"/>
  <c r="BB66" i="15" s="1"/>
  <c r="BE66" i="15" s="1"/>
  <c r="AK64" i="38"/>
  <c r="AY64" i="38" s="1"/>
  <c r="AZ130" i="15"/>
  <c r="BB130" i="15" s="1"/>
  <c r="BE130" i="15" s="1"/>
  <c r="AK128" i="38"/>
  <c r="AY128" i="38" s="1"/>
  <c r="AZ74" i="15"/>
  <c r="BB74" i="15" s="1"/>
  <c r="BE74" i="15" s="1"/>
  <c r="AK72" i="38"/>
  <c r="AY72" i="38" s="1"/>
  <c r="AZ116" i="15"/>
  <c r="BB116" i="15" s="1"/>
  <c r="BE116" i="15" s="1"/>
  <c r="AK114" i="38"/>
  <c r="AY114" i="38" s="1"/>
  <c r="AZ58" i="15"/>
  <c r="BB58" i="15" s="1"/>
  <c r="BE58" i="15" s="1"/>
  <c r="AK56" i="38"/>
  <c r="AY56" i="38" s="1"/>
  <c r="T48" i="15"/>
  <c r="X48" i="15" s="1"/>
  <c r="AA48" i="15" s="1"/>
  <c r="AZ53" i="15"/>
  <c r="BB53" i="15" s="1"/>
  <c r="BE53" i="15" s="1"/>
  <c r="AK51" i="38"/>
  <c r="AY51" i="38" s="1"/>
  <c r="AZ61" i="15"/>
  <c r="BB61" i="15" s="1"/>
  <c r="BE61" i="15" s="1"/>
  <c r="AK59" i="38"/>
  <c r="AY59" i="38" s="1"/>
  <c r="AZ69" i="15"/>
  <c r="BB69" i="15" s="1"/>
  <c r="BE69" i="15" s="1"/>
  <c r="AK67" i="38"/>
  <c r="AY67" i="38" s="1"/>
  <c r="AZ78" i="15"/>
  <c r="BB78" i="15" s="1"/>
  <c r="BE78" i="15" s="1"/>
  <c r="AK76" i="38"/>
  <c r="AY76" i="38" s="1"/>
  <c r="AZ86" i="15"/>
  <c r="BB86" i="15" s="1"/>
  <c r="BE86" i="15" s="1"/>
  <c r="AK84" i="38"/>
  <c r="AY84" i="38" s="1"/>
  <c r="AZ94" i="15"/>
  <c r="BB94" i="15" s="1"/>
  <c r="BE94" i="15" s="1"/>
  <c r="AK92" i="38"/>
  <c r="AY92" i="38" s="1"/>
  <c r="AZ102" i="15"/>
  <c r="BB102" i="15" s="1"/>
  <c r="BE102" i="15" s="1"/>
  <c r="AK100" i="38"/>
  <c r="AY100" i="38" s="1"/>
  <c r="AZ110" i="15"/>
  <c r="BB110" i="15" s="1"/>
  <c r="BE110" i="15" s="1"/>
  <c r="AK108" i="38"/>
  <c r="AY108" i="38" s="1"/>
  <c r="AZ118" i="15"/>
  <c r="BB118" i="15" s="1"/>
  <c r="BE118" i="15" s="1"/>
  <c r="AK116" i="38"/>
  <c r="AY116" i="38" s="1"/>
  <c r="AZ126" i="15"/>
  <c r="BB126" i="15" s="1"/>
  <c r="BE126" i="15" s="1"/>
  <c r="AK124" i="38"/>
  <c r="AY124" i="38" s="1"/>
  <c r="AZ143" i="15"/>
  <c r="BB143" i="15" s="1"/>
  <c r="BE143" i="15" s="1"/>
  <c r="AK141" i="38"/>
  <c r="AY141" i="38" s="1"/>
  <c r="AZ146" i="15"/>
  <c r="BB146" i="15" s="1"/>
  <c r="BE146" i="15" s="1"/>
  <c r="AK144" i="38"/>
  <c r="AY144" i="38" s="1"/>
  <c r="CQ79" i="14"/>
  <c r="DZ79" i="14" s="1"/>
  <c r="EH79" i="14" s="1"/>
  <c r="EI79" i="14" s="1"/>
  <c r="EK79" i="14" s="1"/>
  <c r="U63" i="38"/>
  <c r="CQ78" i="14"/>
  <c r="DZ78" i="14" s="1"/>
  <c r="EA78" i="14" s="1"/>
  <c r="EB78" i="14" s="1"/>
  <c r="U62" i="38"/>
  <c r="CQ68" i="14"/>
  <c r="DZ68" i="14" s="1"/>
  <c r="EA68" i="14" s="1"/>
  <c r="EB68" i="14" s="1"/>
  <c r="U52" i="38"/>
  <c r="T58" i="15"/>
  <c r="X58" i="15" s="1"/>
  <c r="AD58" i="15" s="1"/>
  <c r="U56" i="38"/>
  <c r="AZ95" i="15"/>
  <c r="BB95" i="15" s="1"/>
  <c r="BE95" i="15" s="1"/>
  <c r="AK93" i="38"/>
  <c r="AY93" i="38" s="1"/>
  <c r="AZ103" i="15"/>
  <c r="BB103" i="15" s="1"/>
  <c r="BE103" i="15" s="1"/>
  <c r="AK101" i="38"/>
  <c r="AY101" i="38" s="1"/>
  <c r="AZ111" i="15"/>
  <c r="BB111" i="15" s="1"/>
  <c r="BE111" i="15" s="1"/>
  <c r="AK109" i="38"/>
  <c r="AY109" i="38" s="1"/>
  <c r="AZ119" i="15"/>
  <c r="BB119" i="15" s="1"/>
  <c r="BE119" i="15" s="1"/>
  <c r="AK117" i="38"/>
  <c r="AY117" i="38" s="1"/>
  <c r="AZ127" i="15"/>
  <c r="BB127" i="15" s="1"/>
  <c r="BE127" i="15" s="1"/>
  <c r="AK125" i="38"/>
  <c r="AY125" i="38" s="1"/>
  <c r="AZ135" i="15"/>
  <c r="BB135" i="15" s="1"/>
  <c r="BE135" i="15" s="1"/>
  <c r="AK133" i="38"/>
  <c r="AY133" i="38" s="1"/>
  <c r="AZ139" i="15"/>
  <c r="BB139" i="15" s="1"/>
  <c r="BE139" i="15" s="1"/>
  <c r="AK137" i="38"/>
  <c r="AY137" i="38" s="1"/>
  <c r="CQ71" i="14"/>
  <c r="DZ71" i="14" s="1"/>
  <c r="EA71" i="14" s="1"/>
  <c r="EB71" i="14" s="1"/>
  <c r="U55" i="38"/>
  <c r="T68" i="15"/>
  <c r="X68" i="15" s="1"/>
  <c r="AD68" i="15" s="1"/>
  <c r="U66" i="38"/>
  <c r="AZ72" i="15"/>
  <c r="BB72" i="15" s="1"/>
  <c r="BE72" i="15" s="1"/>
  <c r="AK70" i="38"/>
  <c r="AY70" i="38" s="1"/>
  <c r="AZ129" i="15"/>
  <c r="BB129" i="15" s="1"/>
  <c r="BE129" i="15" s="1"/>
  <c r="AK127" i="38"/>
  <c r="AY127" i="38" s="1"/>
  <c r="T56" i="15"/>
  <c r="X56" i="15" s="1"/>
  <c r="Y56" i="15" s="1"/>
  <c r="AB56" i="15" s="1"/>
  <c r="U54" i="38"/>
  <c r="AZ90" i="15"/>
  <c r="BB90" i="15" s="1"/>
  <c r="BE90" i="15" s="1"/>
  <c r="AK88" i="38"/>
  <c r="AY88" i="38" s="1"/>
  <c r="AZ48" i="15"/>
  <c r="BB48" i="15" s="1"/>
  <c r="BE48" i="15" s="1"/>
  <c r="AK46" i="38"/>
  <c r="AY46" i="38" s="1"/>
  <c r="AZ55" i="15"/>
  <c r="BB55" i="15" s="1"/>
  <c r="BE55" i="15" s="1"/>
  <c r="AK53" i="38"/>
  <c r="AY53" i="38" s="1"/>
  <c r="AZ63" i="15"/>
  <c r="BB63" i="15" s="1"/>
  <c r="BE63" i="15" s="1"/>
  <c r="AK61" i="38"/>
  <c r="AY61" i="38" s="1"/>
  <c r="AZ71" i="15"/>
  <c r="BB71" i="15" s="1"/>
  <c r="BE71" i="15" s="1"/>
  <c r="AK69" i="38"/>
  <c r="AY69" i="38" s="1"/>
  <c r="AZ79" i="15"/>
  <c r="BB79" i="15" s="1"/>
  <c r="BE79" i="15" s="1"/>
  <c r="AK77" i="38"/>
  <c r="AY77" i="38" s="1"/>
  <c r="AZ87" i="15"/>
  <c r="BB87" i="15" s="1"/>
  <c r="BE87" i="15" s="1"/>
  <c r="AK85" i="38"/>
  <c r="AY85" i="38" s="1"/>
  <c r="AZ47" i="15"/>
  <c r="BB47" i="15" s="1"/>
  <c r="BE47" i="15" s="1"/>
  <c r="AK45" i="38"/>
  <c r="AY45" i="38" s="1"/>
  <c r="AZ57" i="15"/>
  <c r="BB57" i="15" s="1"/>
  <c r="BE57" i="15" s="1"/>
  <c r="AK55" i="38"/>
  <c r="AY55" i="38" s="1"/>
  <c r="AZ64" i="15"/>
  <c r="BB64" i="15" s="1"/>
  <c r="BE64" i="15" s="1"/>
  <c r="AK62" i="38"/>
  <c r="AY62" i="38" s="1"/>
  <c r="AZ73" i="15"/>
  <c r="BB73" i="15" s="1"/>
  <c r="BE73" i="15" s="1"/>
  <c r="AK71" i="38"/>
  <c r="AY71" i="38" s="1"/>
  <c r="AZ81" i="15"/>
  <c r="BB81" i="15" s="1"/>
  <c r="BE81" i="15" s="1"/>
  <c r="AK79" i="38"/>
  <c r="AY79" i="38" s="1"/>
  <c r="AZ88" i="15"/>
  <c r="BB88" i="15" s="1"/>
  <c r="BE88" i="15" s="1"/>
  <c r="AK86" i="38"/>
  <c r="AY86" i="38" s="1"/>
  <c r="AZ96" i="15"/>
  <c r="BB96" i="15" s="1"/>
  <c r="BE96" i="15" s="1"/>
  <c r="AK94" i="38"/>
  <c r="AY94" i="38" s="1"/>
  <c r="AZ105" i="15"/>
  <c r="BB105" i="15" s="1"/>
  <c r="BE105" i="15" s="1"/>
  <c r="AK103" i="38"/>
  <c r="AY103" i="38" s="1"/>
  <c r="AZ112" i="15"/>
  <c r="BB112" i="15" s="1"/>
  <c r="BE112" i="15" s="1"/>
  <c r="AK110" i="38"/>
  <c r="AY110" i="38" s="1"/>
  <c r="AZ120" i="15"/>
  <c r="BB120" i="15" s="1"/>
  <c r="BE120" i="15" s="1"/>
  <c r="AK118" i="38"/>
  <c r="AY118" i="38" s="1"/>
  <c r="AZ128" i="15"/>
  <c r="BB128" i="15" s="1"/>
  <c r="BE128" i="15" s="1"/>
  <c r="AK126" i="38"/>
  <c r="AY126" i="38" s="1"/>
  <c r="AZ142" i="15"/>
  <c r="BB142" i="15" s="1"/>
  <c r="BE142" i="15" s="1"/>
  <c r="AK140" i="38"/>
  <c r="AY140" i="38" s="1"/>
  <c r="AZ133" i="15"/>
  <c r="BB133" i="15" s="1"/>
  <c r="BE133" i="15" s="1"/>
  <c r="AK131" i="38"/>
  <c r="AY131" i="38" s="1"/>
  <c r="CQ66" i="14"/>
  <c r="DZ66" i="14" s="1"/>
  <c r="EA66" i="14" s="1"/>
  <c r="EB66" i="14" s="1"/>
  <c r="U50" i="38"/>
  <c r="CQ75" i="14"/>
  <c r="DZ75" i="14" s="1"/>
  <c r="EA75" i="14" s="1"/>
  <c r="EB75" i="14" s="1"/>
  <c r="U59" i="38"/>
  <c r="CQ72" i="14"/>
  <c r="DZ72" i="14" s="1"/>
  <c r="EA72" i="14" s="1"/>
  <c r="EB72" i="14" s="1"/>
  <c r="T71" i="15"/>
  <c r="X71" i="15" s="1"/>
  <c r="AA71" i="15" s="1"/>
  <c r="CQ77" i="14"/>
  <c r="DZ77" i="14" s="1"/>
  <c r="EA77" i="14" s="1"/>
  <c r="EB77" i="14" s="1"/>
  <c r="CQ70" i="14"/>
  <c r="DZ70" i="14" s="1"/>
  <c r="EA70" i="14" s="1"/>
  <c r="EB70" i="14" s="1"/>
  <c r="CQ76" i="14"/>
  <c r="DZ76" i="14" s="1"/>
  <c r="EA76" i="14" s="1"/>
  <c r="EB76" i="14" s="1"/>
  <c r="CQ82" i="14"/>
  <c r="T52" i="15"/>
  <c r="X52" i="15" s="1"/>
  <c r="AA52" i="15" s="1"/>
  <c r="T61" i="15"/>
  <c r="X61" i="15" s="1"/>
  <c r="Y61" i="15" s="1"/>
  <c r="AE61" i="15" s="1"/>
  <c r="CQ73" i="14"/>
  <c r="DZ73" i="14" s="1"/>
  <c r="EA73" i="14" s="1"/>
  <c r="EB73" i="14" s="1"/>
  <c r="T69" i="15"/>
  <c r="X69" i="15" s="1"/>
  <c r="AD69" i="15" s="1"/>
  <c r="T57" i="15"/>
  <c r="X57" i="15" s="1"/>
  <c r="Y57" i="15" s="1"/>
  <c r="AB57" i="15" s="1"/>
  <c r="T54" i="15"/>
  <c r="X54" i="15" s="1"/>
  <c r="Y54" i="15" s="1"/>
  <c r="AB54" i="15" s="1"/>
  <c r="T65" i="15"/>
  <c r="X65" i="15" s="1"/>
  <c r="AA65" i="15" s="1"/>
  <c r="CQ69" i="14"/>
  <c r="DZ69" i="14" s="1"/>
  <c r="EA69" i="14" s="1"/>
  <c r="EB69" i="14" s="1"/>
  <c r="H17" i="16"/>
  <c r="T64" i="15"/>
  <c r="X64" i="15" s="1"/>
  <c r="AA64" i="15" s="1"/>
  <c r="CQ74" i="14"/>
  <c r="DZ74" i="14" s="1"/>
  <c r="EA74" i="14" s="1"/>
  <c r="EB74" i="14" s="1"/>
  <c r="T51" i="15"/>
  <c r="X51" i="15" s="1"/>
  <c r="AD51" i="15" s="1"/>
  <c r="CQ81" i="14"/>
  <c r="DA139" i="14"/>
  <c r="DB139" i="14" s="1"/>
  <c r="DC139" i="14" s="1"/>
  <c r="DD139" i="14" s="1"/>
  <c r="DE139" i="14" s="1"/>
  <c r="DF139" i="14" s="1"/>
  <c r="F57" i="16"/>
  <c r="DZ132" i="14"/>
  <c r="CR132" i="14"/>
  <c r="AA84" i="15"/>
  <c r="AD84" i="15"/>
  <c r="Y84" i="15"/>
  <c r="DZ129" i="14"/>
  <c r="CR129" i="14"/>
  <c r="DZ100" i="14"/>
  <c r="CR100" i="14"/>
  <c r="DZ149" i="14"/>
  <c r="CR149" i="14"/>
  <c r="DZ121" i="14"/>
  <c r="CR121" i="14"/>
  <c r="AA77" i="15"/>
  <c r="AD77" i="15"/>
  <c r="Y77" i="15"/>
  <c r="AA132" i="15"/>
  <c r="AD132" i="15"/>
  <c r="Y132" i="15"/>
  <c r="AD99" i="15"/>
  <c r="AA99" i="15"/>
  <c r="Y99" i="15"/>
  <c r="Y113" i="15"/>
  <c r="AD113" i="15"/>
  <c r="AA113" i="15"/>
  <c r="AD83" i="15"/>
  <c r="AA83" i="15"/>
  <c r="Y83" i="15"/>
  <c r="DZ143" i="14"/>
  <c r="CR143" i="14"/>
  <c r="DZ109" i="14"/>
  <c r="CR109" i="14"/>
  <c r="AA130" i="15"/>
  <c r="AD130" i="15"/>
  <c r="Y130" i="15"/>
  <c r="AA97" i="15"/>
  <c r="AD97" i="15"/>
  <c r="Y97" i="15"/>
  <c r="DZ133" i="14"/>
  <c r="CR133" i="14"/>
  <c r="DZ101" i="14"/>
  <c r="CR101" i="14"/>
  <c r="DZ155" i="14"/>
  <c r="CR155" i="14"/>
  <c r="DZ124" i="14"/>
  <c r="CR124" i="14"/>
  <c r="DZ92" i="14"/>
  <c r="CR92" i="14"/>
  <c r="AA115" i="15"/>
  <c r="AD115" i="15"/>
  <c r="Y115" i="15"/>
  <c r="AA86" i="15"/>
  <c r="AD86" i="15"/>
  <c r="Y86" i="15"/>
  <c r="AA135" i="15"/>
  <c r="AD135" i="15"/>
  <c r="Y135" i="15"/>
  <c r="AD107" i="15"/>
  <c r="AA107" i="15"/>
  <c r="Y107" i="15"/>
  <c r="DZ91" i="14"/>
  <c r="CR91" i="14"/>
  <c r="DZ137" i="14"/>
  <c r="CR137" i="14"/>
  <c r="DZ104" i="14"/>
  <c r="CR104" i="14"/>
  <c r="DZ156" i="14"/>
  <c r="CR156" i="14"/>
  <c r="DZ120" i="14"/>
  <c r="CR120" i="14"/>
  <c r="AD129" i="15"/>
  <c r="AA129" i="15"/>
  <c r="Y129" i="15"/>
  <c r="AA95" i="15"/>
  <c r="AD95" i="15"/>
  <c r="Y95" i="15"/>
  <c r="AA120" i="15"/>
  <c r="AD120" i="15"/>
  <c r="Y120" i="15"/>
  <c r="DZ103" i="14"/>
  <c r="CR103" i="14"/>
  <c r="AD119" i="15"/>
  <c r="AA119" i="15"/>
  <c r="Y119" i="15"/>
  <c r="AD87" i="15"/>
  <c r="AA87" i="15"/>
  <c r="Y87" i="15"/>
  <c r="AA141" i="15"/>
  <c r="AD141" i="15"/>
  <c r="Y141" i="15"/>
  <c r="Y110" i="15"/>
  <c r="AD110" i="15"/>
  <c r="AA110" i="15"/>
  <c r="Y78" i="15"/>
  <c r="AD78" i="15"/>
  <c r="AA78" i="15"/>
  <c r="AD137" i="15"/>
  <c r="AA137" i="15"/>
  <c r="Y137" i="15"/>
  <c r="DZ123" i="14"/>
  <c r="CR123" i="14"/>
  <c r="DZ90" i="14"/>
  <c r="CR90" i="14"/>
  <c r="DZ150" i="14"/>
  <c r="CR150" i="14"/>
  <c r="DZ114" i="14"/>
  <c r="CR114" i="14"/>
  <c r="AD123" i="15"/>
  <c r="AA123" i="15"/>
  <c r="Y123" i="15"/>
  <c r="Y90" i="15"/>
  <c r="AA90" i="15"/>
  <c r="AD90" i="15"/>
  <c r="Y142" i="15"/>
  <c r="AA142" i="15"/>
  <c r="AD142" i="15"/>
  <c r="AA106" i="15"/>
  <c r="AD106" i="15"/>
  <c r="Y106" i="15"/>
  <c r="DZ136" i="14"/>
  <c r="CR136" i="14"/>
  <c r="DZ102" i="14"/>
  <c r="CR102" i="14"/>
  <c r="DZ134" i="14"/>
  <c r="CR134" i="14"/>
  <c r="AA89" i="15"/>
  <c r="AD89" i="15"/>
  <c r="Y89" i="15"/>
  <c r="DZ147" i="14"/>
  <c r="CR147" i="14"/>
  <c r="AA112" i="15"/>
  <c r="AD112" i="15"/>
  <c r="Y112" i="15"/>
  <c r="DZ93" i="14"/>
  <c r="CR93" i="14"/>
  <c r="DZ157" i="14"/>
  <c r="CR157" i="14"/>
  <c r="DZ116" i="14"/>
  <c r="CR116" i="14"/>
  <c r="DZ151" i="14"/>
  <c r="CR151" i="14"/>
  <c r="Y109" i="15"/>
  <c r="AD109" i="15"/>
  <c r="AA109" i="15"/>
  <c r="AA76" i="15"/>
  <c r="AD76" i="15"/>
  <c r="Y76" i="15"/>
  <c r="AA136" i="15"/>
  <c r="AD136" i="15"/>
  <c r="Y136" i="15"/>
  <c r="Y100" i="15"/>
  <c r="AD100" i="15"/>
  <c r="AA100" i="15"/>
  <c r="DZ130" i="14"/>
  <c r="CR130" i="14"/>
  <c r="DZ96" i="14"/>
  <c r="CR96" i="14"/>
  <c r="DZ145" i="14"/>
  <c r="CR145" i="14"/>
  <c r="DZ112" i="14"/>
  <c r="CR112" i="14"/>
  <c r="AA122" i="15"/>
  <c r="AD122" i="15"/>
  <c r="Y122" i="15"/>
  <c r="AA88" i="15"/>
  <c r="AD88" i="15"/>
  <c r="Y88" i="15"/>
  <c r="DZ154" i="14"/>
  <c r="CR154" i="14"/>
  <c r="DZ125" i="14"/>
  <c r="CR125" i="14"/>
  <c r="DZ95" i="14"/>
  <c r="CR95" i="14"/>
  <c r="AD133" i="15"/>
  <c r="AA133" i="15"/>
  <c r="Y133" i="15"/>
  <c r="DZ126" i="14"/>
  <c r="CR126" i="14"/>
  <c r="AA79" i="15"/>
  <c r="AD79" i="15"/>
  <c r="Y79" i="15"/>
  <c r="AA143" i="15"/>
  <c r="AD143" i="15"/>
  <c r="Y143" i="15"/>
  <c r="AA102" i="15"/>
  <c r="AD102" i="15"/>
  <c r="Y102" i="15"/>
  <c r="DZ160" i="14"/>
  <c r="CR160" i="14"/>
  <c r="DZ115" i="14"/>
  <c r="CR115" i="14"/>
  <c r="DZ138" i="14"/>
  <c r="CR138" i="14"/>
  <c r="DZ106" i="14"/>
  <c r="CR106" i="14"/>
  <c r="AA116" i="15"/>
  <c r="AD116" i="15"/>
  <c r="Y116" i="15"/>
  <c r="Y82" i="15"/>
  <c r="AD82" i="15"/>
  <c r="AA82" i="15"/>
  <c r="AD131" i="15"/>
  <c r="AA131" i="15"/>
  <c r="Y131" i="15"/>
  <c r="Y98" i="15"/>
  <c r="AA98" i="15"/>
  <c r="AD98" i="15"/>
  <c r="DZ158" i="14"/>
  <c r="CR158" i="14"/>
  <c r="DZ128" i="14"/>
  <c r="CR128" i="14"/>
  <c r="DZ94" i="14"/>
  <c r="CR94" i="14"/>
  <c r="AA140" i="15"/>
  <c r="AD140" i="15"/>
  <c r="Y140" i="15"/>
  <c r="AA111" i="15"/>
  <c r="AD111" i="15"/>
  <c r="Y111" i="15"/>
  <c r="AD81" i="15"/>
  <c r="AA81" i="15"/>
  <c r="Y81" i="15"/>
  <c r="DZ152" i="14"/>
  <c r="CR152" i="14"/>
  <c r="DZ118" i="14"/>
  <c r="CR118" i="14"/>
  <c r="AA127" i="15"/>
  <c r="AD127" i="15"/>
  <c r="Y127" i="15"/>
  <c r="DZ107" i="14"/>
  <c r="CR107" i="14"/>
  <c r="AD146" i="15"/>
  <c r="AA146" i="15"/>
  <c r="Y146" i="15"/>
  <c r="AA101" i="15"/>
  <c r="AD101" i="15"/>
  <c r="Y101" i="15"/>
  <c r="Y124" i="15"/>
  <c r="AD124" i="15"/>
  <c r="AA124" i="15"/>
  <c r="AA92" i="15"/>
  <c r="AD92" i="15"/>
  <c r="Y92" i="15"/>
  <c r="AA139" i="15"/>
  <c r="AD139" i="15"/>
  <c r="Y139" i="15"/>
  <c r="DZ122" i="14"/>
  <c r="CR122" i="14"/>
  <c r="DZ135" i="14"/>
  <c r="CR135" i="14"/>
  <c r="DZ105" i="14"/>
  <c r="CR105" i="14"/>
  <c r="Y144" i="15"/>
  <c r="AA144" i="15"/>
  <c r="AD144" i="15"/>
  <c r="AA114" i="15"/>
  <c r="AD114" i="15"/>
  <c r="Y114" i="15"/>
  <c r="AD80" i="15"/>
  <c r="AA80" i="15"/>
  <c r="Y80" i="15"/>
  <c r="DZ148" i="14"/>
  <c r="CR148" i="14"/>
  <c r="DZ117" i="14"/>
  <c r="CR117" i="14"/>
  <c r="AD73" i="15"/>
  <c r="AA73" i="15"/>
  <c r="Y73" i="15"/>
  <c r="AD138" i="15"/>
  <c r="AA138" i="15"/>
  <c r="Y138" i="15"/>
  <c r="Y104" i="15"/>
  <c r="AD104" i="15"/>
  <c r="AA104" i="15"/>
  <c r="DZ141" i="14"/>
  <c r="CR141" i="14"/>
  <c r="Y93" i="15"/>
  <c r="AA93" i="15"/>
  <c r="AD93" i="15"/>
  <c r="AA126" i="15"/>
  <c r="AD126" i="15"/>
  <c r="Y126" i="15"/>
  <c r="AA94" i="15"/>
  <c r="AD94" i="15"/>
  <c r="Y94" i="15"/>
  <c r="DZ131" i="14"/>
  <c r="CR131" i="14"/>
  <c r="AD85" i="15"/>
  <c r="AA85" i="15"/>
  <c r="Y85" i="15"/>
  <c r="DZ153" i="14"/>
  <c r="CR153" i="14"/>
  <c r="AA108" i="15"/>
  <c r="AD108" i="15"/>
  <c r="Y108" i="15"/>
  <c r="AA75" i="15"/>
  <c r="AD75" i="15"/>
  <c r="Y75" i="15"/>
  <c r="AA121" i="15"/>
  <c r="AD121" i="15"/>
  <c r="Y121" i="15"/>
  <c r="AD91" i="15"/>
  <c r="AA91" i="15"/>
  <c r="Y91" i="15"/>
  <c r="AA145" i="15"/>
  <c r="AD145" i="15"/>
  <c r="Y145" i="15"/>
  <c r="DZ119" i="14"/>
  <c r="CR119" i="14"/>
  <c r="DZ86" i="14"/>
  <c r="CR86" i="14"/>
  <c r="Y134" i="15"/>
  <c r="AD134" i="15"/>
  <c r="AA134" i="15"/>
  <c r="AA103" i="15"/>
  <c r="AD103" i="15"/>
  <c r="Y103" i="15"/>
  <c r="DZ87" i="14"/>
  <c r="CR87" i="14"/>
  <c r="DZ142" i="14"/>
  <c r="CR142" i="14"/>
  <c r="DZ110" i="14"/>
  <c r="CR110" i="14"/>
  <c r="AA118" i="15"/>
  <c r="AD118" i="15"/>
  <c r="Y118" i="15"/>
  <c r="DZ98" i="14"/>
  <c r="CR98" i="14"/>
  <c r="DZ140" i="14"/>
  <c r="CR140" i="14"/>
  <c r="DZ108" i="14"/>
  <c r="CR108" i="14"/>
  <c r="AD117" i="15"/>
  <c r="AA117" i="15"/>
  <c r="Y117" i="15"/>
  <c r="DZ99" i="14"/>
  <c r="CR99" i="14"/>
  <c r="DZ146" i="14"/>
  <c r="CR146" i="14"/>
  <c r="DZ113" i="14"/>
  <c r="CR113" i="14"/>
  <c r="DZ127" i="14"/>
  <c r="CR127" i="14"/>
  <c r="DZ97" i="14"/>
  <c r="CR97" i="14"/>
  <c r="DZ159" i="14"/>
  <c r="CR159" i="14"/>
  <c r="Y105" i="15"/>
  <c r="AD105" i="15"/>
  <c r="AA105" i="15"/>
  <c r="DZ144" i="14"/>
  <c r="CR144" i="14"/>
  <c r="DZ111" i="14"/>
  <c r="CR111" i="14"/>
  <c r="AA128" i="15"/>
  <c r="AD128" i="15"/>
  <c r="Y128" i="15"/>
  <c r="AD96" i="15"/>
  <c r="AA96" i="15"/>
  <c r="Y96" i="15"/>
  <c r="Y47" i="15"/>
  <c r="AB47" i="15" s="1"/>
  <c r="EH61" i="14"/>
  <c r="EI61" i="14" s="1"/>
  <c r="EK61" i="14" s="1"/>
  <c r="EA61" i="14"/>
  <c r="EB61" i="14" s="1"/>
  <c r="AA47" i="15"/>
  <c r="T46" i="15"/>
  <c r="X46" i="15" s="1"/>
  <c r="AD46" i="15" s="1"/>
  <c r="CR61" i="14"/>
  <c r="CS61" i="14" s="1"/>
  <c r="CT61" i="14" s="1"/>
  <c r="H14" i="16"/>
  <c r="AD72" i="15" l="1"/>
  <c r="CR88" i="14"/>
  <c r="CS88" i="14" s="1"/>
  <c r="CT88" i="14" s="1"/>
  <c r="AA72" i="15"/>
  <c r="CR89" i="14"/>
  <c r="CU89" i="14" s="1"/>
  <c r="CV89" i="14" s="1"/>
  <c r="AD74" i="15"/>
  <c r="AA74" i="15"/>
  <c r="P13" i="15"/>
  <c r="X6" i="46" s="1"/>
  <c r="P16" i="15"/>
  <c r="X9" i="46" s="1"/>
  <c r="CR84" i="14"/>
  <c r="CU84" i="14" s="1"/>
  <c r="CV84" i="14" s="1"/>
  <c r="EA63" i="14"/>
  <c r="EB63" i="14" s="1"/>
  <c r="CR63" i="14"/>
  <c r="CS63" i="14" s="1"/>
  <c r="CT63" i="14" s="1"/>
  <c r="F26" i="43"/>
  <c r="AD66" i="15"/>
  <c r="Y66" i="15"/>
  <c r="AE66" i="15" s="1"/>
  <c r="U43" i="1"/>
  <c r="U43" i="46"/>
  <c r="AD53" i="15"/>
  <c r="Y53" i="15"/>
  <c r="AE53" i="15" s="1"/>
  <c r="AA67" i="15"/>
  <c r="AD49" i="15"/>
  <c r="Y49" i="15"/>
  <c r="AE49" i="15" s="1"/>
  <c r="CR67" i="14"/>
  <c r="CS67" i="14" s="1"/>
  <c r="CT67" i="14" s="1"/>
  <c r="EA67" i="14"/>
  <c r="EB67" i="14" s="1"/>
  <c r="AA70" i="15"/>
  <c r="Y58" i="15"/>
  <c r="AB58" i="15" s="1"/>
  <c r="AE56" i="15"/>
  <c r="Y70" i="15"/>
  <c r="AE70" i="15" s="1"/>
  <c r="CR71" i="14"/>
  <c r="CS71" i="14" s="1"/>
  <c r="CT71" i="14" s="1"/>
  <c r="CR79" i="14"/>
  <c r="CU79" i="14" s="1"/>
  <c r="CV79" i="14" s="1"/>
  <c r="CR80" i="14"/>
  <c r="CS80" i="14" s="1"/>
  <c r="CT80" i="14" s="1"/>
  <c r="EH64" i="14"/>
  <c r="EI64" i="14" s="1"/>
  <c r="EK64" i="14" s="1"/>
  <c r="EH77" i="14"/>
  <c r="EI77" i="14" s="1"/>
  <c r="EK77" i="14" s="1"/>
  <c r="AA56" i="15"/>
  <c r="EH71" i="14"/>
  <c r="EI71" i="14" s="1"/>
  <c r="EK71" i="14" s="1"/>
  <c r="AD62" i="15"/>
  <c r="CR64" i="14"/>
  <c r="CS64" i="14" s="1"/>
  <c r="CT64" i="14" s="1"/>
  <c r="AD63" i="15"/>
  <c r="Y62" i="15"/>
  <c r="AB62" i="15" s="1"/>
  <c r="AD59" i="15"/>
  <c r="AD56" i="15"/>
  <c r="Y59" i="15"/>
  <c r="AB59" i="15" s="1"/>
  <c r="AA58" i="15"/>
  <c r="Y63" i="15"/>
  <c r="AB63" i="15" s="1"/>
  <c r="Y48" i="15"/>
  <c r="AB48" i="15" s="1"/>
  <c r="EA80" i="14"/>
  <c r="EB80" i="14" s="1"/>
  <c r="EA79" i="14"/>
  <c r="EB79" i="14" s="1"/>
  <c r="CR66" i="14"/>
  <c r="CU66" i="14" s="1"/>
  <c r="CV66" i="14" s="1"/>
  <c r="AD50" i="15"/>
  <c r="Y50" i="15"/>
  <c r="AE50" i="15" s="1"/>
  <c r="AA60" i="15"/>
  <c r="EH78" i="14"/>
  <c r="EI78" i="14" s="1"/>
  <c r="EK78" i="14" s="1"/>
  <c r="EH84" i="14"/>
  <c r="EI84" i="14" s="1"/>
  <c r="EK84" i="14" s="1"/>
  <c r="Y60" i="15"/>
  <c r="AB60" i="15" s="1"/>
  <c r="AA68" i="15"/>
  <c r="EH66" i="14"/>
  <c r="EI66" i="14" s="1"/>
  <c r="EK66" i="14" s="1"/>
  <c r="Y68" i="15"/>
  <c r="AB68" i="15" s="1"/>
  <c r="CR65" i="14"/>
  <c r="CS65" i="14" s="1"/>
  <c r="CT65" i="14" s="1"/>
  <c r="EH62" i="14"/>
  <c r="EI62" i="14" s="1"/>
  <c r="EK62" i="14" s="1"/>
  <c r="AD55" i="15"/>
  <c r="AE55" i="15"/>
  <c r="AD67" i="15"/>
  <c r="AD71" i="15"/>
  <c r="EH65" i="14"/>
  <c r="EI65" i="14" s="1"/>
  <c r="EK65" i="14" s="1"/>
  <c r="Y71" i="15"/>
  <c r="AB71" i="15" s="1"/>
  <c r="AE67" i="15"/>
  <c r="AA55" i="15"/>
  <c r="CR62" i="14"/>
  <c r="CS62" i="14" s="1"/>
  <c r="CT62" i="14" s="1"/>
  <c r="DZ81" i="14"/>
  <c r="EA81" i="14" s="1"/>
  <c r="EB81" i="14" s="1"/>
  <c r="DZ82" i="14"/>
  <c r="EA82" i="14" s="1"/>
  <c r="EB82" i="14" s="1"/>
  <c r="DZ85" i="14"/>
  <c r="EH75" i="14"/>
  <c r="EI75" i="14" s="1"/>
  <c r="EK75" i="14" s="1"/>
  <c r="CR75" i="14"/>
  <c r="CS75" i="14" s="1"/>
  <c r="CT75" i="14" s="1"/>
  <c r="CR78" i="14"/>
  <c r="CU78" i="14" s="1"/>
  <c r="CV78" i="14" s="1"/>
  <c r="DZ83" i="14"/>
  <c r="DZ60" i="14"/>
  <c r="EH60" i="14" s="1"/>
  <c r="EI60" i="14" s="1"/>
  <c r="EK60" i="14" s="1"/>
  <c r="AD48" i="15"/>
  <c r="EH68" i="14"/>
  <c r="EI68" i="14" s="1"/>
  <c r="EK68" i="14" s="1"/>
  <c r="CR72" i="14"/>
  <c r="CU72" i="14" s="1"/>
  <c r="CV72" i="14" s="1"/>
  <c r="EH72" i="14"/>
  <c r="EI72" i="14" s="1"/>
  <c r="EK72" i="14" s="1"/>
  <c r="CR68" i="14"/>
  <c r="CS68" i="14" s="1"/>
  <c r="CT68" i="14" s="1"/>
  <c r="AD57" i="15"/>
  <c r="AD52" i="15"/>
  <c r="AE57" i="15"/>
  <c r="AA57" i="15"/>
  <c r="EH70" i="14"/>
  <c r="EI70" i="14" s="1"/>
  <c r="EK70" i="14" s="1"/>
  <c r="CR70" i="14"/>
  <c r="CS70" i="14" s="1"/>
  <c r="CT70" i="14" s="1"/>
  <c r="CR77" i="14"/>
  <c r="CS77" i="14" s="1"/>
  <c r="CT77" i="14" s="1"/>
  <c r="Y52" i="15"/>
  <c r="AB52" i="15" s="1"/>
  <c r="EH76" i="14"/>
  <c r="EI76" i="14" s="1"/>
  <c r="EK76" i="14" s="1"/>
  <c r="CR76" i="14"/>
  <c r="CU76" i="14" s="1"/>
  <c r="CV76" i="14" s="1"/>
  <c r="CR82" i="14"/>
  <c r="CU82" i="14" s="1"/>
  <c r="CV82" i="14" s="1"/>
  <c r="AB61" i="15"/>
  <c r="AD61" i="15"/>
  <c r="EH73" i="14"/>
  <c r="EI73" i="14" s="1"/>
  <c r="EK73" i="14" s="1"/>
  <c r="CR73" i="14"/>
  <c r="CS73" i="14" s="1"/>
  <c r="CT73" i="14" s="1"/>
  <c r="AA61" i="15"/>
  <c r="AD54" i="15"/>
  <c r="AA54" i="15"/>
  <c r="AE54" i="15"/>
  <c r="CR69" i="14"/>
  <c r="CU69" i="14" s="1"/>
  <c r="CV69" i="14" s="1"/>
  <c r="EH69" i="14"/>
  <c r="EI69" i="14" s="1"/>
  <c r="EK69" i="14" s="1"/>
  <c r="Y65" i="15"/>
  <c r="AE65" i="15" s="1"/>
  <c r="Y69" i="15"/>
  <c r="AE69" i="15" s="1"/>
  <c r="AA69" i="15"/>
  <c r="AD65" i="15"/>
  <c r="Y64" i="15"/>
  <c r="AB64" i="15" s="1"/>
  <c r="AD64" i="15"/>
  <c r="CR60" i="14"/>
  <c r="CU60" i="14" s="1"/>
  <c r="CV60" i="14" s="1"/>
  <c r="EH74" i="14"/>
  <c r="EI74" i="14" s="1"/>
  <c r="EK74" i="14" s="1"/>
  <c r="CR74" i="14"/>
  <c r="CS74" i="14" s="1"/>
  <c r="CT74" i="14" s="1"/>
  <c r="Y51" i="15"/>
  <c r="AA51" i="15"/>
  <c r="CR81" i="14"/>
  <c r="CU81" i="14" s="1"/>
  <c r="CV81" i="14" s="1"/>
  <c r="DG139" i="14"/>
  <c r="DH139" i="14" s="1"/>
  <c r="DI139" i="14" s="1"/>
  <c r="DJ139" i="14" s="1"/>
  <c r="DK139" i="14" s="1"/>
  <c r="DL139" i="14" s="1"/>
  <c r="AE47" i="15"/>
  <c r="AB72" i="15"/>
  <c r="AE72" i="15"/>
  <c r="CS97" i="14"/>
  <c r="CT97" i="14" s="1"/>
  <c r="CU97" i="14"/>
  <c r="CV97" i="14" s="1"/>
  <c r="EA110" i="14"/>
  <c r="EB110" i="14" s="1"/>
  <c r="EH110" i="14"/>
  <c r="EI110" i="14" s="1"/>
  <c r="EK110" i="14" s="1"/>
  <c r="CS87" i="14"/>
  <c r="CT87" i="14" s="1"/>
  <c r="CU87" i="14"/>
  <c r="CV87" i="14" s="1"/>
  <c r="EA153" i="14"/>
  <c r="EB153" i="14" s="1"/>
  <c r="EH153" i="14"/>
  <c r="EI153" i="14" s="1"/>
  <c r="EK153" i="14" s="1"/>
  <c r="CU131" i="14"/>
  <c r="CV131" i="14" s="1"/>
  <c r="CS131" i="14"/>
  <c r="CT131" i="14" s="1"/>
  <c r="CS141" i="14"/>
  <c r="CT141" i="14" s="1"/>
  <c r="CU141" i="14"/>
  <c r="CV141" i="14" s="1"/>
  <c r="AE127" i="15"/>
  <c r="AB127" i="15"/>
  <c r="AB81" i="15"/>
  <c r="AE81" i="15"/>
  <c r="AB82" i="15"/>
  <c r="AE82" i="15"/>
  <c r="CU106" i="14"/>
  <c r="CV106" i="14" s="1"/>
  <c r="CS106" i="14"/>
  <c r="CT106" i="14" s="1"/>
  <c r="CS160" i="14"/>
  <c r="CT160" i="14" s="1"/>
  <c r="CU160" i="14"/>
  <c r="CV160" i="14" s="1"/>
  <c r="AB79" i="15"/>
  <c r="AE79" i="15"/>
  <c r="CU126" i="14"/>
  <c r="CV126" i="14" s="1"/>
  <c r="CS126" i="14"/>
  <c r="CT126" i="14" s="1"/>
  <c r="CU112" i="14"/>
  <c r="CV112" i="14" s="1"/>
  <c r="CS112" i="14"/>
  <c r="CT112" i="14" s="1"/>
  <c r="CU130" i="14"/>
  <c r="CV130" i="14" s="1"/>
  <c r="CS130" i="14"/>
  <c r="CT130" i="14" s="1"/>
  <c r="AB76" i="15"/>
  <c r="AE76" i="15"/>
  <c r="CS93" i="14"/>
  <c r="CT93" i="14" s="1"/>
  <c r="CU93" i="14"/>
  <c r="CV93" i="14" s="1"/>
  <c r="CU102" i="14"/>
  <c r="CV102" i="14" s="1"/>
  <c r="CS102" i="14"/>
  <c r="CT102" i="14" s="1"/>
  <c r="AE142" i="15"/>
  <c r="AB142" i="15"/>
  <c r="AE87" i="15"/>
  <c r="AB87" i="15"/>
  <c r="CU156" i="14"/>
  <c r="CV156" i="14" s="1"/>
  <c r="CS156" i="14"/>
  <c r="CT156" i="14" s="1"/>
  <c r="AE130" i="15"/>
  <c r="AB130" i="15"/>
  <c r="EA109" i="14"/>
  <c r="EB109" i="14" s="1"/>
  <c r="EH109" i="14"/>
  <c r="EI109" i="14" s="1"/>
  <c r="EK109" i="14" s="1"/>
  <c r="CS121" i="14"/>
  <c r="CT121" i="14" s="1"/>
  <c r="CU121" i="14"/>
  <c r="CV121" i="14" s="1"/>
  <c r="EA129" i="14"/>
  <c r="EB129" i="14" s="1"/>
  <c r="EH129" i="14"/>
  <c r="EI129" i="14" s="1"/>
  <c r="EK129" i="14" s="1"/>
  <c r="EH132" i="14"/>
  <c r="EI132" i="14" s="1"/>
  <c r="EK132" i="14" s="1"/>
  <c r="EA132" i="14"/>
  <c r="EB132" i="14" s="1"/>
  <c r="CU111" i="14"/>
  <c r="CV111" i="14" s="1"/>
  <c r="CS111" i="14"/>
  <c r="CT111" i="14" s="1"/>
  <c r="EH97" i="14"/>
  <c r="EI97" i="14" s="1"/>
  <c r="EK97" i="14" s="1"/>
  <c r="EA97" i="14"/>
  <c r="EB97" i="14" s="1"/>
  <c r="CU113" i="14"/>
  <c r="CV113" i="14" s="1"/>
  <c r="CS113" i="14"/>
  <c r="CT113" i="14" s="1"/>
  <c r="CS140" i="14"/>
  <c r="CT140" i="14" s="1"/>
  <c r="CU140" i="14"/>
  <c r="CV140" i="14" s="1"/>
  <c r="EA87" i="14"/>
  <c r="EB87" i="14" s="1"/>
  <c r="EH87" i="14"/>
  <c r="EI87" i="14" s="1"/>
  <c r="EK87" i="14" s="1"/>
  <c r="CU119" i="14"/>
  <c r="CV119" i="14" s="1"/>
  <c r="CS119" i="14"/>
  <c r="CT119" i="14" s="1"/>
  <c r="AB121" i="15"/>
  <c r="AE121" i="15"/>
  <c r="AE85" i="15"/>
  <c r="AB85" i="15"/>
  <c r="EA131" i="14"/>
  <c r="EB131" i="14" s="1"/>
  <c r="EH131" i="14"/>
  <c r="EI131" i="14" s="1"/>
  <c r="EK131" i="14" s="1"/>
  <c r="EA141" i="14"/>
  <c r="EB141" i="14" s="1"/>
  <c r="EH141" i="14"/>
  <c r="EI141" i="14" s="1"/>
  <c r="EK141" i="14" s="1"/>
  <c r="CU105" i="14"/>
  <c r="CV105" i="14" s="1"/>
  <c r="CS105" i="14"/>
  <c r="CT105" i="14" s="1"/>
  <c r="CS122" i="14"/>
  <c r="CT122" i="14" s="1"/>
  <c r="CU122" i="14"/>
  <c r="CV122" i="14" s="1"/>
  <c r="CS118" i="14"/>
  <c r="CT118" i="14" s="1"/>
  <c r="CU118" i="14"/>
  <c r="CV118" i="14" s="1"/>
  <c r="CS128" i="14"/>
  <c r="CT128" i="14" s="1"/>
  <c r="CU128" i="14"/>
  <c r="CV128" i="14" s="1"/>
  <c r="AB116" i="15"/>
  <c r="AE116" i="15"/>
  <c r="EH106" i="14"/>
  <c r="EI106" i="14" s="1"/>
  <c r="EK106" i="14" s="1"/>
  <c r="EA106" i="14"/>
  <c r="EB106" i="14" s="1"/>
  <c r="EA160" i="14"/>
  <c r="EB160" i="14" s="1"/>
  <c r="EH160" i="14"/>
  <c r="EI160" i="14" s="1"/>
  <c r="EK160" i="14" s="1"/>
  <c r="EA126" i="14"/>
  <c r="EB126" i="14" s="1"/>
  <c r="EH126" i="14"/>
  <c r="EI126" i="14" s="1"/>
  <c r="EK126" i="14" s="1"/>
  <c r="CS95" i="14"/>
  <c r="CT95" i="14" s="1"/>
  <c r="CU95" i="14"/>
  <c r="CV95" i="14" s="1"/>
  <c r="AB122" i="15"/>
  <c r="AE122" i="15"/>
  <c r="EH112" i="14"/>
  <c r="EI112" i="14" s="1"/>
  <c r="EK112" i="14" s="1"/>
  <c r="EA112" i="14"/>
  <c r="EB112" i="14" s="1"/>
  <c r="EH130" i="14"/>
  <c r="EI130" i="14" s="1"/>
  <c r="EK130" i="14" s="1"/>
  <c r="EA130" i="14"/>
  <c r="EB130" i="14" s="1"/>
  <c r="CS116" i="14"/>
  <c r="CT116" i="14" s="1"/>
  <c r="CU116" i="14"/>
  <c r="CV116" i="14" s="1"/>
  <c r="EA93" i="14"/>
  <c r="EB93" i="14" s="1"/>
  <c r="EH93" i="14"/>
  <c r="EI93" i="14" s="1"/>
  <c r="EK93" i="14" s="1"/>
  <c r="CU147" i="14"/>
  <c r="CV147" i="14" s="1"/>
  <c r="CS147" i="14"/>
  <c r="CT147" i="14" s="1"/>
  <c r="EA102" i="14"/>
  <c r="EB102" i="14" s="1"/>
  <c r="EH102" i="14"/>
  <c r="EI102" i="14" s="1"/>
  <c r="EK102" i="14" s="1"/>
  <c r="CU150" i="14"/>
  <c r="CV150" i="14" s="1"/>
  <c r="CS150" i="14"/>
  <c r="CT150" i="14" s="1"/>
  <c r="EA156" i="14"/>
  <c r="EB156" i="14" s="1"/>
  <c r="EH156" i="14"/>
  <c r="EI156" i="14" s="1"/>
  <c r="EK156" i="14" s="1"/>
  <c r="CS91" i="14"/>
  <c r="CT91" i="14" s="1"/>
  <c r="CU91" i="14"/>
  <c r="CV91" i="14" s="1"/>
  <c r="AE86" i="15"/>
  <c r="AB86" i="15"/>
  <c r="CS124" i="14"/>
  <c r="CT124" i="14" s="1"/>
  <c r="CU124" i="14"/>
  <c r="CV124" i="14" s="1"/>
  <c r="AE77" i="15"/>
  <c r="AB77" i="15"/>
  <c r="EH121" i="14"/>
  <c r="EI121" i="14" s="1"/>
  <c r="EK121" i="14" s="1"/>
  <c r="EA121" i="14"/>
  <c r="EB121" i="14" s="1"/>
  <c r="AB84" i="15"/>
  <c r="AE84" i="15"/>
  <c r="AB128" i="15"/>
  <c r="AE128" i="15"/>
  <c r="EA111" i="14"/>
  <c r="EB111" i="14" s="1"/>
  <c r="EH111" i="14"/>
  <c r="EI111" i="14" s="1"/>
  <c r="EK111" i="14" s="1"/>
  <c r="EA113" i="14"/>
  <c r="EB113" i="14" s="1"/>
  <c r="EH113" i="14"/>
  <c r="EI113" i="14" s="1"/>
  <c r="EK113" i="14" s="1"/>
  <c r="EA140" i="14"/>
  <c r="EB140" i="14" s="1"/>
  <c r="EH140" i="14"/>
  <c r="EI140" i="14" s="1"/>
  <c r="EK140" i="14" s="1"/>
  <c r="AE103" i="15"/>
  <c r="AB103" i="15"/>
  <c r="EH119" i="14"/>
  <c r="EI119" i="14" s="1"/>
  <c r="EK119" i="14" s="1"/>
  <c r="EA119" i="14"/>
  <c r="EB119" i="14" s="1"/>
  <c r="AE94" i="15"/>
  <c r="AB94" i="15"/>
  <c r="AE93" i="15"/>
  <c r="AB93" i="15"/>
  <c r="AB104" i="15"/>
  <c r="AE104" i="15"/>
  <c r="CS148" i="14"/>
  <c r="CT148" i="14" s="1"/>
  <c r="CU148" i="14"/>
  <c r="CV148" i="14" s="1"/>
  <c r="EH105" i="14"/>
  <c r="EI105" i="14" s="1"/>
  <c r="EK105" i="14" s="1"/>
  <c r="EA105" i="14"/>
  <c r="EB105" i="14" s="1"/>
  <c r="EA122" i="14"/>
  <c r="EB122" i="14" s="1"/>
  <c r="EH122" i="14"/>
  <c r="EI122" i="14" s="1"/>
  <c r="EK122" i="14" s="1"/>
  <c r="EA118" i="14"/>
  <c r="EB118" i="14" s="1"/>
  <c r="EH118" i="14"/>
  <c r="EI118" i="14" s="1"/>
  <c r="EK118" i="14" s="1"/>
  <c r="EA128" i="14"/>
  <c r="EB128" i="14" s="1"/>
  <c r="EH128" i="14"/>
  <c r="EI128" i="14" s="1"/>
  <c r="EK128" i="14" s="1"/>
  <c r="AB98" i="15"/>
  <c r="AE98" i="15"/>
  <c r="AE102" i="15"/>
  <c r="AB102" i="15"/>
  <c r="AB133" i="15"/>
  <c r="AE133" i="15"/>
  <c r="EA95" i="14"/>
  <c r="EB95" i="14" s="1"/>
  <c r="EH95" i="14"/>
  <c r="EI95" i="14" s="1"/>
  <c r="EK95" i="14" s="1"/>
  <c r="EA116" i="14"/>
  <c r="EB116" i="14" s="1"/>
  <c r="EH116" i="14"/>
  <c r="EI116" i="14" s="1"/>
  <c r="EK116" i="14" s="1"/>
  <c r="AB112" i="15"/>
  <c r="AE112" i="15"/>
  <c r="EH147" i="14"/>
  <c r="EI147" i="14" s="1"/>
  <c r="EK147" i="14" s="1"/>
  <c r="EA147" i="14"/>
  <c r="EB147" i="14" s="1"/>
  <c r="AE74" i="15"/>
  <c r="AB74" i="15"/>
  <c r="EA150" i="14"/>
  <c r="EB150" i="14" s="1"/>
  <c r="EH150" i="14"/>
  <c r="EI150" i="14" s="1"/>
  <c r="EK150" i="14" s="1"/>
  <c r="CU103" i="14"/>
  <c r="CV103" i="14" s="1"/>
  <c r="CS103" i="14"/>
  <c r="CT103" i="14" s="1"/>
  <c r="AB129" i="15"/>
  <c r="AE129" i="15"/>
  <c r="EA91" i="14"/>
  <c r="EB91" i="14" s="1"/>
  <c r="EH91" i="14"/>
  <c r="EI91" i="14" s="1"/>
  <c r="EK91" i="14" s="1"/>
  <c r="EH124" i="14"/>
  <c r="EI124" i="14" s="1"/>
  <c r="EK124" i="14" s="1"/>
  <c r="EA124" i="14"/>
  <c r="EB124" i="14" s="1"/>
  <c r="AB113" i="15"/>
  <c r="AE113" i="15"/>
  <c r="CU159" i="14"/>
  <c r="CV159" i="14" s="1"/>
  <c r="CS159" i="14"/>
  <c r="CT159" i="14" s="1"/>
  <c r="CU108" i="14"/>
  <c r="CV108" i="14" s="1"/>
  <c r="CS108" i="14"/>
  <c r="CT108" i="14" s="1"/>
  <c r="AB145" i="15"/>
  <c r="AE145" i="15"/>
  <c r="AE138" i="15"/>
  <c r="AB138" i="15"/>
  <c r="EH148" i="14"/>
  <c r="EI148" i="14" s="1"/>
  <c r="EK148" i="14" s="1"/>
  <c r="EA148" i="14"/>
  <c r="EB148" i="14" s="1"/>
  <c r="AB139" i="15"/>
  <c r="AE139" i="15"/>
  <c r="AB124" i="15"/>
  <c r="AE124" i="15"/>
  <c r="AE111" i="15"/>
  <c r="AB111" i="15"/>
  <c r="AE131" i="15"/>
  <c r="AB131" i="15"/>
  <c r="CU115" i="14"/>
  <c r="CV115" i="14" s="1"/>
  <c r="CS115" i="14"/>
  <c r="CT115" i="14" s="1"/>
  <c r="CS96" i="14"/>
  <c r="CT96" i="14" s="1"/>
  <c r="CU96" i="14"/>
  <c r="CV96" i="14" s="1"/>
  <c r="CU151" i="14"/>
  <c r="CV151" i="14" s="1"/>
  <c r="CS151" i="14"/>
  <c r="CT151" i="14" s="1"/>
  <c r="AB89" i="15"/>
  <c r="AE89" i="15"/>
  <c r="CU134" i="14"/>
  <c r="CV134" i="14" s="1"/>
  <c r="CS134" i="14"/>
  <c r="CT134" i="14" s="1"/>
  <c r="AB106" i="15"/>
  <c r="AE106" i="15"/>
  <c r="AE90" i="15"/>
  <c r="AB90" i="15"/>
  <c r="CS114" i="14"/>
  <c r="CT114" i="14" s="1"/>
  <c r="CU114" i="14"/>
  <c r="CV114" i="14" s="1"/>
  <c r="AE78" i="15"/>
  <c r="AB78" i="15"/>
  <c r="AE119" i="15"/>
  <c r="AB119" i="15"/>
  <c r="EA103" i="14"/>
  <c r="EB103" i="14" s="1"/>
  <c r="EH103" i="14"/>
  <c r="EI103" i="14" s="1"/>
  <c r="EK103" i="14" s="1"/>
  <c r="CS120" i="14"/>
  <c r="CT120" i="14" s="1"/>
  <c r="CU120" i="14"/>
  <c r="CV120" i="14" s="1"/>
  <c r="CS137" i="14"/>
  <c r="CT137" i="14" s="1"/>
  <c r="CU137" i="14"/>
  <c r="CV137" i="14" s="1"/>
  <c r="AE107" i="15"/>
  <c r="AB107" i="15"/>
  <c r="CS92" i="14"/>
  <c r="CT92" i="14" s="1"/>
  <c r="CU92" i="14"/>
  <c r="CV92" i="14" s="1"/>
  <c r="CS133" i="14"/>
  <c r="CT133" i="14" s="1"/>
  <c r="CU133" i="14"/>
  <c r="CV133" i="14" s="1"/>
  <c r="CS143" i="14"/>
  <c r="CT143" i="14" s="1"/>
  <c r="CU143" i="14"/>
  <c r="CV143" i="14" s="1"/>
  <c r="AE99" i="15"/>
  <c r="AB99" i="15"/>
  <c r="CU100" i="14"/>
  <c r="CV100" i="14" s="1"/>
  <c r="CS100" i="14"/>
  <c r="CT100" i="14" s="1"/>
  <c r="EA159" i="14"/>
  <c r="EB159" i="14" s="1"/>
  <c r="EH159" i="14"/>
  <c r="EI159" i="14" s="1"/>
  <c r="EK159" i="14" s="1"/>
  <c r="CU99" i="14"/>
  <c r="CV99" i="14" s="1"/>
  <c r="CS99" i="14"/>
  <c r="CT99" i="14" s="1"/>
  <c r="EH108" i="14"/>
  <c r="EI108" i="14" s="1"/>
  <c r="EK108" i="14" s="1"/>
  <c r="EA108" i="14"/>
  <c r="EB108" i="14" s="1"/>
  <c r="CS142" i="14"/>
  <c r="CT142" i="14" s="1"/>
  <c r="CU142" i="14"/>
  <c r="CV142" i="14" s="1"/>
  <c r="CS86" i="14"/>
  <c r="CT86" i="14" s="1"/>
  <c r="CU86" i="14"/>
  <c r="CV86" i="14" s="1"/>
  <c r="AB75" i="15"/>
  <c r="AE75" i="15"/>
  <c r="AB80" i="15"/>
  <c r="AE80" i="15"/>
  <c r="AE144" i="15"/>
  <c r="AB144" i="15"/>
  <c r="EA89" i="14"/>
  <c r="EB89" i="14" s="1"/>
  <c r="EH89" i="14"/>
  <c r="EI89" i="14" s="1"/>
  <c r="EK89" i="14" s="1"/>
  <c r="AE101" i="15"/>
  <c r="AB101" i="15"/>
  <c r="EH115" i="14"/>
  <c r="EI115" i="14" s="1"/>
  <c r="EK115" i="14" s="1"/>
  <c r="EA115" i="14"/>
  <c r="EB115" i="14" s="1"/>
  <c r="CS154" i="14"/>
  <c r="CT154" i="14" s="1"/>
  <c r="CU154" i="14"/>
  <c r="CV154" i="14" s="1"/>
  <c r="EH96" i="14"/>
  <c r="EI96" i="14" s="1"/>
  <c r="EK96" i="14" s="1"/>
  <c r="EA96" i="14"/>
  <c r="EB96" i="14" s="1"/>
  <c r="AB100" i="15"/>
  <c r="AE100" i="15"/>
  <c r="EA151" i="14"/>
  <c r="EB151" i="14" s="1"/>
  <c r="EH151" i="14"/>
  <c r="EI151" i="14" s="1"/>
  <c r="EK151" i="14" s="1"/>
  <c r="EA134" i="14"/>
  <c r="EB134" i="14" s="1"/>
  <c r="EH134" i="14"/>
  <c r="EI134" i="14" s="1"/>
  <c r="EK134" i="14" s="1"/>
  <c r="AE123" i="15"/>
  <c r="AB123" i="15"/>
  <c r="EA114" i="14"/>
  <c r="EB114" i="14" s="1"/>
  <c r="EH114" i="14"/>
  <c r="EI114" i="14" s="1"/>
  <c r="EK114" i="14" s="1"/>
  <c r="CU123" i="14"/>
  <c r="CV123" i="14" s="1"/>
  <c r="CS123" i="14"/>
  <c r="CT123" i="14" s="1"/>
  <c r="AE120" i="15"/>
  <c r="AB120" i="15"/>
  <c r="EA120" i="14"/>
  <c r="EB120" i="14" s="1"/>
  <c r="EH120" i="14"/>
  <c r="EI120" i="14" s="1"/>
  <c r="EK120" i="14" s="1"/>
  <c r="EH137" i="14"/>
  <c r="EI137" i="14" s="1"/>
  <c r="EK137" i="14" s="1"/>
  <c r="EA137" i="14"/>
  <c r="EB137" i="14" s="1"/>
  <c r="AE115" i="15"/>
  <c r="AB115" i="15"/>
  <c r="EA92" i="14"/>
  <c r="EB92" i="14" s="1"/>
  <c r="EH92" i="14"/>
  <c r="EI92" i="14" s="1"/>
  <c r="EK92" i="14" s="1"/>
  <c r="EA133" i="14"/>
  <c r="EB133" i="14" s="1"/>
  <c r="EH133" i="14"/>
  <c r="EI133" i="14" s="1"/>
  <c r="EK133" i="14" s="1"/>
  <c r="EA143" i="14"/>
  <c r="EB143" i="14" s="1"/>
  <c r="EH143" i="14"/>
  <c r="EI143" i="14" s="1"/>
  <c r="EK143" i="14" s="1"/>
  <c r="EA100" i="14"/>
  <c r="EB100" i="14" s="1"/>
  <c r="EH100" i="14"/>
  <c r="EI100" i="14" s="1"/>
  <c r="EK100" i="14" s="1"/>
  <c r="AB105" i="15"/>
  <c r="AE105" i="15"/>
  <c r="CU127" i="14"/>
  <c r="CV127" i="14" s="1"/>
  <c r="CS127" i="14"/>
  <c r="CT127" i="14" s="1"/>
  <c r="EH99" i="14"/>
  <c r="EI99" i="14" s="1"/>
  <c r="EK99" i="14" s="1"/>
  <c r="EA99" i="14"/>
  <c r="EB99" i="14" s="1"/>
  <c r="CS98" i="14"/>
  <c r="CT98" i="14" s="1"/>
  <c r="CU98" i="14"/>
  <c r="CV98" i="14" s="1"/>
  <c r="EA142" i="14"/>
  <c r="EB142" i="14" s="1"/>
  <c r="EH142" i="14"/>
  <c r="EI142" i="14" s="1"/>
  <c r="EK142" i="14" s="1"/>
  <c r="EA86" i="14"/>
  <c r="EB86" i="14" s="1"/>
  <c r="EH86" i="14"/>
  <c r="EI86" i="14" s="1"/>
  <c r="EK86" i="14" s="1"/>
  <c r="AB126" i="15"/>
  <c r="AE126" i="15"/>
  <c r="CS117" i="14"/>
  <c r="CT117" i="14" s="1"/>
  <c r="CU117" i="14"/>
  <c r="CV117" i="14" s="1"/>
  <c r="CU94" i="14"/>
  <c r="CV94" i="14" s="1"/>
  <c r="CS94" i="14"/>
  <c r="CT94" i="14" s="1"/>
  <c r="AB143" i="15"/>
  <c r="AE143" i="15"/>
  <c r="EH154" i="14"/>
  <c r="EI154" i="14" s="1"/>
  <c r="EK154" i="14" s="1"/>
  <c r="EA154" i="14"/>
  <c r="EB154" i="14" s="1"/>
  <c r="CS145" i="14"/>
  <c r="CT145" i="14" s="1"/>
  <c r="CU145" i="14"/>
  <c r="CV145" i="14" s="1"/>
  <c r="AB136" i="15"/>
  <c r="AE136" i="15"/>
  <c r="AE109" i="15"/>
  <c r="AB109" i="15"/>
  <c r="CU157" i="14"/>
  <c r="CV157" i="14" s="1"/>
  <c r="CS157" i="14"/>
  <c r="CT157" i="14" s="1"/>
  <c r="EA123" i="14"/>
  <c r="EB123" i="14" s="1"/>
  <c r="EH123" i="14"/>
  <c r="EI123" i="14" s="1"/>
  <c r="EK123" i="14" s="1"/>
  <c r="CS104" i="14"/>
  <c r="CT104" i="14" s="1"/>
  <c r="CU104" i="14"/>
  <c r="CV104" i="14" s="1"/>
  <c r="CS101" i="14"/>
  <c r="CT101" i="14" s="1"/>
  <c r="CU101" i="14"/>
  <c r="CV101" i="14" s="1"/>
  <c r="AB97" i="15"/>
  <c r="AE97" i="15"/>
  <c r="AE83" i="15"/>
  <c r="AB83" i="15"/>
  <c r="CS144" i="14"/>
  <c r="CT144" i="14" s="1"/>
  <c r="CU144" i="14"/>
  <c r="CV144" i="14" s="1"/>
  <c r="EH127" i="14"/>
  <c r="EI127" i="14" s="1"/>
  <c r="EK127" i="14" s="1"/>
  <c r="EA127" i="14"/>
  <c r="EB127" i="14" s="1"/>
  <c r="CU146" i="14"/>
  <c r="CV146" i="14" s="1"/>
  <c r="CS146" i="14"/>
  <c r="CT146" i="14" s="1"/>
  <c r="AE117" i="15"/>
  <c r="AB117" i="15"/>
  <c r="EA98" i="14"/>
  <c r="EB98" i="14" s="1"/>
  <c r="EH98" i="14"/>
  <c r="EI98" i="14" s="1"/>
  <c r="EK98" i="14" s="1"/>
  <c r="AB91" i="15"/>
  <c r="AE91" i="15"/>
  <c r="AB73" i="15"/>
  <c r="AE73" i="15"/>
  <c r="EA117" i="14"/>
  <c r="EB117" i="14" s="1"/>
  <c r="EH117" i="14"/>
  <c r="EI117" i="14" s="1"/>
  <c r="EK117" i="14" s="1"/>
  <c r="CS135" i="14"/>
  <c r="CT135" i="14" s="1"/>
  <c r="CU135" i="14"/>
  <c r="CV135" i="14" s="1"/>
  <c r="AE92" i="15"/>
  <c r="AB92" i="15"/>
  <c r="CS107" i="14"/>
  <c r="CT107" i="14" s="1"/>
  <c r="CU107" i="14"/>
  <c r="CV107" i="14" s="1"/>
  <c r="CS152" i="14"/>
  <c r="CT152" i="14" s="1"/>
  <c r="CU152" i="14"/>
  <c r="CV152" i="14" s="1"/>
  <c r="AE140" i="15"/>
  <c r="AB140" i="15"/>
  <c r="EA94" i="14"/>
  <c r="EB94" i="14" s="1"/>
  <c r="EH94" i="14"/>
  <c r="EI94" i="14" s="1"/>
  <c r="EK94" i="14" s="1"/>
  <c r="CU158" i="14"/>
  <c r="CV158" i="14" s="1"/>
  <c r="CS158" i="14"/>
  <c r="CT158" i="14" s="1"/>
  <c r="CU138" i="14"/>
  <c r="CV138" i="14" s="1"/>
  <c r="CS138" i="14"/>
  <c r="CT138" i="14" s="1"/>
  <c r="CU125" i="14"/>
  <c r="CV125" i="14" s="1"/>
  <c r="CS125" i="14"/>
  <c r="CT125" i="14" s="1"/>
  <c r="AB88" i="15"/>
  <c r="AE88" i="15"/>
  <c r="EA145" i="14"/>
  <c r="EB145" i="14" s="1"/>
  <c r="EH145" i="14"/>
  <c r="EI145" i="14" s="1"/>
  <c r="EK145" i="14" s="1"/>
  <c r="EA157" i="14"/>
  <c r="EB157" i="14" s="1"/>
  <c r="EH157" i="14"/>
  <c r="EI157" i="14" s="1"/>
  <c r="EK157" i="14" s="1"/>
  <c r="CS136" i="14"/>
  <c r="CT136" i="14" s="1"/>
  <c r="CU136" i="14"/>
  <c r="CV136" i="14" s="1"/>
  <c r="CS90" i="14"/>
  <c r="CT90" i="14" s="1"/>
  <c r="CU90" i="14"/>
  <c r="CV90" i="14" s="1"/>
  <c r="AB137" i="15"/>
  <c r="AE137" i="15"/>
  <c r="AB110" i="15"/>
  <c r="AE110" i="15"/>
  <c r="EH88" i="14"/>
  <c r="EI88" i="14" s="1"/>
  <c r="EK88" i="14" s="1"/>
  <c r="EA88" i="14"/>
  <c r="EB88" i="14" s="1"/>
  <c r="EA104" i="14"/>
  <c r="EB104" i="14" s="1"/>
  <c r="EH104" i="14"/>
  <c r="EI104" i="14" s="1"/>
  <c r="EK104" i="14" s="1"/>
  <c r="AB135" i="15"/>
  <c r="AE135" i="15"/>
  <c r="CS155" i="14"/>
  <c r="CT155" i="14" s="1"/>
  <c r="CU155" i="14"/>
  <c r="CV155" i="14" s="1"/>
  <c r="EH101" i="14"/>
  <c r="EI101" i="14" s="1"/>
  <c r="EK101" i="14" s="1"/>
  <c r="EA101" i="14"/>
  <c r="EB101" i="14" s="1"/>
  <c r="AE132" i="15"/>
  <c r="AB132" i="15"/>
  <c r="CS149" i="14"/>
  <c r="CT149" i="14" s="1"/>
  <c r="CU149" i="14"/>
  <c r="CV149" i="14" s="1"/>
  <c r="AE96" i="15"/>
  <c r="AB96" i="15"/>
  <c r="EH144" i="14"/>
  <c r="EI144" i="14" s="1"/>
  <c r="EK144" i="14" s="1"/>
  <c r="EA144" i="14"/>
  <c r="EB144" i="14" s="1"/>
  <c r="EH146" i="14"/>
  <c r="EI146" i="14" s="1"/>
  <c r="EK146" i="14" s="1"/>
  <c r="EA146" i="14"/>
  <c r="EB146" i="14" s="1"/>
  <c r="AE118" i="15"/>
  <c r="AB118" i="15"/>
  <c r="CU110" i="14"/>
  <c r="CV110" i="14" s="1"/>
  <c r="CS110" i="14"/>
  <c r="CT110" i="14" s="1"/>
  <c r="AE134" i="15"/>
  <c r="AB134" i="15"/>
  <c r="AB108" i="15"/>
  <c r="AE108" i="15"/>
  <c r="CS153" i="14"/>
  <c r="CT153" i="14" s="1"/>
  <c r="CU153" i="14"/>
  <c r="CV153" i="14" s="1"/>
  <c r="AE114" i="15"/>
  <c r="AB114" i="15"/>
  <c r="EH135" i="14"/>
  <c r="EI135" i="14" s="1"/>
  <c r="EK135" i="14" s="1"/>
  <c r="EA135" i="14"/>
  <c r="EB135" i="14" s="1"/>
  <c r="AB146" i="15"/>
  <c r="AE146" i="15"/>
  <c r="EA107" i="14"/>
  <c r="EB107" i="14" s="1"/>
  <c r="EH107" i="14"/>
  <c r="EI107" i="14" s="1"/>
  <c r="EK107" i="14" s="1"/>
  <c r="EA152" i="14"/>
  <c r="EB152" i="14" s="1"/>
  <c r="EH152" i="14"/>
  <c r="EI152" i="14" s="1"/>
  <c r="EK152" i="14" s="1"/>
  <c r="EA158" i="14"/>
  <c r="EB158" i="14" s="1"/>
  <c r="EH158" i="14"/>
  <c r="EI158" i="14" s="1"/>
  <c r="EK158" i="14" s="1"/>
  <c r="EH138" i="14"/>
  <c r="EI138" i="14" s="1"/>
  <c r="EK138" i="14" s="1"/>
  <c r="EA138" i="14"/>
  <c r="EB138" i="14" s="1"/>
  <c r="EH125" i="14"/>
  <c r="EI125" i="14" s="1"/>
  <c r="EK125" i="14" s="1"/>
  <c r="EA125" i="14"/>
  <c r="EB125" i="14" s="1"/>
  <c r="EH136" i="14"/>
  <c r="EI136" i="14" s="1"/>
  <c r="EK136" i="14" s="1"/>
  <c r="EA136" i="14"/>
  <c r="EB136" i="14" s="1"/>
  <c r="EH90" i="14"/>
  <c r="EI90" i="14" s="1"/>
  <c r="EK90" i="14" s="1"/>
  <c r="EA90" i="14"/>
  <c r="EB90" i="14" s="1"/>
  <c r="AB141" i="15"/>
  <c r="AE141" i="15"/>
  <c r="AB95" i="15"/>
  <c r="AE95" i="15"/>
  <c r="EA155" i="14"/>
  <c r="EB155" i="14" s="1"/>
  <c r="EH155" i="14"/>
  <c r="EI155" i="14" s="1"/>
  <c r="EK155" i="14" s="1"/>
  <c r="CU109" i="14"/>
  <c r="CV109" i="14" s="1"/>
  <c r="CS109" i="14"/>
  <c r="CT109" i="14" s="1"/>
  <c r="EA149" i="14"/>
  <c r="EB149" i="14" s="1"/>
  <c r="EH149" i="14"/>
  <c r="EI149" i="14" s="1"/>
  <c r="EK149" i="14" s="1"/>
  <c r="CS129" i="14"/>
  <c r="CT129" i="14" s="1"/>
  <c r="CU129" i="14"/>
  <c r="CV129" i="14" s="1"/>
  <c r="CU132" i="14"/>
  <c r="CV132" i="14" s="1"/>
  <c r="CS132" i="14"/>
  <c r="CT132" i="14" s="1"/>
  <c r="CS83" i="14"/>
  <c r="CT83" i="14" s="1"/>
  <c r="CW83" i="14" s="1"/>
  <c r="CX83" i="14" s="1"/>
  <c r="DA83" i="14" s="1"/>
  <c r="DB83" i="14" s="1"/>
  <c r="CU61" i="14"/>
  <c r="CV61" i="14" s="1"/>
  <c r="CW61" i="14" s="1"/>
  <c r="CX61" i="14" s="1"/>
  <c r="CY61" i="14" s="1"/>
  <c r="CZ61" i="14" s="1"/>
  <c r="AA46" i="15"/>
  <c r="Y46" i="15"/>
  <c r="AB46" i="15" s="1"/>
  <c r="CS85" i="14"/>
  <c r="CT85" i="14" s="1"/>
  <c r="CW85" i="14" s="1"/>
  <c r="CX85" i="14" s="1"/>
  <c r="CU88" i="14" l="1"/>
  <c r="CV88" i="14" s="1"/>
  <c r="CS89" i="14"/>
  <c r="CT89" i="14" s="1"/>
  <c r="CW89" i="14" s="1"/>
  <c r="CX89" i="14" s="1"/>
  <c r="CS84" i="14"/>
  <c r="CT84" i="14" s="1"/>
  <c r="CW84" i="14" s="1"/>
  <c r="CX84" i="14" s="1"/>
  <c r="CY84" i="14" s="1"/>
  <c r="CZ84" i="14" s="1"/>
  <c r="X6" i="1"/>
  <c r="AB66" i="15"/>
  <c r="X9" i="1"/>
  <c r="CU67" i="14"/>
  <c r="CV67" i="14" s="1"/>
  <c r="CW67" i="14" s="1"/>
  <c r="CX67" i="14" s="1"/>
  <c r="CY67" i="14" s="1"/>
  <c r="CZ67" i="14" s="1"/>
  <c r="CU63" i="14"/>
  <c r="CV63" i="14" s="1"/>
  <c r="CW63" i="14" s="1"/>
  <c r="CX63" i="14" s="1"/>
  <c r="DA63" i="14" s="1"/>
  <c r="DB63" i="14" s="1"/>
  <c r="AE59" i="15"/>
  <c r="CU80" i="14"/>
  <c r="CV80" i="14" s="1"/>
  <c r="CW80" i="14" s="1"/>
  <c r="CX80" i="14" s="1"/>
  <c r="DA80" i="14" s="1"/>
  <c r="DB80" i="14" s="1"/>
  <c r="AB49" i="15"/>
  <c r="CS79" i="14"/>
  <c r="CT79" i="14" s="1"/>
  <c r="CW79" i="14" s="1"/>
  <c r="CX79" i="14" s="1"/>
  <c r="DA79" i="14" s="1"/>
  <c r="DB79" i="14" s="1"/>
  <c r="CU71" i="14"/>
  <c r="CV71" i="14" s="1"/>
  <c r="CW71" i="14" s="1"/>
  <c r="CX71" i="14" s="1"/>
  <c r="CY71" i="14" s="1"/>
  <c r="CZ71" i="14" s="1"/>
  <c r="AE58" i="15"/>
  <c r="AB50" i="15"/>
  <c r="AB53" i="15"/>
  <c r="AE63" i="15"/>
  <c r="AB70" i="15"/>
  <c r="AE60" i="15"/>
  <c r="CU62" i="14"/>
  <c r="CV62" i="14" s="1"/>
  <c r="CW62" i="14" s="1"/>
  <c r="CX62" i="14" s="1"/>
  <c r="DA62" i="14" s="1"/>
  <c r="DB62" i="14" s="1"/>
  <c r="CS66" i="14"/>
  <c r="CT66" i="14" s="1"/>
  <c r="CW66" i="14" s="1"/>
  <c r="CX66" i="14" s="1"/>
  <c r="CY66" i="14" s="1"/>
  <c r="CZ66" i="14" s="1"/>
  <c r="CU64" i="14"/>
  <c r="CV64" i="14" s="1"/>
  <c r="CW64" i="14" s="1"/>
  <c r="CX64" i="14" s="1"/>
  <c r="CY64" i="14" s="1"/>
  <c r="CZ64" i="14" s="1"/>
  <c r="AE48" i="15"/>
  <c r="CS72" i="14"/>
  <c r="CT72" i="14" s="1"/>
  <c r="CW72" i="14" s="1"/>
  <c r="CX72" i="14" s="1"/>
  <c r="CY72" i="14" s="1"/>
  <c r="CZ72" i="14" s="1"/>
  <c r="CU70" i="14"/>
  <c r="CV70" i="14" s="1"/>
  <c r="CW70" i="14" s="1"/>
  <c r="CX70" i="14" s="1"/>
  <c r="CY70" i="14" s="1"/>
  <c r="CZ70" i="14" s="1"/>
  <c r="AE62" i="15"/>
  <c r="EA60" i="14"/>
  <c r="EB60" i="14" s="1"/>
  <c r="EH81" i="14"/>
  <c r="EI81" i="14" s="1"/>
  <c r="EK81" i="14" s="1"/>
  <c r="CS78" i="14"/>
  <c r="CT78" i="14" s="1"/>
  <c r="CW78" i="14" s="1"/>
  <c r="CX78" i="14" s="1"/>
  <c r="DA78" i="14" s="1"/>
  <c r="DB78" i="14" s="1"/>
  <c r="CU65" i="14"/>
  <c r="CV65" i="14" s="1"/>
  <c r="CW65" i="14" s="1"/>
  <c r="CX65" i="14" s="1"/>
  <c r="DA65" i="14" s="1"/>
  <c r="DB65" i="14" s="1"/>
  <c r="AE68" i="15"/>
  <c r="CU75" i="14"/>
  <c r="CV75" i="14" s="1"/>
  <c r="CW75" i="14" s="1"/>
  <c r="CX75" i="14" s="1"/>
  <c r="CY75" i="14" s="1"/>
  <c r="CZ75" i="14" s="1"/>
  <c r="CU68" i="14"/>
  <c r="CV68" i="14" s="1"/>
  <c r="CW68" i="14" s="1"/>
  <c r="CX68" i="14" s="1"/>
  <c r="DA68" i="14" s="1"/>
  <c r="DB68" i="14" s="1"/>
  <c r="AE71" i="15"/>
  <c r="EH82" i="14"/>
  <c r="EI82" i="14" s="1"/>
  <c r="EK82" i="14" s="1"/>
  <c r="EH83" i="14"/>
  <c r="EI83" i="14" s="1"/>
  <c r="EK83" i="14" s="1"/>
  <c r="EA83" i="14"/>
  <c r="EB83" i="14" s="1"/>
  <c r="EA85" i="14"/>
  <c r="EB85" i="14" s="1"/>
  <c r="EH85" i="14"/>
  <c r="EI85" i="14" s="1"/>
  <c r="EK85" i="14" s="1"/>
  <c r="CU77" i="14"/>
  <c r="CV77" i="14" s="1"/>
  <c r="CW77" i="14" s="1"/>
  <c r="CX77" i="14" s="1"/>
  <c r="DA77" i="14" s="1"/>
  <c r="DB77" i="14" s="1"/>
  <c r="AE52" i="15"/>
  <c r="CS82" i="14"/>
  <c r="CT82" i="14" s="1"/>
  <c r="CW82" i="14" s="1"/>
  <c r="CX82" i="14" s="1"/>
  <c r="CY82" i="14" s="1"/>
  <c r="CZ82" i="14" s="1"/>
  <c r="CS76" i="14"/>
  <c r="CT76" i="14" s="1"/>
  <c r="CW76" i="14" s="1"/>
  <c r="CX76" i="14" s="1"/>
  <c r="DA76" i="14" s="1"/>
  <c r="DB76" i="14" s="1"/>
  <c r="AE64" i="15"/>
  <c r="CU74" i="14"/>
  <c r="CV74" i="14" s="1"/>
  <c r="CW74" i="14" s="1"/>
  <c r="CX74" i="14" s="1"/>
  <c r="CY74" i="14" s="1"/>
  <c r="CZ74" i="14" s="1"/>
  <c r="AB69" i="15"/>
  <c r="CU73" i="14"/>
  <c r="CV73" i="14" s="1"/>
  <c r="CW73" i="14" s="1"/>
  <c r="CX73" i="14" s="1"/>
  <c r="DA73" i="14" s="1"/>
  <c r="DB73" i="14" s="1"/>
  <c r="CS69" i="14"/>
  <c r="CT69" i="14" s="1"/>
  <c r="CW69" i="14" s="1"/>
  <c r="CX69" i="14" s="1"/>
  <c r="CY69" i="14" s="1"/>
  <c r="CZ69" i="14" s="1"/>
  <c r="AB65" i="15"/>
  <c r="P17" i="15"/>
  <c r="X10" i="46" s="1"/>
  <c r="CS60" i="14"/>
  <c r="CT60" i="14" s="1"/>
  <c r="CW60" i="14" s="1"/>
  <c r="CX60" i="14" s="1"/>
  <c r="CY60" i="14" s="1"/>
  <c r="CZ60" i="14" s="1"/>
  <c r="P14" i="15"/>
  <c r="X7" i="46" s="1"/>
  <c r="AE51" i="15"/>
  <c r="AB51" i="15"/>
  <c r="CW117" i="14"/>
  <c r="CX117" i="14" s="1"/>
  <c r="CY117" i="14" s="1"/>
  <c r="CZ117" i="14" s="1"/>
  <c r="CW123" i="14"/>
  <c r="CX123" i="14" s="1"/>
  <c r="DA123" i="14" s="1"/>
  <c r="DB123" i="14" s="1"/>
  <c r="CW96" i="14"/>
  <c r="CX96" i="14" s="1"/>
  <c r="CY96" i="14" s="1"/>
  <c r="CZ96" i="14" s="1"/>
  <c r="CS81" i="14"/>
  <c r="CT81" i="14" s="1"/>
  <c r="CW81" i="14" s="1"/>
  <c r="CX81" i="14" s="1"/>
  <c r="DA81" i="14" s="1"/>
  <c r="DB81" i="14" s="1"/>
  <c r="CW128" i="14"/>
  <c r="CX128" i="14" s="1"/>
  <c r="CY128" i="14" s="1"/>
  <c r="CZ128" i="14" s="1"/>
  <c r="CW121" i="14"/>
  <c r="CX121" i="14" s="1"/>
  <c r="CY121" i="14" s="1"/>
  <c r="CZ121" i="14" s="1"/>
  <c r="CW119" i="14"/>
  <c r="CX119" i="14" s="1"/>
  <c r="DA119" i="14" s="1"/>
  <c r="DB119" i="14" s="1"/>
  <c r="DM139" i="14"/>
  <c r="DN139" i="14" s="1"/>
  <c r="DO139" i="14" s="1"/>
  <c r="CW126" i="14"/>
  <c r="CX126" i="14" s="1"/>
  <c r="DA126" i="14" s="1"/>
  <c r="DB126" i="14" s="1"/>
  <c r="CW131" i="14"/>
  <c r="CX131" i="14" s="1"/>
  <c r="CY131" i="14" s="1"/>
  <c r="CZ131" i="14" s="1"/>
  <c r="CW97" i="14"/>
  <c r="CX97" i="14" s="1"/>
  <c r="DA97" i="14" s="1"/>
  <c r="DB97" i="14" s="1"/>
  <c r="CW153" i="14"/>
  <c r="CX153" i="14" s="1"/>
  <c r="DA153" i="14" s="1"/>
  <c r="DB153" i="14" s="1"/>
  <c r="CW149" i="14"/>
  <c r="CX149" i="14" s="1"/>
  <c r="DA149" i="14" s="1"/>
  <c r="DB149" i="14" s="1"/>
  <c r="CW86" i="14"/>
  <c r="CX86" i="14" s="1"/>
  <c r="DA86" i="14" s="1"/>
  <c r="DB86" i="14" s="1"/>
  <c r="CW133" i="14"/>
  <c r="CX133" i="14" s="1"/>
  <c r="CY133" i="14" s="1"/>
  <c r="CZ133" i="14" s="1"/>
  <c r="CW94" i="14"/>
  <c r="CX94" i="14" s="1"/>
  <c r="DA94" i="14" s="1"/>
  <c r="DB94" i="14" s="1"/>
  <c r="CW154" i="14"/>
  <c r="CX154" i="14" s="1"/>
  <c r="DA154" i="14" s="1"/>
  <c r="DB154" i="14" s="1"/>
  <c r="CW100" i="14"/>
  <c r="CX100" i="14" s="1"/>
  <c r="CY100" i="14" s="1"/>
  <c r="CZ100" i="14" s="1"/>
  <c r="CW92" i="14"/>
  <c r="CX92" i="14" s="1"/>
  <c r="CY92" i="14" s="1"/>
  <c r="CZ92" i="14" s="1"/>
  <c r="CW151" i="14"/>
  <c r="CX151" i="14" s="1"/>
  <c r="DA151" i="14" s="1"/>
  <c r="DB151" i="14" s="1"/>
  <c r="CW105" i="14"/>
  <c r="CX105" i="14" s="1"/>
  <c r="DA105" i="14" s="1"/>
  <c r="DB105" i="14" s="1"/>
  <c r="CW113" i="14"/>
  <c r="CX113" i="14" s="1"/>
  <c r="DA113" i="14" s="1"/>
  <c r="DB113" i="14" s="1"/>
  <c r="CW156" i="14"/>
  <c r="CX156" i="14" s="1"/>
  <c r="DA156" i="14" s="1"/>
  <c r="DB156" i="14" s="1"/>
  <c r="CW99" i="14"/>
  <c r="CX99" i="14" s="1"/>
  <c r="DA99" i="14" s="1"/>
  <c r="DB99" i="14" s="1"/>
  <c r="CW134" i="14"/>
  <c r="CX134" i="14" s="1"/>
  <c r="CY134" i="14" s="1"/>
  <c r="CZ134" i="14" s="1"/>
  <c r="CW115" i="14"/>
  <c r="CX115" i="14" s="1"/>
  <c r="CY115" i="14" s="1"/>
  <c r="CZ115" i="14" s="1"/>
  <c r="CW147" i="14"/>
  <c r="CX147" i="14" s="1"/>
  <c r="DA147" i="14" s="1"/>
  <c r="DB147" i="14" s="1"/>
  <c r="CW118" i="14"/>
  <c r="CX118" i="14" s="1"/>
  <c r="DA118" i="14" s="1"/>
  <c r="DB118" i="14" s="1"/>
  <c r="CW111" i="14"/>
  <c r="CX111" i="14" s="1"/>
  <c r="CY111" i="14" s="1"/>
  <c r="CZ111" i="14" s="1"/>
  <c r="CW130" i="14"/>
  <c r="CX130" i="14" s="1"/>
  <c r="CY130" i="14" s="1"/>
  <c r="CZ130" i="14" s="1"/>
  <c r="CW132" i="14"/>
  <c r="CX132" i="14" s="1"/>
  <c r="CY132" i="14" s="1"/>
  <c r="CZ132" i="14" s="1"/>
  <c r="CW138" i="14"/>
  <c r="CX138" i="14" s="1"/>
  <c r="CY138" i="14" s="1"/>
  <c r="CZ138" i="14" s="1"/>
  <c r="CW152" i="14"/>
  <c r="CX152" i="14" s="1"/>
  <c r="DA152" i="14" s="1"/>
  <c r="DB152" i="14" s="1"/>
  <c r="CW107" i="14"/>
  <c r="CX107" i="14" s="1"/>
  <c r="CY107" i="14" s="1"/>
  <c r="CZ107" i="14" s="1"/>
  <c r="CW146" i="14"/>
  <c r="CX146" i="14" s="1"/>
  <c r="DA146" i="14" s="1"/>
  <c r="DB146" i="14" s="1"/>
  <c r="CW141" i="14"/>
  <c r="CX141" i="14" s="1"/>
  <c r="DA141" i="14" s="1"/>
  <c r="DB141" i="14" s="1"/>
  <c r="CW104" i="14"/>
  <c r="CX104" i="14" s="1"/>
  <c r="CY104" i="14" s="1"/>
  <c r="CZ104" i="14" s="1"/>
  <c r="CW127" i="14"/>
  <c r="CX127" i="14" s="1"/>
  <c r="CY127" i="14" s="1"/>
  <c r="CZ127" i="14" s="1"/>
  <c r="CW114" i="14"/>
  <c r="CX114" i="14" s="1"/>
  <c r="DA114" i="14" s="1"/>
  <c r="DB114" i="14" s="1"/>
  <c r="CW108" i="14"/>
  <c r="CX108" i="14" s="1"/>
  <c r="DA108" i="14" s="1"/>
  <c r="DB108" i="14" s="1"/>
  <c r="CW122" i="14"/>
  <c r="CX122" i="14" s="1"/>
  <c r="DA122" i="14" s="1"/>
  <c r="DB122" i="14" s="1"/>
  <c r="CW102" i="14"/>
  <c r="CX102" i="14" s="1"/>
  <c r="CY102" i="14" s="1"/>
  <c r="CZ102" i="14" s="1"/>
  <c r="CW160" i="14"/>
  <c r="CX160" i="14" s="1"/>
  <c r="DA160" i="14" s="1"/>
  <c r="DB160" i="14" s="1"/>
  <c r="CW109" i="14"/>
  <c r="CX109" i="14" s="1"/>
  <c r="CW135" i="14"/>
  <c r="CX135" i="14" s="1"/>
  <c r="CW88" i="14"/>
  <c r="CX88" i="14" s="1"/>
  <c r="CW93" i="14"/>
  <c r="CX93" i="14" s="1"/>
  <c r="CW112" i="14"/>
  <c r="CX112" i="14" s="1"/>
  <c r="CW106" i="14"/>
  <c r="CX106" i="14" s="1"/>
  <c r="CW129" i="14"/>
  <c r="CX129" i="14" s="1"/>
  <c r="CW110" i="14"/>
  <c r="CX110" i="14" s="1"/>
  <c r="CW90" i="14"/>
  <c r="CX90" i="14" s="1"/>
  <c r="CW158" i="14"/>
  <c r="CX158" i="14" s="1"/>
  <c r="CW144" i="14"/>
  <c r="CX144" i="14" s="1"/>
  <c r="CW145" i="14"/>
  <c r="CX145" i="14" s="1"/>
  <c r="CW159" i="14"/>
  <c r="CX159" i="14" s="1"/>
  <c r="CW148" i="14"/>
  <c r="CX148" i="14" s="1"/>
  <c r="CW124" i="14"/>
  <c r="CX124" i="14" s="1"/>
  <c r="CW150" i="14"/>
  <c r="CX150" i="14" s="1"/>
  <c r="CW140" i="14"/>
  <c r="CX140" i="14" s="1"/>
  <c r="CW136" i="14"/>
  <c r="CX136" i="14" s="1"/>
  <c r="CW101" i="14"/>
  <c r="CX101" i="14" s="1"/>
  <c r="CW157" i="14"/>
  <c r="CX157" i="14" s="1"/>
  <c r="CW98" i="14"/>
  <c r="CX98" i="14" s="1"/>
  <c r="CW143" i="14"/>
  <c r="CX143" i="14" s="1"/>
  <c r="CW137" i="14"/>
  <c r="CX137" i="14" s="1"/>
  <c r="CW116" i="14"/>
  <c r="CX116" i="14" s="1"/>
  <c r="CW155" i="14"/>
  <c r="CX155" i="14" s="1"/>
  <c r="CW125" i="14"/>
  <c r="CX125" i="14" s="1"/>
  <c r="CW142" i="14"/>
  <c r="CX142" i="14" s="1"/>
  <c r="CW120" i="14"/>
  <c r="CX120" i="14" s="1"/>
  <c r="CW103" i="14"/>
  <c r="CX103" i="14" s="1"/>
  <c r="CW91" i="14"/>
  <c r="CX91" i="14" s="1"/>
  <c r="CW95" i="14"/>
  <c r="CX95" i="14" s="1"/>
  <c r="CW87" i="14"/>
  <c r="CX87" i="14" s="1"/>
  <c r="AE46" i="15"/>
  <c r="CY83" i="14"/>
  <c r="CZ83" i="14" s="1"/>
  <c r="DA61" i="14"/>
  <c r="DB61" i="14" s="1"/>
  <c r="CY85" i="14"/>
  <c r="CZ85" i="14" s="1"/>
  <c r="DA85" i="14"/>
  <c r="DB85" i="14" s="1"/>
  <c r="CY79" i="14" l="1"/>
  <c r="CZ79" i="14" s="1"/>
  <c r="DA84" i="14"/>
  <c r="DB84" i="14" s="1"/>
  <c r="DC84" i="14" s="1"/>
  <c r="CY63" i="14"/>
  <c r="CZ63" i="14" s="1"/>
  <c r="DC63" i="14" s="1"/>
  <c r="DD63" i="14" s="1"/>
  <c r="DG63" i="14" s="1"/>
  <c r="DH63" i="14" s="1"/>
  <c r="CY80" i="14"/>
  <c r="CZ80" i="14" s="1"/>
  <c r="DC80" i="14" s="1"/>
  <c r="DD80" i="14" s="1"/>
  <c r="DA67" i="14"/>
  <c r="DB67" i="14" s="1"/>
  <c r="DC67" i="14" s="1"/>
  <c r="DD67" i="14" s="1"/>
  <c r="DA71" i="14"/>
  <c r="DB71" i="14" s="1"/>
  <c r="DC71" i="14" s="1"/>
  <c r="DD71" i="14" s="1"/>
  <c r="X10" i="1"/>
  <c r="X7" i="1"/>
  <c r="DA66" i="14"/>
  <c r="DB66" i="14" s="1"/>
  <c r="DC66" i="14" s="1"/>
  <c r="DD66" i="14" s="1"/>
  <c r="DG66" i="14" s="1"/>
  <c r="DH66" i="14" s="1"/>
  <c r="DA64" i="14"/>
  <c r="DB64" i="14" s="1"/>
  <c r="DC64" i="14" s="1"/>
  <c r="DD64" i="14" s="1"/>
  <c r="CY62" i="14"/>
  <c r="CZ62" i="14" s="1"/>
  <c r="DC62" i="14" s="1"/>
  <c r="DD62" i="14" s="1"/>
  <c r="DG62" i="14" s="1"/>
  <c r="DH62" i="14" s="1"/>
  <c r="DA72" i="14"/>
  <c r="DB72" i="14" s="1"/>
  <c r="DC72" i="14" s="1"/>
  <c r="DD72" i="14" s="1"/>
  <c r="DE72" i="14" s="1"/>
  <c r="DF72" i="14" s="1"/>
  <c r="DA70" i="14"/>
  <c r="DB70" i="14" s="1"/>
  <c r="DC70" i="14" s="1"/>
  <c r="DD70" i="14" s="1"/>
  <c r="CY78" i="14"/>
  <c r="CZ78" i="14" s="1"/>
  <c r="DC78" i="14" s="1"/>
  <c r="DD78" i="14" s="1"/>
  <c r="CY65" i="14"/>
  <c r="CZ65" i="14" s="1"/>
  <c r="DC65" i="14" s="1"/>
  <c r="DD65" i="14" s="1"/>
  <c r="DG65" i="14" s="1"/>
  <c r="DH65" i="14" s="1"/>
  <c r="DA75" i="14"/>
  <c r="DB75" i="14" s="1"/>
  <c r="DC75" i="14" s="1"/>
  <c r="DD75" i="14" s="1"/>
  <c r="CY77" i="14"/>
  <c r="CZ77" i="14" s="1"/>
  <c r="DC77" i="14" s="1"/>
  <c r="DD77" i="14" s="1"/>
  <c r="DA82" i="14"/>
  <c r="DB82" i="14" s="1"/>
  <c r="DC82" i="14" s="1"/>
  <c r="DD82" i="14" s="1"/>
  <c r="CY76" i="14"/>
  <c r="CZ76" i="14" s="1"/>
  <c r="DC76" i="14" s="1"/>
  <c r="DD76" i="14" s="1"/>
  <c r="DE76" i="14" s="1"/>
  <c r="DF76" i="14" s="1"/>
  <c r="CY68" i="14"/>
  <c r="CZ68" i="14" s="1"/>
  <c r="DC68" i="14" s="1"/>
  <c r="DD68" i="14" s="1"/>
  <c r="DP139" i="14"/>
  <c r="DQ139" i="14" s="1"/>
  <c r="DR139" i="14" s="1"/>
  <c r="DA69" i="14"/>
  <c r="DB69" i="14" s="1"/>
  <c r="DC69" i="14" s="1"/>
  <c r="DD69" i="14" s="1"/>
  <c r="DG69" i="14" s="1"/>
  <c r="DH69" i="14" s="1"/>
  <c r="DA74" i="14"/>
  <c r="DB74" i="14" s="1"/>
  <c r="DC74" i="14" s="1"/>
  <c r="DD74" i="14" s="1"/>
  <c r="O12" i="15"/>
  <c r="W5" i="46" s="1"/>
  <c r="DA60" i="14"/>
  <c r="DB60" i="14" s="1"/>
  <c r="DC60" i="14" s="1"/>
  <c r="DD60" i="14" s="1"/>
  <c r="DE60" i="14" s="1"/>
  <c r="DF60" i="14" s="1"/>
  <c r="CY73" i="14"/>
  <c r="CZ73" i="14" s="1"/>
  <c r="DC73" i="14" s="1"/>
  <c r="DD73" i="14" s="1"/>
  <c r="O15" i="15"/>
  <c r="W8" i="46" s="1"/>
  <c r="DA96" i="14"/>
  <c r="DB96" i="14" s="1"/>
  <c r="DC96" i="14" s="1"/>
  <c r="DD96" i="14" s="1"/>
  <c r="CY123" i="14"/>
  <c r="CZ123" i="14" s="1"/>
  <c r="DC123" i="14" s="1"/>
  <c r="DD123" i="14" s="1"/>
  <c r="DE123" i="14" s="1"/>
  <c r="DF123" i="14" s="1"/>
  <c r="N11" i="15"/>
  <c r="V4" i="46" s="1"/>
  <c r="CY81" i="14"/>
  <c r="CZ81" i="14" s="1"/>
  <c r="DC81" i="14" s="1"/>
  <c r="DD81" i="14" s="1"/>
  <c r="DA128" i="14"/>
  <c r="DB128" i="14" s="1"/>
  <c r="DC128" i="14" s="1"/>
  <c r="DD128" i="14" s="1"/>
  <c r="DE128" i="14" s="1"/>
  <c r="DF128" i="14" s="1"/>
  <c r="DA117" i="14"/>
  <c r="DB117" i="14" s="1"/>
  <c r="DC117" i="14" s="1"/>
  <c r="DD117" i="14" s="1"/>
  <c r="CY126" i="14"/>
  <c r="CZ126" i="14" s="1"/>
  <c r="DC126" i="14" s="1"/>
  <c r="DD126" i="14" s="1"/>
  <c r="DE126" i="14" s="1"/>
  <c r="DF126" i="14" s="1"/>
  <c r="DA121" i="14"/>
  <c r="DB121" i="14" s="1"/>
  <c r="DC121" i="14" s="1"/>
  <c r="DD121" i="14" s="1"/>
  <c r="CY99" i="14"/>
  <c r="CZ99" i="14" s="1"/>
  <c r="DC99" i="14" s="1"/>
  <c r="DD99" i="14" s="1"/>
  <c r="DA131" i="14"/>
  <c r="DB131" i="14" s="1"/>
  <c r="DC131" i="14" s="1"/>
  <c r="DD131" i="14" s="1"/>
  <c r="CY97" i="14"/>
  <c r="CZ97" i="14" s="1"/>
  <c r="DC97" i="14" s="1"/>
  <c r="DD97" i="14" s="1"/>
  <c r="CY153" i="14"/>
  <c r="CZ153" i="14" s="1"/>
  <c r="DC153" i="14" s="1"/>
  <c r="DD153" i="14" s="1"/>
  <c r="DE153" i="14" s="1"/>
  <c r="DF153" i="14" s="1"/>
  <c r="CY118" i="14"/>
  <c r="CZ118" i="14" s="1"/>
  <c r="DC118" i="14" s="1"/>
  <c r="DD118" i="14" s="1"/>
  <c r="DE118" i="14" s="1"/>
  <c r="DF118" i="14" s="1"/>
  <c r="CY160" i="14"/>
  <c r="CZ160" i="14" s="1"/>
  <c r="DC160" i="14" s="1"/>
  <c r="DD160" i="14" s="1"/>
  <c r="DG160" i="14" s="1"/>
  <c r="DH160" i="14" s="1"/>
  <c r="DA104" i="14"/>
  <c r="DB104" i="14" s="1"/>
  <c r="DC104" i="14" s="1"/>
  <c r="DD104" i="14" s="1"/>
  <c r="CY149" i="14"/>
  <c r="CZ149" i="14" s="1"/>
  <c r="DC149" i="14" s="1"/>
  <c r="DD149" i="14" s="1"/>
  <c r="DA111" i="14"/>
  <c r="DB111" i="14" s="1"/>
  <c r="DC111" i="14" s="1"/>
  <c r="DD111" i="14" s="1"/>
  <c r="DE111" i="14" s="1"/>
  <c r="DF111" i="14" s="1"/>
  <c r="CY105" i="14"/>
  <c r="CZ105" i="14" s="1"/>
  <c r="DC105" i="14" s="1"/>
  <c r="DD105" i="14" s="1"/>
  <c r="DG105" i="14" s="1"/>
  <c r="DH105" i="14" s="1"/>
  <c r="CY151" i="14"/>
  <c r="CZ151" i="14" s="1"/>
  <c r="DC151" i="14" s="1"/>
  <c r="DD151" i="14" s="1"/>
  <c r="CY119" i="14"/>
  <c r="CZ119" i="14" s="1"/>
  <c r="DC119" i="14" s="1"/>
  <c r="DD119" i="14" s="1"/>
  <c r="CY113" i="14"/>
  <c r="CZ113" i="14" s="1"/>
  <c r="DC113" i="14" s="1"/>
  <c r="DD113" i="14" s="1"/>
  <c r="DG113" i="14" s="1"/>
  <c r="DH113" i="14" s="1"/>
  <c r="CY86" i="14"/>
  <c r="CZ86" i="14" s="1"/>
  <c r="DC86" i="14" s="1"/>
  <c r="DD86" i="14" s="1"/>
  <c r="CY94" i="14"/>
  <c r="CZ94" i="14" s="1"/>
  <c r="DC94" i="14" s="1"/>
  <c r="DD94" i="14" s="1"/>
  <c r="CY156" i="14"/>
  <c r="CZ156" i="14" s="1"/>
  <c r="DC156" i="14" s="1"/>
  <c r="DD156" i="14" s="1"/>
  <c r="DG156" i="14" s="1"/>
  <c r="DH156" i="14" s="1"/>
  <c r="DA133" i="14"/>
  <c r="DB133" i="14" s="1"/>
  <c r="DC133" i="14" s="1"/>
  <c r="DD133" i="14" s="1"/>
  <c r="DA138" i="14"/>
  <c r="DB138" i="14" s="1"/>
  <c r="DC138" i="14" s="1"/>
  <c r="DD138" i="14" s="1"/>
  <c r="DE138" i="14" s="1"/>
  <c r="DF138" i="14" s="1"/>
  <c r="CY154" i="14"/>
  <c r="CZ154" i="14" s="1"/>
  <c r="DC154" i="14" s="1"/>
  <c r="DD154" i="14" s="1"/>
  <c r="CY108" i="14"/>
  <c r="CZ108" i="14" s="1"/>
  <c r="DC108" i="14" s="1"/>
  <c r="DD108" i="14" s="1"/>
  <c r="DE108" i="14" s="1"/>
  <c r="DF108" i="14" s="1"/>
  <c r="DA102" i="14"/>
  <c r="DB102" i="14" s="1"/>
  <c r="DC102" i="14" s="1"/>
  <c r="DD102" i="14" s="1"/>
  <c r="DA92" i="14"/>
  <c r="DB92" i="14" s="1"/>
  <c r="DC92" i="14" s="1"/>
  <c r="DD92" i="14" s="1"/>
  <c r="DG92" i="14" s="1"/>
  <c r="DH92" i="14" s="1"/>
  <c r="DA115" i="14"/>
  <c r="DB115" i="14" s="1"/>
  <c r="DC115" i="14" s="1"/>
  <c r="DD115" i="14" s="1"/>
  <c r="CY146" i="14"/>
  <c r="CZ146" i="14" s="1"/>
  <c r="DC146" i="14" s="1"/>
  <c r="DD146" i="14" s="1"/>
  <c r="DA100" i="14"/>
  <c r="DB100" i="14" s="1"/>
  <c r="DC100" i="14" s="1"/>
  <c r="DD100" i="14" s="1"/>
  <c r="DA107" i="14"/>
  <c r="DB107" i="14" s="1"/>
  <c r="DC107" i="14" s="1"/>
  <c r="DD107" i="14" s="1"/>
  <c r="DE107" i="14" s="1"/>
  <c r="DF107" i="14" s="1"/>
  <c r="CY147" i="14"/>
  <c r="CZ147" i="14" s="1"/>
  <c r="DC147" i="14" s="1"/>
  <c r="DD147" i="14" s="1"/>
  <c r="DA130" i="14"/>
  <c r="DB130" i="14" s="1"/>
  <c r="DC130" i="14" s="1"/>
  <c r="DD130" i="14" s="1"/>
  <c r="DE130" i="14" s="1"/>
  <c r="DF130" i="14" s="1"/>
  <c r="CY141" i="14"/>
  <c r="CZ141" i="14" s="1"/>
  <c r="DC141" i="14" s="1"/>
  <c r="DD141" i="14" s="1"/>
  <c r="DA127" i="14"/>
  <c r="DB127" i="14" s="1"/>
  <c r="DC127" i="14" s="1"/>
  <c r="DD127" i="14" s="1"/>
  <c r="DG127" i="14" s="1"/>
  <c r="DH127" i="14" s="1"/>
  <c r="CY114" i="14"/>
  <c r="CZ114" i="14" s="1"/>
  <c r="DC114" i="14" s="1"/>
  <c r="DD114" i="14" s="1"/>
  <c r="DA132" i="14"/>
  <c r="DB132" i="14" s="1"/>
  <c r="DC132" i="14" s="1"/>
  <c r="DD132" i="14" s="1"/>
  <c r="CY152" i="14"/>
  <c r="CZ152" i="14" s="1"/>
  <c r="DC152" i="14" s="1"/>
  <c r="DD152" i="14" s="1"/>
  <c r="DA134" i="14"/>
  <c r="DB134" i="14" s="1"/>
  <c r="DC134" i="14" s="1"/>
  <c r="DD134" i="14" s="1"/>
  <c r="CY122" i="14"/>
  <c r="CZ122" i="14" s="1"/>
  <c r="DC122" i="14" s="1"/>
  <c r="DD122" i="14" s="1"/>
  <c r="DG122" i="14" s="1"/>
  <c r="DH122" i="14" s="1"/>
  <c r="DA142" i="14"/>
  <c r="DB142" i="14" s="1"/>
  <c r="CY142" i="14"/>
  <c r="CZ142" i="14" s="1"/>
  <c r="CY98" i="14"/>
  <c r="CZ98" i="14" s="1"/>
  <c r="DA98" i="14"/>
  <c r="DB98" i="14" s="1"/>
  <c r="DA124" i="14"/>
  <c r="DB124" i="14" s="1"/>
  <c r="CY124" i="14"/>
  <c r="CZ124" i="14" s="1"/>
  <c r="DA129" i="14"/>
  <c r="DB129" i="14" s="1"/>
  <c r="CY129" i="14"/>
  <c r="CZ129" i="14" s="1"/>
  <c r="CY125" i="14"/>
  <c r="CZ125" i="14" s="1"/>
  <c r="DA125" i="14"/>
  <c r="DB125" i="14" s="1"/>
  <c r="CY157" i="14"/>
  <c r="CZ157" i="14" s="1"/>
  <c r="DA157" i="14"/>
  <c r="DB157" i="14" s="1"/>
  <c r="CY148" i="14"/>
  <c r="CZ148" i="14" s="1"/>
  <c r="DA148" i="14"/>
  <c r="DB148" i="14" s="1"/>
  <c r="CY155" i="14"/>
  <c r="CZ155" i="14" s="1"/>
  <c r="DA155" i="14"/>
  <c r="DB155" i="14" s="1"/>
  <c r="CY101" i="14"/>
  <c r="CZ101" i="14" s="1"/>
  <c r="DA101" i="14"/>
  <c r="DB101" i="14" s="1"/>
  <c r="DA159" i="14"/>
  <c r="DB159" i="14" s="1"/>
  <c r="CY159" i="14"/>
  <c r="CZ159" i="14" s="1"/>
  <c r="CY136" i="14"/>
  <c r="CZ136" i="14" s="1"/>
  <c r="DA136" i="14"/>
  <c r="DB136" i="14" s="1"/>
  <c r="DA145" i="14"/>
  <c r="DB145" i="14" s="1"/>
  <c r="CY145" i="14"/>
  <c r="CZ145" i="14" s="1"/>
  <c r="CY88" i="14"/>
  <c r="CZ88" i="14" s="1"/>
  <c r="DA88" i="14"/>
  <c r="DB88" i="14" s="1"/>
  <c r="DA95" i="14"/>
  <c r="DB95" i="14" s="1"/>
  <c r="CY95" i="14"/>
  <c r="CZ95" i="14" s="1"/>
  <c r="DA144" i="14"/>
  <c r="DB144" i="14" s="1"/>
  <c r="CY144" i="14"/>
  <c r="CZ144" i="14" s="1"/>
  <c r="DA135" i="14"/>
  <c r="DB135" i="14" s="1"/>
  <c r="CY135" i="14"/>
  <c r="CZ135" i="14" s="1"/>
  <c r="CY87" i="14"/>
  <c r="CZ87" i="14" s="1"/>
  <c r="DA87" i="14"/>
  <c r="DB87" i="14" s="1"/>
  <c r="DA91" i="14"/>
  <c r="DB91" i="14" s="1"/>
  <c r="CY91" i="14"/>
  <c r="CZ91" i="14" s="1"/>
  <c r="CY116" i="14"/>
  <c r="CZ116" i="14" s="1"/>
  <c r="DA116" i="14"/>
  <c r="DB116" i="14" s="1"/>
  <c r="DA158" i="14"/>
  <c r="DB158" i="14" s="1"/>
  <c r="CY158" i="14"/>
  <c r="CZ158" i="14" s="1"/>
  <c r="DA106" i="14"/>
  <c r="DB106" i="14" s="1"/>
  <c r="CY106" i="14"/>
  <c r="CZ106" i="14" s="1"/>
  <c r="DA103" i="14"/>
  <c r="DB103" i="14" s="1"/>
  <c r="CY103" i="14"/>
  <c r="CZ103" i="14" s="1"/>
  <c r="DA137" i="14"/>
  <c r="DB137" i="14" s="1"/>
  <c r="CY137" i="14"/>
  <c r="CZ137" i="14" s="1"/>
  <c r="CY140" i="14"/>
  <c r="CZ140" i="14" s="1"/>
  <c r="DA140" i="14"/>
  <c r="DB140" i="14" s="1"/>
  <c r="CY90" i="14"/>
  <c r="CZ90" i="14" s="1"/>
  <c r="DA90" i="14"/>
  <c r="DB90" i="14" s="1"/>
  <c r="DA112" i="14"/>
  <c r="DB112" i="14" s="1"/>
  <c r="CY112" i="14"/>
  <c r="CZ112" i="14" s="1"/>
  <c r="DA89" i="14"/>
  <c r="DB89" i="14" s="1"/>
  <c r="CY89" i="14"/>
  <c r="CZ89" i="14" s="1"/>
  <c r="DA120" i="14"/>
  <c r="DB120" i="14" s="1"/>
  <c r="CY120" i="14"/>
  <c r="CZ120" i="14" s="1"/>
  <c r="CY143" i="14"/>
  <c r="CZ143" i="14" s="1"/>
  <c r="DA143" i="14"/>
  <c r="DB143" i="14" s="1"/>
  <c r="DA150" i="14"/>
  <c r="DB150" i="14" s="1"/>
  <c r="CY150" i="14"/>
  <c r="CZ150" i="14" s="1"/>
  <c r="DA110" i="14"/>
  <c r="DB110" i="14" s="1"/>
  <c r="CY110" i="14"/>
  <c r="CZ110" i="14" s="1"/>
  <c r="CY93" i="14"/>
  <c r="CZ93" i="14" s="1"/>
  <c r="DA93" i="14"/>
  <c r="DB93" i="14" s="1"/>
  <c r="CY109" i="14"/>
  <c r="CZ109" i="14" s="1"/>
  <c r="DA109" i="14"/>
  <c r="DB109" i="14" s="1"/>
  <c r="DC85" i="14"/>
  <c r="DD85" i="14" s="1"/>
  <c r="DD84" i="14"/>
  <c r="DG84" i="14" s="1"/>
  <c r="DH84" i="14" s="1"/>
  <c r="DC83" i="14"/>
  <c r="DD83" i="14" s="1"/>
  <c r="DC79" i="14"/>
  <c r="DD79" i="14" s="1"/>
  <c r="DC61" i="14"/>
  <c r="DD61" i="14" s="1"/>
  <c r="DG72" i="14" l="1"/>
  <c r="DH72" i="14" s="1"/>
  <c r="DI72" i="14" s="1"/>
  <c r="DJ72" i="14" s="1"/>
  <c r="W5" i="1"/>
  <c r="W8" i="1"/>
  <c r="V4" i="1"/>
  <c r="DS139" i="14"/>
  <c r="DT139" i="14" s="1"/>
  <c r="DE149" i="14"/>
  <c r="DF149" i="14" s="1"/>
  <c r="DG149" i="14"/>
  <c r="DH149" i="14" s="1"/>
  <c r="DE94" i="14"/>
  <c r="DF94" i="14" s="1"/>
  <c r="DG94" i="14"/>
  <c r="DH94" i="14" s="1"/>
  <c r="DG154" i="14"/>
  <c r="DH154" i="14" s="1"/>
  <c r="DE154" i="14"/>
  <c r="DF154" i="14" s="1"/>
  <c r="DG108" i="14"/>
  <c r="DH108" i="14" s="1"/>
  <c r="DI108" i="14" s="1"/>
  <c r="DJ108" i="14" s="1"/>
  <c r="DG138" i="14"/>
  <c r="DH138" i="14" s="1"/>
  <c r="DI138" i="14" s="1"/>
  <c r="DJ138" i="14" s="1"/>
  <c r="DE122" i="14"/>
  <c r="DF122" i="14" s="1"/>
  <c r="DI122" i="14" s="1"/>
  <c r="DJ122" i="14" s="1"/>
  <c r="DG153" i="14"/>
  <c r="DH153" i="14" s="1"/>
  <c r="DI153" i="14" s="1"/>
  <c r="DJ153" i="14" s="1"/>
  <c r="DE156" i="14"/>
  <c r="DF156" i="14" s="1"/>
  <c r="DI156" i="14" s="1"/>
  <c r="DJ156" i="14" s="1"/>
  <c r="DG126" i="14"/>
  <c r="DH126" i="14" s="1"/>
  <c r="DI126" i="14" s="1"/>
  <c r="DJ126" i="14" s="1"/>
  <c r="DM126" i="14" s="1"/>
  <c r="DN126" i="14" s="1"/>
  <c r="DE100" i="14"/>
  <c r="DF100" i="14" s="1"/>
  <c r="DG100" i="14"/>
  <c r="DH100" i="14" s="1"/>
  <c r="DE160" i="14"/>
  <c r="DF160" i="14" s="1"/>
  <c r="DI160" i="14" s="1"/>
  <c r="DJ160" i="14" s="1"/>
  <c r="DG118" i="14"/>
  <c r="DH118" i="14" s="1"/>
  <c r="DI118" i="14" s="1"/>
  <c r="DJ118" i="14" s="1"/>
  <c r="DG130" i="14"/>
  <c r="DH130" i="14" s="1"/>
  <c r="DI130" i="14" s="1"/>
  <c r="DJ130" i="14" s="1"/>
  <c r="DG111" i="14"/>
  <c r="DH111" i="14" s="1"/>
  <c r="DI111" i="14" s="1"/>
  <c r="DJ111" i="14" s="1"/>
  <c r="DE105" i="14"/>
  <c r="DF105" i="14" s="1"/>
  <c r="DI105" i="14" s="1"/>
  <c r="DJ105" i="14" s="1"/>
  <c r="DK105" i="14" s="1"/>
  <c r="DL105" i="14" s="1"/>
  <c r="DE127" i="14"/>
  <c r="DF127" i="14" s="1"/>
  <c r="DI127" i="14" s="1"/>
  <c r="DJ127" i="14" s="1"/>
  <c r="DM127" i="14" s="1"/>
  <c r="DN127" i="14" s="1"/>
  <c r="DC110" i="14"/>
  <c r="DD110" i="14" s="1"/>
  <c r="DG110" i="14" s="1"/>
  <c r="DH110" i="14" s="1"/>
  <c r="DE113" i="14"/>
  <c r="DF113" i="14" s="1"/>
  <c r="DI113" i="14" s="1"/>
  <c r="DJ113" i="14" s="1"/>
  <c r="DK113" i="14" s="1"/>
  <c r="DL113" i="14" s="1"/>
  <c r="DG107" i="14"/>
  <c r="DH107" i="14" s="1"/>
  <c r="DI107" i="14" s="1"/>
  <c r="DJ107" i="14" s="1"/>
  <c r="DC98" i="14"/>
  <c r="DD98" i="14" s="1"/>
  <c r="DG98" i="14" s="1"/>
  <c r="DH98" i="14" s="1"/>
  <c r="DC129" i="14"/>
  <c r="DD129" i="14" s="1"/>
  <c r="DG129" i="14" s="1"/>
  <c r="DH129" i="14" s="1"/>
  <c r="DG123" i="14"/>
  <c r="DH123" i="14" s="1"/>
  <c r="DI123" i="14" s="1"/>
  <c r="DJ123" i="14" s="1"/>
  <c r="DG128" i="14"/>
  <c r="DH128" i="14" s="1"/>
  <c r="DI128" i="14" s="1"/>
  <c r="DJ128" i="14" s="1"/>
  <c r="DC140" i="14"/>
  <c r="DD140" i="14" s="1"/>
  <c r="DE140" i="14" s="1"/>
  <c r="DF140" i="14" s="1"/>
  <c r="DG134" i="14"/>
  <c r="DH134" i="14" s="1"/>
  <c r="DE134" i="14"/>
  <c r="DF134" i="14" s="1"/>
  <c r="DE152" i="14"/>
  <c r="DF152" i="14" s="1"/>
  <c r="DG152" i="14"/>
  <c r="DH152" i="14" s="1"/>
  <c r="DC135" i="14"/>
  <c r="DD135" i="14" s="1"/>
  <c r="DG135" i="14" s="1"/>
  <c r="DH135" i="14" s="1"/>
  <c r="DC137" i="14"/>
  <c r="DD137" i="14" s="1"/>
  <c r="DE137" i="14" s="1"/>
  <c r="DF137" i="14" s="1"/>
  <c r="DC159" i="14"/>
  <c r="DD159" i="14" s="1"/>
  <c r="DG159" i="14" s="1"/>
  <c r="DH159" i="14" s="1"/>
  <c r="DC124" i="14"/>
  <c r="DD124" i="14" s="1"/>
  <c r="DG124" i="14" s="1"/>
  <c r="DH124" i="14" s="1"/>
  <c r="DC87" i="14"/>
  <c r="DD87" i="14" s="1"/>
  <c r="DE87" i="14" s="1"/>
  <c r="DF87" i="14" s="1"/>
  <c r="DC95" i="14"/>
  <c r="DD95" i="14" s="1"/>
  <c r="DE95" i="14" s="1"/>
  <c r="DF95" i="14" s="1"/>
  <c r="DC136" i="14"/>
  <c r="DD136" i="14" s="1"/>
  <c r="DG136" i="14" s="1"/>
  <c r="DH136" i="14" s="1"/>
  <c r="DC125" i="14"/>
  <c r="DD125" i="14" s="1"/>
  <c r="DE125" i="14" s="1"/>
  <c r="DF125" i="14" s="1"/>
  <c r="DC116" i="14"/>
  <c r="DD116" i="14" s="1"/>
  <c r="DE116" i="14" s="1"/>
  <c r="DF116" i="14" s="1"/>
  <c r="DE92" i="14"/>
  <c r="DF92" i="14" s="1"/>
  <c r="DI92" i="14" s="1"/>
  <c r="DJ92" i="14" s="1"/>
  <c r="DK92" i="14" s="1"/>
  <c r="DL92" i="14" s="1"/>
  <c r="DC145" i="14"/>
  <c r="DD145" i="14" s="1"/>
  <c r="DG145" i="14" s="1"/>
  <c r="DH145" i="14" s="1"/>
  <c r="DC103" i="14"/>
  <c r="DD103" i="14" s="1"/>
  <c r="DG103" i="14" s="1"/>
  <c r="DH103" i="14" s="1"/>
  <c r="DC142" i="14"/>
  <c r="DD142" i="14" s="1"/>
  <c r="DE142" i="14" s="1"/>
  <c r="DF142" i="14" s="1"/>
  <c r="DC109" i="14"/>
  <c r="DD109" i="14" s="1"/>
  <c r="DE109" i="14" s="1"/>
  <c r="DF109" i="14" s="1"/>
  <c r="DC89" i="14"/>
  <c r="DD89" i="14" s="1"/>
  <c r="DE89" i="14" s="1"/>
  <c r="DF89" i="14" s="1"/>
  <c r="DC91" i="14"/>
  <c r="DD91" i="14" s="1"/>
  <c r="DE91" i="14" s="1"/>
  <c r="DF91" i="14" s="1"/>
  <c r="DG114" i="14"/>
  <c r="DH114" i="14" s="1"/>
  <c r="DE114" i="14"/>
  <c r="DF114" i="14" s="1"/>
  <c r="DE99" i="14"/>
  <c r="DF99" i="14" s="1"/>
  <c r="DG99" i="14"/>
  <c r="DH99" i="14" s="1"/>
  <c r="DE96" i="14"/>
  <c r="DF96" i="14" s="1"/>
  <c r="DG96" i="14"/>
  <c r="DH96" i="14" s="1"/>
  <c r="DC157" i="14"/>
  <c r="DD157" i="14" s="1"/>
  <c r="DC93" i="14"/>
  <c r="DD93" i="14" s="1"/>
  <c r="DG147" i="14"/>
  <c r="DH147" i="14" s="1"/>
  <c r="DE147" i="14"/>
  <c r="DF147" i="14" s="1"/>
  <c r="DE97" i="14"/>
  <c r="DF97" i="14" s="1"/>
  <c r="DG97" i="14"/>
  <c r="DH97" i="14" s="1"/>
  <c r="DG117" i="14"/>
  <c r="DH117" i="14" s="1"/>
  <c r="DE117" i="14"/>
  <c r="DF117" i="14" s="1"/>
  <c r="DE86" i="14"/>
  <c r="DF86" i="14" s="1"/>
  <c r="DG86" i="14"/>
  <c r="DH86" i="14" s="1"/>
  <c r="DG141" i="14"/>
  <c r="DH141" i="14" s="1"/>
  <c r="DE141" i="14"/>
  <c r="DF141" i="14" s="1"/>
  <c r="DC143" i="14"/>
  <c r="DD143" i="14" s="1"/>
  <c r="DC112" i="14"/>
  <c r="DD112" i="14" s="1"/>
  <c r="DC106" i="14"/>
  <c r="DD106" i="14" s="1"/>
  <c r="DC158" i="14"/>
  <c r="DD158" i="14" s="1"/>
  <c r="DE132" i="14"/>
  <c r="DF132" i="14" s="1"/>
  <c r="DG132" i="14"/>
  <c r="DH132" i="14" s="1"/>
  <c r="DE133" i="14"/>
  <c r="DF133" i="14" s="1"/>
  <c r="DG133" i="14"/>
  <c r="DH133" i="14" s="1"/>
  <c r="DC155" i="14"/>
  <c r="DD155" i="14" s="1"/>
  <c r="DG119" i="14"/>
  <c r="DH119" i="14" s="1"/>
  <c r="DE119" i="14"/>
  <c r="DF119" i="14" s="1"/>
  <c r="DE151" i="14"/>
  <c r="DF151" i="14" s="1"/>
  <c r="DG151" i="14"/>
  <c r="DH151" i="14" s="1"/>
  <c r="DE104" i="14"/>
  <c r="DF104" i="14" s="1"/>
  <c r="DG104" i="14"/>
  <c r="DH104" i="14" s="1"/>
  <c r="DG121" i="14"/>
  <c r="DH121" i="14" s="1"/>
  <c r="DE121" i="14"/>
  <c r="DF121" i="14" s="1"/>
  <c r="DG146" i="14"/>
  <c r="DH146" i="14" s="1"/>
  <c r="DE146" i="14"/>
  <c r="DF146" i="14" s="1"/>
  <c r="DE115" i="14"/>
  <c r="DF115" i="14" s="1"/>
  <c r="DG115" i="14"/>
  <c r="DH115" i="14" s="1"/>
  <c r="DG131" i="14"/>
  <c r="DH131" i="14" s="1"/>
  <c r="DE131" i="14"/>
  <c r="DF131" i="14" s="1"/>
  <c r="DG102" i="14"/>
  <c r="DH102" i="14" s="1"/>
  <c r="DE102" i="14"/>
  <c r="DF102" i="14" s="1"/>
  <c r="DC90" i="14"/>
  <c r="DD90" i="14" s="1"/>
  <c r="DC88" i="14"/>
  <c r="DD88" i="14" s="1"/>
  <c r="DC150" i="14"/>
  <c r="DD150" i="14" s="1"/>
  <c r="DC120" i="14"/>
  <c r="DD120" i="14" s="1"/>
  <c r="DC144" i="14"/>
  <c r="DD144" i="14" s="1"/>
  <c r="DC101" i="14"/>
  <c r="DD101" i="14" s="1"/>
  <c r="DC148" i="14"/>
  <c r="DD148" i="14" s="1"/>
  <c r="DE84" i="14"/>
  <c r="DF84" i="14" s="1"/>
  <c r="DI84" i="14" s="1"/>
  <c r="DJ84" i="14" s="1"/>
  <c r="DE68" i="14"/>
  <c r="DF68" i="14" s="1"/>
  <c r="DG68" i="14"/>
  <c r="DH68" i="14" s="1"/>
  <c r="DE61" i="14"/>
  <c r="DF61" i="14" s="1"/>
  <c r="DG61" i="14"/>
  <c r="DH61" i="14" s="1"/>
  <c r="DG79" i="14"/>
  <c r="DH79" i="14" s="1"/>
  <c r="DE79" i="14"/>
  <c r="DF79" i="14" s="1"/>
  <c r="DG83" i="14"/>
  <c r="DH83" i="14" s="1"/>
  <c r="DE83" i="14"/>
  <c r="DF83" i="14" s="1"/>
  <c r="DG73" i="14"/>
  <c r="DH73" i="14" s="1"/>
  <c r="DE73" i="14"/>
  <c r="DF73" i="14" s="1"/>
  <c r="DE66" i="14"/>
  <c r="DF66" i="14" s="1"/>
  <c r="DI66" i="14" s="1"/>
  <c r="DJ66" i="14" s="1"/>
  <c r="DK66" i="14" s="1"/>
  <c r="DL66" i="14" s="1"/>
  <c r="DE69" i="14"/>
  <c r="DF69" i="14" s="1"/>
  <c r="DI69" i="14" s="1"/>
  <c r="DJ69" i="14" s="1"/>
  <c r="DE63" i="14"/>
  <c r="DF63" i="14" s="1"/>
  <c r="DE65" i="14"/>
  <c r="DF65" i="14" s="1"/>
  <c r="DE62" i="14"/>
  <c r="DF62" i="14" s="1"/>
  <c r="DG76" i="14"/>
  <c r="DH76" i="14" s="1"/>
  <c r="DI76" i="14" s="1"/>
  <c r="DG80" i="14"/>
  <c r="DH80" i="14" s="1"/>
  <c r="DE80" i="14"/>
  <c r="DF80" i="14" s="1"/>
  <c r="DE71" i="14"/>
  <c r="DF71" i="14" s="1"/>
  <c r="DG71" i="14"/>
  <c r="DH71" i="14" s="1"/>
  <c r="DG70" i="14"/>
  <c r="DH70" i="14" s="1"/>
  <c r="DE70" i="14"/>
  <c r="DF70" i="14" s="1"/>
  <c r="DG74" i="14"/>
  <c r="DH74" i="14" s="1"/>
  <c r="DE74" i="14"/>
  <c r="DF74" i="14" s="1"/>
  <c r="DE82" i="14"/>
  <c r="DF82" i="14" s="1"/>
  <c r="DG82" i="14"/>
  <c r="DH82" i="14" s="1"/>
  <c r="DE85" i="14"/>
  <c r="DF85" i="14" s="1"/>
  <c r="DG85" i="14"/>
  <c r="DH85" i="14" s="1"/>
  <c r="DE77" i="14"/>
  <c r="DF77" i="14" s="1"/>
  <c r="DG77" i="14"/>
  <c r="DH77" i="14" s="1"/>
  <c r="DG75" i="14"/>
  <c r="DH75" i="14" s="1"/>
  <c r="DE75" i="14"/>
  <c r="DF75" i="14" s="1"/>
  <c r="DG67" i="14"/>
  <c r="DH67" i="14" s="1"/>
  <c r="DE67" i="14"/>
  <c r="DF67" i="14" s="1"/>
  <c r="DE81" i="14"/>
  <c r="DF81" i="14" s="1"/>
  <c r="DG81" i="14"/>
  <c r="DH81" i="14" s="1"/>
  <c r="DG60" i="14"/>
  <c r="DH60" i="14" s="1"/>
  <c r="DG64" i="14"/>
  <c r="DH64" i="14" s="1"/>
  <c r="DE64" i="14"/>
  <c r="DF64" i="14" s="1"/>
  <c r="DE78" i="14"/>
  <c r="DF78" i="14" s="1"/>
  <c r="DG78" i="14"/>
  <c r="DH78" i="14" s="1"/>
  <c r="DI149" i="14" l="1"/>
  <c r="DJ149" i="14" s="1"/>
  <c r="DM149" i="14" s="1"/>
  <c r="DN149" i="14" s="1"/>
  <c r="DI94" i="14"/>
  <c r="DJ94" i="14" s="1"/>
  <c r="DM94" i="14" s="1"/>
  <c r="DN94" i="14" s="1"/>
  <c r="DG125" i="14"/>
  <c r="DH125" i="14" s="1"/>
  <c r="DI125" i="14" s="1"/>
  <c r="DJ125" i="14" s="1"/>
  <c r="DK125" i="14" s="1"/>
  <c r="DL125" i="14" s="1"/>
  <c r="DE129" i="14"/>
  <c r="DF129" i="14" s="1"/>
  <c r="DI129" i="14" s="1"/>
  <c r="DJ129" i="14" s="1"/>
  <c r="DM129" i="14" s="1"/>
  <c r="DN129" i="14" s="1"/>
  <c r="DI100" i="14"/>
  <c r="DJ100" i="14" s="1"/>
  <c r="DM100" i="14" s="1"/>
  <c r="DN100" i="14" s="1"/>
  <c r="DI154" i="14"/>
  <c r="DJ154" i="14" s="1"/>
  <c r="DK154" i="14" s="1"/>
  <c r="DL154" i="14" s="1"/>
  <c r="DE110" i="14"/>
  <c r="DF110" i="14" s="1"/>
  <c r="DI110" i="14" s="1"/>
  <c r="DJ110" i="14" s="1"/>
  <c r="DE159" i="14"/>
  <c r="DF159" i="14" s="1"/>
  <c r="DI159" i="14" s="1"/>
  <c r="DJ159" i="14" s="1"/>
  <c r="DE98" i="14"/>
  <c r="DF98" i="14" s="1"/>
  <c r="DI98" i="14" s="1"/>
  <c r="DJ98" i="14" s="1"/>
  <c r="DE103" i="14"/>
  <c r="DF103" i="14" s="1"/>
  <c r="DI103" i="14" s="1"/>
  <c r="DJ103" i="14" s="1"/>
  <c r="DG109" i="14"/>
  <c r="DH109" i="14" s="1"/>
  <c r="DI109" i="14" s="1"/>
  <c r="DJ109" i="14" s="1"/>
  <c r="DM109" i="14" s="1"/>
  <c r="DN109" i="14" s="1"/>
  <c r="DE136" i="14"/>
  <c r="DF136" i="14" s="1"/>
  <c r="DI136" i="14" s="1"/>
  <c r="DJ136" i="14" s="1"/>
  <c r="DM107" i="14"/>
  <c r="DN107" i="14" s="1"/>
  <c r="DK107" i="14"/>
  <c r="DL107" i="14" s="1"/>
  <c r="DG95" i="14"/>
  <c r="DH95" i="14" s="1"/>
  <c r="DI95" i="14" s="1"/>
  <c r="DJ95" i="14" s="1"/>
  <c r="DM95" i="14" s="1"/>
  <c r="DN95" i="14" s="1"/>
  <c r="DG140" i="14"/>
  <c r="DH140" i="14" s="1"/>
  <c r="DI140" i="14" s="1"/>
  <c r="DJ140" i="14" s="1"/>
  <c r="DM140" i="14" s="1"/>
  <c r="DN140" i="14" s="1"/>
  <c r="DK123" i="14"/>
  <c r="DL123" i="14" s="1"/>
  <c r="DM123" i="14"/>
  <c r="DN123" i="14" s="1"/>
  <c r="DG142" i="14"/>
  <c r="DH142" i="14" s="1"/>
  <c r="DI142" i="14" s="1"/>
  <c r="DJ142" i="14" s="1"/>
  <c r="DK142" i="14" s="1"/>
  <c r="DL142" i="14" s="1"/>
  <c r="DE135" i="14"/>
  <c r="DF135" i="14" s="1"/>
  <c r="DI135" i="14" s="1"/>
  <c r="DJ135" i="14" s="1"/>
  <c r="DG137" i="14"/>
  <c r="DH137" i="14" s="1"/>
  <c r="DI137" i="14" s="1"/>
  <c r="DJ137" i="14" s="1"/>
  <c r="DK128" i="14"/>
  <c r="DL128" i="14" s="1"/>
  <c r="DM128" i="14"/>
  <c r="DN128" i="14" s="1"/>
  <c r="DM113" i="14"/>
  <c r="DN113" i="14" s="1"/>
  <c r="DO113" i="14" s="1"/>
  <c r="DG116" i="14"/>
  <c r="DH116" i="14" s="1"/>
  <c r="DI116" i="14" s="1"/>
  <c r="DJ116" i="14" s="1"/>
  <c r="DE124" i="14"/>
  <c r="DF124" i="14" s="1"/>
  <c r="DI124" i="14" s="1"/>
  <c r="DJ124" i="14" s="1"/>
  <c r="DK126" i="14"/>
  <c r="DL126" i="14" s="1"/>
  <c r="DO126" i="14" s="1"/>
  <c r="DK127" i="14"/>
  <c r="DL127" i="14" s="1"/>
  <c r="DO127" i="14" s="1"/>
  <c r="DE145" i="14"/>
  <c r="DF145" i="14" s="1"/>
  <c r="DI145" i="14" s="1"/>
  <c r="DJ145" i="14" s="1"/>
  <c r="DK145" i="14" s="1"/>
  <c r="DL145" i="14" s="1"/>
  <c r="DI134" i="14"/>
  <c r="DJ134" i="14" s="1"/>
  <c r="DK134" i="14" s="1"/>
  <c r="DL134" i="14" s="1"/>
  <c r="DG91" i="14"/>
  <c r="DH91" i="14" s="1"/>
  <c r="DI91" i="14" s="1"/>
  <c r="DJ91" i="14" s="1"/>
  <c r="DG87" i="14"/>
  <c r="DH87" i="14" s="1"/>
  <c r="DI87" i="14" s="1"/>
  <c r="DJ87" i="14" s="1"/>
  <c r="DI152" i="14"/>
  <c r="DJ152" i="14" s="1"/>
  <c r="DM92" i="14"/>
  <c r="DN92" i="14" s="1"/>
  <c r="DO92" i="14" s="1"/>
  <c r="DM105" i="14"/>
  <c r="DN105" i="14" s="1"/>
  <c r="DO105" i="14" s="1"/>
  <c r="DG89" i="14"/>
  <c r="DH89" i="14" s="1"/>
  <c r="DI89" i="14" s="1"/>
  <c r="DJ89" i="14" s="1"/>
  <c r="DI86" i="14"/>
  <c r="DJ86" i="14" s="1"/>
  <c r="DK86" i="14" s="1"/>
  <c r="DL86" i="14" s="1"/>
  <c r="DI115" i="14"/>
  <c r="DJ115" i="14" s="1"/>
  <c r="DK115" i="14" s="1"/>
  <c r="DL115" i="14" s="1"/>
  <c r="DI146" i="14"/>
  <c r="DJ146" i="14" s="1"/>
  <c r="DK146" i="14" s="1"/>
  <c r="DL146" i="14" s="1"/>
  <c r="DI119" i="14"/>
  <c r="DJ119" i="14" s="1"/>
  <c r="DM119" i="14" s="1"/>
  <c r="DN119" i="14" s="1"/>
  <c r="DI114" i="14"/>
  <c r="DJ114" i="14" s="1"/>
  <c r="DM114" i="14" s="1"/>
  <c r="DN114" i="14" s="1"/>
  <c r="DI151" i="14"/>
  <c r="DJ151" i="14" s="1"/>
  <c r="DK151" i="14" s="1"/>
  <c r="DL151" i="14" s="1"/>
  <c r="DI131" i="14"/>
  <c r="DJ131" i="14" s="1"/>
  <c r="DK131" i="14" s="1"/>
  <c r="DL131" i="14" s="1"/>
  <c r="DI141" i="14"/>
  <c r="DJ141" i="14" s="1"/>
  <c r="DM141" i="14" s="1"/>
  <c r="DN141" i="14" s="1"/>
  <c r="DI96" i="14"/>
  <c r="DJ96" i="14" s="1"/>
  <c r="DK96" i="14" s="1"/>
  <c r="DL96" i="14" s="1"/>
  <c r="DE144" i="14"/>
  <c r="DF144" i="14" s="1"/>
  <c r="DG144" i="14"/>
  <c r="DH144" i="14" s="1"/>
  <c r="DG93" i="14"/>
  <c r="DH93" i="14" s="1"/>
  <c r="DE93" i="14"/>
  <c r="DF93" i="14" s="1"/>
  <c r="DK156" i="14"/>
  <c r="DL156" i="14" s="1"/>
  <c r="DM156" i="14"/>
  <c r="DN156" i="14" s="1"/>
  <c r="DG120" i="14"/>
  <c r="DH120" i="14" s="1"/>
  <c r="DE120" i="14"/>
  <c r="DF120" i="14" s="1"/>
  <c r="DE158" i="14"/>
  <c r="DF158" i="14" s="1"/>
  <c r="DG158" i="14"/>
  <c r="DH158" i="14" s="1"/>
  <c r="DE157" i="14"/>
  <c r="DF157" i="14" s="1"/>
  <c r="DG157" i="14"/>
  <c r="DH157" i="14" s="1"/>
  <c r="DE148" i="14"/>
  <c r="DF148" i="14" s="1"/>
  <c r="DG148" i="14"/>
  <c r="DH148" i="14" s="1"/>
  <c r="DE150" i="14"/>
  <c r="DF150" i="14" s="1"/>
  <c r="DG150" i="14"/>
  <c r="DH150" i="14" s="1"/>
  <c r="DG90" i="14"/>
  <c r="DH90" i="14" s="1"/>
  <c r="DE90" i="14"/>
  <c r="DF90" i="14" s="1"/>
  <c r="DG106" i="14"/>
  <c r="DH106" i="14" s="1"/>
  <c r="DE106" i="14"/>
  <c r="DF106" i="14" s="1"/>
  <c r="DI97" i="14"/>
  <c r="DJ97" i="14" s="1"/>
  <c r="DK153" i="14"/>
  <c r="DL153" i="14" s="1"/>
  <c r="DM153" i="14"/>
  <c r="DN153" i="14" s="1"/>
  <c r="DG101" i="14"/>
  <c r="DH101" i="14" s="1"/>
  <c r="DE101" i="14"/>
  <c r="DF101" i="14" s="1"/>
  <c r="DI102" i="14"/>
  <c r="DJ102" i="14" s="1"/>
  <c r="DI121" i="14"/>
  <c r="DJ121" i="14" s="1"/>
  <c r="DG155" i="14"/>
  <c r="DH155" i="14" s="1"/>
  <c r="DE155" i="14"/>
  <c r="DF155" i="14" s="1"/>
  <c r="DE112" i="14"/>
  <c r="DF112" i="14" s="1"/>
  <c r="DG112" i="14"/>
  <c r="DH112" i="14" s="1"/>
  <c r="DI147" i="14"/>
  <c r="DJ147" i="14" s="1"/>
  <c r="DM160" i="14"/>
  <c r="DN160" i="14" s="1"/>
  <c r="DK160" i="14"/>
  <c r="DL160" i="14" s="1"/>
  <c r="DG143" i="14"/>
  <c r="DH143" i="14" s="1"/>
  <c r="DE143" i="14"/>
  <c r="DF143" i="14" s="1"/>
  <c r="DM138" i="14"/>
  <c r="DN138" i="14" s="1"/>
  <c r="DK138" i="14"/>
  <c r="DL138" i="14" s="1"/>
  <c r="DI133" i="14"/>
  <c r="DJ133" i="14" s="1"/>
  <c r="DI99" i="14"/>
  <c r="DJ99" i="14" s="1"/>
  <c r="DK118" i="14"/>
  <c r="DL118" i="14" s="1"/>
  <c r="DM118" i="14"/>
  <c r="DN118" i="14" s="1"/>
  <c r="DE88" i="14"/>
  <c r="DF88" i="14" s="1"/>
  <c r="DG88" i="14"/>
  <c r="DH88" i="14" s="1"/>
  <c r="DI104" i="14"/>
  <c r="DJ104" i="14" s="1"/>
  <c r="DM111" i="14"/>
  <c r="DN111" i="14" s="1"/>
  <c r="DK111" i="14"/>
  <c r="DL111" i="14" s="1"/>
  <c r="DM108" i="14"/>
  <c r="DN108" i="14" s="1"/>
  <c r="DK108" i="14"/>
  <c r="DL108" i="14" s="1"/>
  <c r="DK122" i="14"/>
  <c r="DL122" i="14" s="1"/>
  <c r="DM122" i="14"/>
  <c r="DN122" i="14" s="1"/>
  <c r="DI132" i="14"/>
  <c r="DJ132" i="14" s="1"/>
  <c r="DI117" i="14"/>
  <c r="DJ117" i="14" s="1"/>
  <c r="DM130" i="14"/>
  <c r="DN130" i="14" s="1"/>
  <c r="DK130" i="14"/>
  <c r="DL130" i="14" s="1"/>
  <c r="DI73" i="14"/>
  <c r="DJ73" i="14" s="1"/>
  <c r="DM73" i="14" s="1"/>
  <c r="DN73" i="14" s="1"/>
  <c r="DI68" i="14"/>
  <c r="DJ68" i="14" s="1"/>
  <c r="DM68" i="14" s="1"/>
  <c r="DN68" i="14" s="1"/>
  <c r="DI83" i="14"/>
  <c r="DJ83" i="14" s="1"/>
  <c r="DK83" i="14" s="1"/>
  <c r="DL83" i="14" s="1"/>
  <c r="DI70" i="14"/>
  <c r="DJ70" i="14" s="1"/>
  <c r="DI61" i="14"/>
  <c r="DJ61" i="14" s="1"/>
  <c r="DM61" i="14" s="1"/>
  <c r="DN61" i="14" s="1"/>
  <c r="DI79" i="14"/>
  <c r="DJ79" i="14" s="1"/>
  <c r="DM79" i="14" s="1"/>
  <c r="DN79" i="14" s="1"/>
  <c r="DI67" i="14"/>
  <c r="DJ67" i="14" s="1"/>
  <c r="DI60" i="14"/>
  <c r="DJ60" i="14" s="1"/>
  <c r="DI74" i="14"/>
  <c r="DJ74" i="14" s="1"/>
  <c r="DM74" i="14" s="1"/>
  <c r="DN74" i="14" s="1"/>
  <c r="DI64" i="14"/>
  <c r="DJ64" i="14" s="1"/>
  <c r="DM64" i="14" s="1"/>
  <c r="DN64" i="14" s="1"/>
  <c r="DI80" i="14"/>
  <c r="DJ80" i="14" s="1"/>
  <c r="DK80" i="14" s="1"/>
  <c r="DL80" i="14" s="1"/>
  <c r="DI75" i="14"/>
  <c r="DJ75" i="14" s="1"/>
  <c r="DM75" i="14" s="1"/>
  <c r="DN75" i="14" s="1"/>
  <c r="DM84" i="14"/>
  <c r="DN84" i="14" s="1"/>
  <c r="DK84" i="14"/>
  <c r="DL84" i="14" s="1"/>
  <c r="DI71" i="14"/>
  <c r="DJ71" i="14" s="1"/>
  <c r="DI65" i="14"/>
  <c r="DJ65" i="14" s="1"/>
  <c r="DI63" i="14"/>
  <c r="DJ63" i="14" s="1"/>
  <c r="DJ76" i="14"/>
  <c r="DM76" i="14" s="1"/>
  <c r="DN76" i="14" s="1"/>
  <c r="DI85" i="14"/>
  <c r="DJ85" i="14" s="1"/>
  <c r="DI81" i="14"/>
  <c r="DJ81" i="14" s="1"/>
  <c r="DI62" i="14"/>
  <c r="DJ62" i="14" s="1"/>
  <c r="DI82" i="14"/>
  <c r="DJ82" i="14" s="1"/>
  <c r="DI78" i="14"/>
  <c r="DJ78" i="14" s="1"/>
  <c r="DI77" i="14"/>
  <c r="DJ77" i="14" s="1"/>
  <c r="DM77" i="14" s="1"/>
  <c r="DN77" i="14" s="1"/>
  <c r="DM66" i="14"/>
  <c r="DN66" i="14" s="1"/>
  <c r="DO66" i="14" s="1"/>
  <c r="IP60" i="14"/>
  <c r="DK69" i="14"/>
  <c r="DL69" i="14" s="1"/>
  <c r="DM69" i="14"/>
  <c r="DN69" i="14" s="1"/>
  <c r="DK72" i="14"/>
  <c r="DL72" i="14" s="1"/>
  <c r="DM72" i="14"/>
  <c r="DN72" i="14" s="1"/>
  <c r="DK149" i="14" l="1"/>
  <c r="DL149" i="14" s="1"/>
  <c r="DO84" i="14"/>
  <c r="DP66" i="14"/>
  <c r="DQ66" i="14" s="1"/>
  <c r="DR66" i="14" s="1"/>
  <c r="DP127" i="14"/>
  <c r="DQ127" i="14" s="1"/>
  <c r="DR127" i="14" s="1"/>
  <c r="DP105" i="14"/>
  <c r="DS105" i="14" s="1"/>
  <c r="DT105" i="14" s="1"/>
  <c r="DP126" i="14"/>
  <c r="DQ126" i="14" s="1"/>
  <c r="DP92" i="14"/>
  <c r="DS92" i="14" s="1"/>
  <c r="DT92" i="14" s="1"/>
  <c r="DP113" i="14"/>
  <c r="DQ113" i="14" s="1"/>
  <c r="DR113" i="14" s="1"/>
  <c r="DK94" i="14"/>
  <c r="DL94" i="14" s="1"/>
  <c r="DO94" i="14" s="1"/>
  <c r="DK100" i="14"/>
  <c r="DL100" i="14" s="1"/>
  <c r="DO100" i="14" s="1"/>
  <c r="DO128" i="14"/>
  <c r="DM154" i="14"/>
  <c r="DN154" i="14" s="1"/>
  <c r="DO154" i="14" s="1"/>
  <c r="DK141" i="14"/>
  <c r="DL141" i="14" s="1"/>
  <c r="DO141" i="14" s="1"/>
  <c r="DK137" i="14"/>
  <c r="DL137" i="14" s="1"/>
  <c r="DM137" i="14"/>
  <c r="DN137" i="14" s="1"/>
  <c r="DO107" i="14"/>
  <c r="DM134" i="14"/>
  <c r="DN134" i="14" s="1"/>
  <c r="DO134" i="14" s="1"/>
  <c r="DK116" i="14"/>
  <c r="DL116" i="14" s="1"/>
  <c r="DM116" i="14"/>
  <c r="DN116" i="14" s="1"/>
  <c r="DM115" i="14"/>
  <c r="DN115" i="14" s="1"/>
  <c r="DO115" i="14" s="1"/>
  <c r="DO123" i="14"/>
  <c r="DK109" i="14"/>
  <c r="DL109" i="14" s="1"/>
  <c r="DO109" i="14" s="1"/>
  <c r="DM142" i="14"/>
  <c r="DN142" i="14" s="1"/>
  <c r="DO142" i="14" s="1"/>
  <c r="DK114" i="14"/>
  <c r="DL114" i="14" s="1"/>
  <c r="DO114" i="14" s="1"/>
  <c r="DM96" i="14"/>
  <c r="DN96" i="14" s="1"/>
  <c r="DO96" i="14" s="1"/>
  <c r="DM86" i="14"/>
  <c r="DN86" i="14" s="1"/>
  <c r="DO86" i="14" s="1"/>
  <c r="DM131" i="14"/>
  <c r="DN131" i="14" s="1"/>
  <c r="DO131" i="14" s="1"/>
  <c r="DK140" i="14"/>
  <c r="DL140" i="14" s="1"/>
  <c r="DO140" i="14" s="1"/>
  <c r="DI106" i="14"/>
  <c r="DJ106" i="14" s="1"/>
  <c r="DM106" i="14" s="1"/>
  <c r="DN106" i="14" s="1"/>
  <c r="DK119" i="14"/>
  <c r="DL119" i="14" s="1"/>
  <c r="DO119" i="14" s="1"/>
  <c r="DI157" i="14"/>
  <c r="DJ157" i="14" s="1"/>
  <c r="DM157" i="14" s="1"/>
  <c r="DN157" i="14" s="1"/>
  <c r="DO153" i="14"/>
  <c r="DK95" i="14"/>
  <c r="DL95" i="14" s="1"/>
  <c r="DO95" i="14" s="1"/>
  <c r="DO108" i="14"/>
  <c r="DM145" i="14"/>
  <c r="DN145" i="14" s="1"/>
  <c r="DO145" i="14" s="1"/>
  <c r="DK129" i="14"/>
  <c r="DL129" i="14" s="1"/>
  <c r="DO129" i="14" s="1"/>
  <c r="DI101" i="14"/>
  <c r="DJ101" i="14" s="1"/>
  <c r="DK101" i="14" s="1"/>
  <c r="DL101" i="14" s="1"/>
  <c r="DK152" i="14"/>
  <c r="DL152" i="14" s="1"/>
  <c r="DM152" i="14"/>
  <c r="DN152" i="14" s="1"/>
  <c r="DI90" i="14"/>
  <c r="DJ90" i="14" s="1"/>
  <c r="DK90" i="14" s="1"/>
  <c r="DL90" i="14" s="1"/>
  <c r="DM151" i="14"/>
  <c r="DN151" i="14" s="1"/>
  <c r="DO151" i="14" s="1"/>
  <c r="DM146" i="14"/>
  <c r="DN146" i="14" s="1"/>
  <c r="DO146" i="14" s="1"/>
  <c r="DI158" i="14"/>
  <c r="DJ158" i="14" s="1"/>
  <c r="DK158" i="14" s="1"/>
  <c r="DL158" i="14" s="1"/>
  <c r="DO156" i="14"/>
  <c r="DM125" i="14"/>
  <c r="DN125" i="14" s="1"/>
  <c r="DO125" i="14" s="1"/>
  <c r="DO149" i="14"/>
  <c r="DO111" i="14"/>
  <c r="DO160" i="14"/>
  <c r="DI112" i="14"/>
  <c r="DJ112" i="14" s="1"/>
  <c r="DM112" i="14" s="1"/>
  <c r="DN112" i="14" s="1"/>
  <c r="DO118" i="14"/>
  <c r="DI93" i="14"/>
  <c r="DJ93" i="14" s="1"/>
  <c r="DK93" i="14" s="1"/>
  <c r="DL93" i="14" s="1"/>
  <c r="DO130" i="14"/>
  <c r="DO122" i="14"/>
  <c r="DI88" i="14"/>
  <c r="DJ88" i="14" s="1"/>
  <c r="DM133" i="14"/>
  <c r="DN133" i="14" s="1"/>
  <c r="DK133" i="14"/>
  <c r="DL133" i="14" s="1"/>
  <c r="DI155" i="14"/>
  <c r="DJ155" i="14" s="1"/>
  <c r="DI120" i="14"/>
  <c r="DJ120" i="14" s="1"/>
  <c r="DK99" i="14"/>
  <c r="DL99" i="14" s="1"/>
  <c r="DM99" i="14"/>
  <c r="DN99" i="14" s="1"/>
  <c r="DM117" i="14"/>
  <c r="DN117" i="14" s="1"/>
  <c r="DK117" i="14"/>
  <c r="DL117" i="14" s="1"/>
  <c r="DI143" i="14"/>
  <c r="DJ143" i="14" s="1"/>
  <c r="DK87" i="14"/>
  <c r="DL87" i="14" s="1"/>
  <c r="DM87" i="14"/>
  <c r="DN87" i="14" s="1"/>
  <c r="DM97" i="14"/>
  <c r="DN97" i="14" s="1"/>
  <c r="DK97" i="14"/>
  <c r="DL97" i="14" s="1"/>
  <c r="DI150" i="14"/>
  <c r="DJ150" i="14" s="1"/>
  <c r="DK98" i="14"/>
  <c r="DL98" i="14" s="1"/>
  <c r="DM98" i="14"/>
  <c r="DN98" i="14" s="1"/>
  <c r="DK159" i="14"/>
  <c r="DL159" i="14" s="1"/>
  <c r="DM159" i="14"/>
  <c r="DN159" i="14" s="1"/>
  <c r="DM121" i="14"/>
  <c r="DN121" i="14" s="1"/>
  <c r="DK121" i="14"/>
  <c r="DL121" i="14" s="1"/>
  <c r="DK103" i="14"/>
  <c r="DL103" i="14" s="1"/>
  <c r="DM103" i="14"/>
  <c r="DN103" i="14" s="1"/>
  <c r="DM132" i="14"/>
  <c r="DN132" i="14" s="1"/>
  <c r="DK132" i="14"/>
  <c r="DL132" i="14" s="1"/>
  <c r="DM110" i="14"/>
  <c r="DN110" i="14" s="1"/>
  <c r="DK110" i="14"/>
  <c r="DL110" i="14" s="1"/>
  <c r="DI148" i="14"/>
  <c r="DJ148" i="14" s="1"/>
  <c r="DK136" i="14"/>
  <c r="DL136" i="14" s="1"/>
  <c r="DM136" i="14"/>
  <c r="DN136" i="14" s="1"/>
  <c r="DK147" i="14"/>
  <c r="DL147" i="14" s="1"/>
  <c r="DM147" i="14"/>
  <c r="DN147" i="14" s="1"/>
  <c r="DK135" i="14"/>
  <c r="DL135" i="14" s="1"/>
  <c r="DM135" i="14"/>
  <c r="DN135" i="14" s="1"/>
  <c r="DM89" i="14"/>
  <c r="DN89" i="14" s="1"/>
  <c r="DK89" i="14"/>
  <c r="DL89" i="14" s="1"/>
  <c r="DM124" i="14"/>
  <c r="DN124" i="14" s="1"/>
  <c r="DK124" i="14"/>
  <c r="DL124" i="14" s="1"/>
  <c r="DM104" i="14"/>
  <c r="DN104" i="14" s="1"/>
  <c r="DK104" i="14"/>
  <c r="DL104" i="14" s="1"/>
  <c r="DS126" i="14"/>
  <c r="DO138" i="14"/>
  <c r="DK102" i="14"/>
  <c r="DL102" i="14" s="1"/>
  <c r="DM102" i="14"/>
  <c r="DN102" i="14" s="1"/>
  <c r="DM91" i="14"/>
  <c r="DN91" i="14" s="1"/>
  <c r="DK91" i="14"/>
  <c r="DL91" i="14" s="1"/>
  <c r="DI144" i="14"/>
  <c r="DJ144" i="14" s="1"/>
  <c r="DK68" i="14"/>
  <c r="DL68" i="14" s="1"/>
  <c r="DO68" i="14" s="1"/>
  <c r="DK76" i="14"/>
  <c r="DL76" i="14" s="1"/>
  <c r="DO76" i="14" s="1"/>
  <c r="DK73" i="14"/>
  <c r="DL73" i="14" s="1"/>
  <c r="DO73" i="14" s="1"/>
  <c r="DK61" i="14"/>
  <c r="DL61" i="14" s="1"/>
  <c r="DO61" i="14" s="1"/>
  <c r="DM83" i="14"/>
  <c r="DN83" i="14" s="1"/>
  <c r="DO83" i="14" s="1"/>
  <c r="DK79" i="14"/>
  <c r="DL79" i="14" s="1"/>
  <c r="DO79" i="14" s="1"/>
  <c r="DK62" i="14"/>
  <c r="DL62" i="14" s="1"/>
  <c r="DM62" i="14"/>
  <c r="DN62" i="14" s="1"/>
  <c r="DM63" i="14"/>
  <c r="DN63" i="14" s="1"/>
  <c r="DK63" i="14"/>
  <c r="DL63" i="14" s="1"/>
  <c r="DM65" i="14"/>
  <c r="DN65" i="14" s="1"/>
  <c r="DK65" i="14"/>
  <c r="DL65" i="14" s="1"/>
  <c r="DO69" i="14"/>
  <c r="DO72" i="14"/>
  <c r="DK75" i="14"/>
  <c r="DL75" i="14" s="1"/>
  <c r="DO75" i="14" s="1"/>
  <c r="DM80" i="14"/>
  <c r="DN80" i="14" s="1"/>
  <c r="DO80" i="14" s="1"/>
  <c r="DK74" i="14"/>
  <c r="DL74" i="14" s="1"/>
  <c r="IV60" i="14"/>
  <c r="G54" i="16"/>
  <c r="V40" i="46" s="1"/>
  <c r="DK77" i="14"/>
  <c r="DL77" i="14" s="1"/>
  <c r="DK64" i="14"/>
  <c r="DL64" i="14" s="1"/>
  <c r="IH60" i="14"/>
  <c r="DM82" i="14"/>
  <c r="DN82" i="14" s="1"/>
  <c r="DK82" i="14"/>
  <c r="DL82" i="14" s="1"/>
  <c r="DM60" i="14"/>
  <c r="DN60" i="14" s="1"/>
  <c r="DK60" i="14"/>
  <c r="DL60" i="14" s="1"/>
  <c r="DK67" i="14"/>
  <c r="DL67" i="14" s="1"/>
  <c r="DM67" i="14"/>
  <c r="DN67" i="14" s="1"/>
  <c r="DK78" i="14"/>
  <c r="DL78" i="14" s="1"/>
  <c r="DM78" i="14"/>
  <c r="DN78" i="14" s="1"/>
  <c r="DM70" i="14"/>
  <c r="DN70" i="14" s="1"/>
  <c r="DK70" i="14"/>
  <c r="DL70" i="14" s="1"/>
  <c r="DK71" i="14"/>
  <c r="DL71" i="14" s="1"/>
  <c r="DM71" i="14"/>
  <c r="DN71" i="14" s="1"/>
  <c r="DK81" i="14"/>
  <c r="DL81" i="14" s="1"/>
  <c r="DM81" i="14"/>
  <c r="DN81" i="14" s="1"/>
  <c r="DK85" i="14"/>
  <c r="DL85" i="14" s="1"/>
  <c r="DM85" i="14"/>
  <c r="DN85" i="14" s="1"/>
  <c r="DQ105" i="14" l="1"/>
  <c r="DR105" i="14" s="1"/>
  <c r="DS66" i="14"/>
  <c r="DT66" i="14" s="1"/>
  <c r="DS127" i="14"/>
  <c r="DT127" i="14" s="1"/>
  <c r="DS113" i="14"/>
  <c r="DT113" i="14" s="1"/>
  <c r="DO89" i="14"/>
  <c r="DO87" i="14"/>
  <c r="DQ92" i="14"/>
  <c r="DR92" i="14" s="1"/>
  <c r="DO85" i="14"/>
  <c r="DO81" i="14"/>
  <c r="DO82" i="14"/>
  <c r="DO60" i="14"/>
  <c r="DP60" i="14" s="1"/>
  <c r="DQ60" i="14" s="1"/>
  <c r="DP118" i="14"/>
  <c r="DQ118" i="14" s="1"/>
  <c r="DR118" i="14" s="1"/>
  <c r="DP108" i="14"/>
  <c r="DS108" i="14" s="1"/>
  <c r="DT108" i="14" s="1"/>
  <c r="DP151" i="14"/>
  <c r="DP95" i="14"/>
  <c r="DS95" i="14" s="1"/>
  <c r="DT95" i="14" s="1"/>
  <c r="DP131" i="14"/>
  <c r="DQ131" i="14" s="1"/>
  <c r="DR131" i="14" s="1"/>
  <c r="DP128" i="14"/>
  <c r="DQ128" i="14" s="1"/>
  <c r="DR128" i="14" s="1"/>
  <c r="DP115" i="14"/>
  <c r="DQ115" i="14" s="1"/>
  <c r="DR115" i="14" s="1"/>
  <c r="DP160" i="14"/>
  <c r="DS160" i="14" s="1"/>
  <c r="DT160" i="14" s="1"/>
  <c r="DP153" i="14"/>
  <c r="DS153" i="14" s="1"/>
  <c r="DT153" i="14" s="1"/>
  <c r="DP86" i="14"/>
  <c r="DS86" i="14" s="1"/>
  <c r="DT86" i="14" s="1"/>
  <c r="DP100" i="14"/>
  <c r="DS100" i="14" s="1"/>
  <c r="DP140" i="14"/>
  <c r="DS140" i="14" s="1"/>
  <c r="DP83" i="14"/>
  <c r="DS83" i="14" s="1"/>
  <c r="DT83" i="14" s="1"/>
  <c r="DP80" i="14"/>
  <c r="DQ80" i="14" s="1"/>
  <c r="DP73" i="14"/>
  <c r="DQ73" i="14" s="1"/>
  <c r="DR73" i="14" s="1"/>
  <c r="DP94" i="14"/>
  <c r="DS94" i="14" s="1"/>
  <c r="DT94" i="14" s="1"/>
  <c r="DP111" i="14"/>
  <c r="DS111" i="14" s="1"/>
  <c r="DT111" i="14" s="1"/>
  <c r="DP96" i="14"/>
  <c r="DQ96" i="14" s="1"/>
  <c r="DR96" i="14" s="1"/>
  <c r="DP134" i="14"/>
  <c r="DQ134" i="14" s="1"/>
  <c r="DR134" i="14" s="1"/>
  <c r="DP79" i="14"/>
  <c r="DS79" i="14" s="1"/>
  <c r="DT79" i="14" s="1"/>
  <c r="DP146" i="14"/>
  <c r="DQ146" i="14" s="1"/>
  <c r="DR146" i="14" s="1"/>
  <c r="DP75" i="14"/>
  <c r="DS75" i="14" s="1"/>
  <c r="DT75" i="14" s="1"/>
  <c r="DP76" i="14"/>
  <c r="DQ76" i="14" s="1"/>
  <c r="DR76" i="14" s="1"/>
  <c r="DP149" i="14"/>
  <c r="DQ149" i="14" s="1"/>
  <c r="DR149" i="14" s="1"/>
  <c r="DP114" i="14"/>
  <c r="DQ114" i="14" s="1"/>
  <c r="DR114" i="14" s="1"/>
  <c r="DP107" i="14"/>
  <c r="DQ107" i="14" s="1"/>
  <c r="DR107" i="14" s="1"/>
  <c r="DP154" i="14"/>
  <c r="DS154" i="14" s="1"/>
  <c r="DT154" i="14" s="1"/>
  <c r="DP72" i="14"/>
  <c r="DS72" i="14" s="1"/>
  <c r="DT72" i="14" s="1"/>
  <c r="DP68" i="14"/>
  <c r="DS68" i="14" s="1"/>
  <c r="DT68" i="14" s="1"/>
  <c r="DP122" i="14"/>
  <c r="DQ122" i="14" s="1"/>
  <c r="DR122" i="14" s="1"/>
  <c r="DP125" i="14"/>
  <c r="DS125" i="14" s="1"/>
  <c r="DT125" i="14" s="1"/>
  <c r="DP142" i="14"/>
  <c r="DQ142" i="14" s="1"/>
  <c r="DR142" i="14" s="1"/>
  <c r="DP61" i="14"/>
  <c r="DQ61" i="14" s="1"/>
  <c r="DR61" i="14" s="1"/>
  <c r="DP69" i="14"/>
  <c r="DQ69" i="14" s="1"/>
  <c r="DR69" i="14" s="1"/>
  <c r="DP138" i="14"/>
  <c r="DS138" i="14" s="1"/>
  <c r="DT138" i="14" s="1"/>
  <c r="DP130" i="14"/>
  <c r="DQ130" i="14" s="1"/>
  <c r="DP156" i="14"/>
  <c r="DQ156" i="14" s="1"/>
  <c r="DR156" i="14" s="1"/>
  <c r="DP129" i="14"/>
  <c r="DQ129" i="14" s="1"/>
  <c r="DR129" i="14" s="1"/>
  <c r="DP119" i="14"/>
  <c r="DS119" i="14" s="1"/>
  <c r="DT119" i="14" s="1"/>
  <c r="DP109" i="14"/>
  <c r="DQ109" i="14" s="1"/>
  <c r="DR109" i="14" s="1"/>
  <c r="DP84" i="14"/>
  <c r="DS84" i="14" s="1"/>
  <c r="DT84" i="14" s="1"/>
  <c r="DP145" i="14"/>
  <c r="DQ145" i="14" s="1"/>
  <c r="DR145" i="14" s="1"/>
  <c r="DP123" i="14"/>
  <c r="DQ123" i="14" s="1"/>
  <c r="DR123" i="14" s="1"/>
  <c r="DP141" i="14"/>
  <c r="DQ141" i="14" s="1"/>
  <c r="DR141" i="14" s="1"/>
  <c r="BA46" i="15"/>
  <c r="AL44" i="38"/>
  <c r="DO137" i="14"/>
  <c r="DK112" i="14"/>
  <c r="DL112" i="14" s="1"/>
  <c r="DO112" i="14" s="1"/>
  <c r="DK157" i="14"/>
  <c r="DL157" i="14" s="1"/>
  <c r="DO157" i="14" s="1"/>
  <c r="DO116" i="14"/>
  <c r="DM101" i="14"/>
  <c r="DN101" i="14" s="1"/>
  <c r="DO101" i="14" s="1"/>
  <c r="DK106" i="14"/>
  <c r="DL106" i="14" s="1"/>
  <c r="DO106" i="14" s="1"/>
  <c r="DM158" i="14"/>
  <c r="DN158" i="14" s="1"/>
  <c r="DO158" i="14" s="1"/>
  <c r="DM93" i="14"/>
  <c r="DN93" i="14" s="1"/>
  <c r="DO93" i="14" s="1"/>
  <c r="DM90" i="14"/>
  <c r="DN90" i="14" s="1"/>
  <c r="DO90" i="14" s="1"/>
  <c r="DO102" i="14"/>
  <c r="DO135" i="14"/>
  <c r="DO121" i="14"/>
  <c r="DO152" i="14"/>
  <c r="DO103" i="14"/>
  <c r="DO97" i="14"/>
  <c r="DO117" i="14"/>
  <c r="DO91" i="14"/>
  <c r="DO98" i="14"/>
  <c r="DO159" i="14"/>
  <c r="DO124" i="14"/>
  <c r="DO99" i="14"/>
  <c r="DO133" i="14"/>
  <c r="DO104" i="14"/>
  <c r="DM143" i="14"/>
  <c r="DN143" i="14" s="1"/>
  <c r="DK143" i="14"/>
  <c r="DL143" i="14" s="1"/>
  <c r="DM144" i="14"/>
  <c r="DN144" i="14" s="1"/>
  <c r="DK144" i="14"/>
  <c r="DL144" i="14" s="1"/>
  <c r="DO136" i="14"/>
  <c r="DQ151" i="14"/>
  <c r="DR151" i="14" s="1"/>
  <c r="DS151" i="14"/>
  <c r="DT151" i="14" s="1"/>
  <c r="DK150" i="14"/>
  <c r="DL150" i="14" s="1"/>
  <c r="DM150" i="14"/>
  <c r="DN150" i="14" s="1"/>
  <c r="DK148" i="14"/>
  <c r="DL148" i="14" s="1"/>
  <c r="DM148" i="14"/>
  <c r="DN148" i="14" s="1"/>
  <c r="DM88" i="14"/>
  <c r="DN88" i="14" s="1"/>
  <c r="DK88" i="14"/>
  <c r="DL88" i="14" s="1"/>
  <c r="DO110" i="14"/>
  <c r="DO132" i="14"/>
  <c r="DS114" i="14"/>
  <c r="DT114" i="14" s="1"/>
  <c r="DT126" i="14"/>
  <c r="DK120" i="14"/>
  <c r="DL120" i="14" s="1"/>
  <c r="DM120" i="14"/>
  <c r="DN120" i="14" s="1"/>
  <c r="DR126" i="14"/>
  <c r="DO147" i="14"/>
  <c r="DM155" i="14"/>
  <c r="DN155" i="14" s="1"/>
  <c r="DK155" i="14"/>
  <c r="DL155" i="14" s="1"/>
  <c r="DO65" i="14"/>
  <c r="DO62" i="14"/>
  <c r="DO63" i="14"/>
  <c r="DO70" i="14"/>
  <c r="DS61" i="14"/>
  <c r="DT61" i="14" s="1"/>
  <c r="DO67" i="14"/>
  <c r="DO64" i="14"/>
  <c r="DO77" i="14"/>
  <c r="DO78" i="14"/>
  <c r="DO74" i="14"/>
  <c r="DO71" i="14"/>
  <c r="V40" i="1"/>
  <c r="IU60" i="14"/>
  <c r="F54" i="16"/>
  <c r="U40" i="46" s="1"/>
  <c r="DQ138" i="14" l="1"/>
  <c r="DR138" i="14" s="1"/>
  <c r="DQ140" i="14"/>
  <c r="DQ84" i="14"/>
  <c r="DR84" i="14" s="1"/>
  <c r="DS118" i="14"/>
  <c r="DT118" i="14" s="1"/>
  <c r="DQ100" i="14"/>
  <c r="DS131" i="14"/>
  <c r="DT131" i="14" s="1"/>
  <c r="DS134" i="14"/>
  <c r="DT134" i="14" s="1"/>
  <c r="DQ111" i="14"/>
  <c r="DR111" i="14" s="1"/>
  <c r="DQ79" i="14"/>
  <c r="DR79" i="14" s="1"/>
  <c r="DS128" i="14"/>
  <c r="DT128" i="14" s="1"/>
  <c r="DQ95" i="14"/>
  <c r="DR95" i="14" s="1"/>
  <c r="DS130" i="14"/>
  <c r="DT130" i="14" s="1"/>
  <c r="DQ72" i="14"/>
  <c r="DR72" i="14" s="1"/>
  <c r="DQ75" i="14"/>
  <c r="DR75" i="14" s="1"/>
  <c r="DS146" i="14"/>
  <c r="DT146" i="14" s="1"/>
  <c r="DS156" i="14"/>
  <c r="DT156" i="14" s="1"/>
  <c r="DS142" i="14"/>
  <c r="DT142" i="14" s="1"/>
  <c r="DQ154" i="14"/>
  <c r="DR154" i="14" s="1"/>
  <c r="DQ125" i="14"/>
  <c r="DR125" i="14" s="1"/>
  <c r="DS76" i="14"/>
  <c r="DT76" i="14" s="1"/>
  <c r="DS73" i="14"/>
  <c r="DT73" i="14" s="1"/>
  <c r="DS122" i="14"/>
  <c r="DT122" i="14" s="1"/>
  <c r="DQ68" i="14"/>
  <c r="DR68" i="14" s="1"/>
  <c r="DS115" i="14"/>
  <c r="DT115" i="14" s="1"/>
  <c r="DS80" i="14"/>
  <c r="DT80" i="14" s="1"/>
  <c r="DQ83" i="14"/>
  <c r="DR83" i="14" s="1"/>
  <c r="DS129" i="14"/>
  <c r="DT129" i="14" s="1"/>
  <c r="DQ160" i="14"/>
  <c r="DR160" i="14" s="1"/>
  <c r="DQ94" i="14"/>
  <c r="DR94" i="14" s="1"/>
  <c r="DO88" i="14"/>
  <c r="DQ119" i="14"/>
  <c r="DR119" i="14" s="1"/>
  <c r="DS123" i="14"/>
  <c r="DT123" i="14" s="1"/>
  <c r="DS107" i="14"/>
  <c r="DT107" i="14" s="1"/>
  <c r="DS69" i="14"/>
  <c r="DT69" i="14" s="1"/>
  <c r="DS145" i="14"/>
  <c r="DT145" i="14" s="1"/>
  <c r="DS96" i="14"/>
  <c r="DT96" i="14" s="1"/>
  <c r="DQ86" i="14"/>
  <c r="DR86" i="14" s="1"/>
  <c r="DQ108" i="14"/>
  <c r="DR108" i="14" s="1"/>
  <c r="DQ153" i="14"/>
  <c r="DR153" i="14" s="1"/>
  <c r="DS109" i="14"/>
  <c r="DT109" i="14" s="1"/>
  <c r="DS149" i="14"/>
  <c r="DT149" i="14" s="1"/>
  <c r="DP97" i="14"/>
  <c r="DQ97" i="14" s="1"/>
  <c r="DR97" i="14" s="1"/>
  <c r="DP85" i="14"/>
  <c r="DQ85" i="14" s="1"/>
  <c r="DR85" i="14" s="1"/>
  <c r="DP65" i="14"/>
  <c r="DQ65" i="14" s="1"/>
  <c r="DR65" i="14" s="1"/>
  <c r="DP87" i="14"/>
  <c r="DQ87" i="14" s="1"/>
  <c r="DR87" i="14" s="1"/>
  <c r="DP98" i="14"/>
  <c r="DQ98" i="14" s="1"/>
  <c r="DR98" i="14" s="1"/>
  <c r="DP103" i="14"/>
  <c r="DQ103" i="14" s="1"/>
  <c r="DR103" i="14" s="1"/>
  <c r="DP62" i="14"/>
  <c r="DQ62" i="14" s="1"/>
  <c r="DR62" i="14" s="1"/>
  <c r="DP104" i="14"/>
  <c r="DQ104" i="14" s="1"/>
  <c r="DR104" i="14" s="1"/>
  <c r="DP147" i="14"/>
  <c r="DQ147" i="14" s="1"/>
  <c r="DR147" i="14" s="1"/>
  <c r="DP91" i="14"/>
  <c r="DQ91" i="14" s="1"/>
  <c r="DR91" i="14" s="1"/>
  <c r="DP152" i="14"/>
  <c r="DQ152" i="14" s="1"/>
  <c r="DR152" i="14" s="1"/>
  <c r="DP90" i="14"/>
  <c r="DQ90" i="14" s="1"/>
  <c r="DR90" i="14" s="1"/>
  <c r="DP106" i="14"/>
  <c r="DQ106" i="14" s="1"/>
  <c r="DR106" i="14" s="1"/>
  <c r="DP82" i="14"/>
  <c r="DQ82" i="14" s="1"/>
  <c r="DR82" i="14" s="1"/>
  <c r="DP132" i="14"/>
  <c r="DS132" i="14" s="1"/>
  <c r="DT132" i="14" s="1"/>
  <c r="DP136" i="14"/>
  <c r="DS136" i="14" s="1"/>
  <c r="DT136" i="14" s="1"/>
  <c r="DP133" i="14"/>
  <c r="DS133" i="14" s="1"/>
  <c r="DT133" i="14" s="1"/>
  <c r="DP121" i="14"/>
  <c r="DQ121" i="14" s="1"/>
  <c r="DR121" i="14" s="1"/>
  <c r="DP101" i="14"/>
  <c r="DQ101" i="14" s="1"/>
  <c r="DR101" i="14" s="1"/>
  <c r="DP112" i="14"/>
  <c r="DQ112" i="14" s="1"/>
  <c r="DR112" i="14" s="1"/>
  <c r="DP110" i="14"/>
  <c r="DQ110" i="14" s="1"/>
  <c r="DP99" i="14"/>
  <c r="DS99" i="14" s="1"/>
  <c r="DT99" i="14" s="1"/>
  <c r="DP135" i="14"/>
  <c r="DS135" i="14" s="1"/>
  <c r="DT135" i="14" s="1"/>
  <c r="DP93" i="14"/>
  <c r="DS93" i="14" s="1"/>
  <c r="DT93" i="14" s="1"/>
  <c r="DP116" i="14"/>
  <c r="DQ116" i="14" s="1"/>
  <c r="DR116" i="14" s="1"/>
  <c r="DP67" i="14"/>
  <c r="DQ67" i="14" s="1"/>
  <c r="DR67" i="14" s="1"/>
  <c r="DP71" i="14"/>
  <c r="DS71" i="14" s="1"/>
  <c r="DT71" i="14" s="1"/>
  <c r="DP74" i="14"/>
  <c r="DQ74" i="14" s="1"/>
  <c r="DR74" i="14" s="1"/>
  <c r="DP124" i="14"/>
  <c r="DQ124" i="14" s="1"/>
  <c r="DR124" i="14" s="1"/>
  <c r="DP89" i="14"/>
  <c r="DS89" i="14" s="1"/>
  <c r="DT89" i="14" s="1"/>
  <c r="DS141" i="14"/>
  <c r="DT141" i="14" s="1"/>
  <c r="DP137" i="14"/>
  <c r="DP78" i="14"/>
  <c r="DQ78" i="14" s="1"/>
  <c r="DR78" i="14" s="1"/>
  <c r="DP81" i="14"/>
  <c r="DQ81" i="14" s="1"/>
  <c r="DP77" i="14"/>
  <c r="DS77" i="14" s="1"/>
  <c r="DT77" i="14" s="1"/>
  <c r="DP70" i="14"/>
  <c r="DS70" i="14" s="1"/>
  <c r="DT70" i="14" s="1"/>
  <c r="DP159" i="14"/>
  <c r="DQ159" i="14" s="1"/>
  <c r="DR159" i="14" s="1"/>
  <c r="DP102" i="14"/>
  <c r="DS102" i="14" s="1"/>
  <c r="DT102" i="14" s="1"/>
  <c r="DP157" i="14"/>
  <c r="DS157" i="14" s="1"/>
  <c r="DT157" i="14" s="1"/>
  <c r="DP64" i="14"/>
  <c r="DQ64" i="14" s="1"/>
  <c r="DR64" i="14" s="1"/>
  <c r="DP63" i="14"/>
  <c r="DS63" i="14" s="1"/>
  <c r="DT63" i="14" s="1"/>
  <c r="DP117" i="14"/>
  <c r="DS117" i="14" s="1"/>
  <c r="DT117" i="14" s="1"/>
  <c r="DP158" i="14"/>
  <c r="DQ158" i="14" s="1"/>
  <c r="DR158" i="14" s="1"/>
  <c r="AZ46" i="15"/>
  <c r="BB46" i="15" s="1"/>
  <c r="BE46" i="15" s="1"/>
  <c r="AK44" i="38"/>
  <c r="AY44" i="38" s="1"/>
  <c r="DO148" i="14"/>
  <c r="DO143" i="14"/>
  <c r="DO120" i="14"/>
  <c r="DO144" i="14"/>
  <c r="DR130" i="14"/>
  <c r="DO155" i="14"/>
  <c r="DO150" i="14"/>
  <c r="DR140" i="14"/>
  <c r="DT140" i="14"/>
  <c r="DR100" i="14"/>
  <c r="DT100" i="14"/>
  <c r="DS60" i="14"/>
  <c r="U40" i="1"/>
  <c r="DR80" i="14"/>
  <c r="DQ71" i="14" l="1"/>
  <c r="DR71" i="14" s="1"/>
  <c r="DS67" i="14"/>
  <c r="DT67" i="14" s="1"/>
  <c r="DS106" i="14"/>
  <c r="DT106" i="14" s="1"/>
  <c r="DS112" i="14"/>
  <c r="DT112" i="14" s="1"/>
  <c r="DS87" i="14"/>
  <c r="DT87" i="14" s="1"/>
  <c r="DS85" i="14"/>
  <c r="DT85" i="14" s="1"/>
  <c r="DS91" i="14"/>
  <c r="DT91" i="14" s="1"/>
  <c r="DS101" i="14"/>
  <c r="DT101" i="14" s="1"/>
  <c r="DS65" i="14"/>
  <c r="DT65" i="14" s="1"/>
  <c r="DS74" i="14"/>
  <c r="DT74" i="14" s="1"/>
  <c r="DQ77" i="14"/>
  <c r="DR77" i="14" s="1"/>
  <c r="DS104" i="14"/>
  <c r="DT104" i="14" s="1"/>
  <c r="DS147" i="14"/>
  <c r="DT147" i="14" s="1"/>
  <c r="DS110" i="14"/>
  <c r="DT110" i="14" s="1"/>
  <c r="DS97" i="14"/>
  <c r="DT97" i="14" s="1"/>
  <c r="DQ136" i="14"/>
  <c r="DR136" i="14" s="1"/>
  <c r="DQ99" i="14"/>
  <c r="DR99" i="14" s="1"/>
  <c r="DQ117" i="14"/>
  <c r="DR117" i="14" s="1"/>
  <c r="DS121" i="14"/>
  <c r="DT121" i="14" s="1"/>
  <c r="DQ133" i="14"/>
  <c r="DR133" i="14" s="1"/>
  <c r="DS81" i="14"/>
  <c r="DT81" i="14" s="1"/>
  <c r="DS116" i="14"/>
  <c r="DT116" i="14" s="1"/>
  <c r="DQ157" i="14"/>
  <c r="DR157" i="14" s="1"/>
  <c r="DS62" i="14"/>
  <c r="DT62" i="14" s="1"/>
  <c r="DQ132" i="14"/>
  <c r="DR132" i="14" s="1"/>
  <c r="DS158" i="14"/>
  <c r="DT158" i="14" s="1"/>
  <c r="DS124" i="14"/>
  <c r="DT124" i="14" s="1"/>
  <c r="DS90" i="14"/>
  <c r="DT90" i="14" s="1"/>
  <c r="DS98" i="14"/>
  <c r="DT98" i="14" s="1"/>
  <c r="DQ93" i="14"/>
  <c r="DR93" i="14" s="1"/>
  <c r="DQ102" i="14"/>
  <c r="DR102" i="14" s="1"/>
  <c r="DV101" i="14" s="1"/>
  <c r="Y85" i="38" s="1"/>
  <c r="DS103" i="14"/>
  <c r="DT103" i="14" s="1"/>
  <c r="DQ89" i="14"/>
  <c r="DR89" i="14" s="1"/>
  <c r="DR81" i="14"/>
  <c r="DS82" i="14"/>
  <c r="DT82" i="14" s="1"/>
  <c r="DS64" i="14"/>
  <c r="DT64" i="14" s="1"/>
  <c r="DQ70" i="14"/>
  <c r="DR70" i="14" s="1"/>
  <c r="DS152" i="14"/>
  <c r="DT152" i="14" s="1"/>
  <c r="DP150" i="14"/>
  <c r="DS150" i="14" s="1"/>
  <c r="DP143" i="14"/>
  <c r="DS143" i="14" s="1"/>
  <c r="DT143" i="14" s="1"/>
  <c r="DQ137" i="14"/>
  <c r="DR137" i="14" s="1"/>
  <c r="DS137" i="14"/>
  <c r="DT137" i="14" s="1"/>
  <c r="DX136" i="14" s="1"/>
  <c r="DS78" i="14"/>
  <c r="DT78" i="14" s="1"/>
  <c r="DP155" i="14"/>
  <c r="DQ155" i="14" s="1"/>
  <c r="DR155" i="14" s="1"/>
  <c r="DP88" i="14"/>
  <c r="DS88" i="14" s="1"/>
  <c r="DT88" i="14" s="1"/>
  <c r="DQ63" i="14"/>
  <c r="DR63" i="14" s="1"/>
  <c r="DP148" i="14"/>
  <c r="DS148" i="14" s="1"/>
  <c r="DT148" i="14" s="1"/>
  <c r="DP120" i="14"/>
  <c r="DS120" i="14" s="1"/>
  <c r="DS159" i="14"/>
  <c r="DT159" i="14" s="1"/>
  <c r="DQ135" i="14"/>
  <c r="DR135" i="14" s="1"/>
  <c r="DP144" i="14"/>
  <c r="DQ144" i="14" s="1"/>
  <c r="DR144" i="14" s="1"/>
  <c r="O27" i="15"/>
  <c r="W20" i="46" s="1"/>
  <c r="DR110" i="14"/>
  <c r="DR60" i="14"/>
  <c r="DT60" i="14"/>
  <c r="DU61" i="14" l="1"/>
  <c r="W20" i="1"/>
  <c r="DX70" i="14"/>
  <c r="AA54" i="38" s="1"/>
  <c r="DV71" i="14"/>
  <c r="Y55" i="38" s="1"/>
  <c r="DX92" i="14"/>
  <c r="AA76" i="38" s="1"/>
  <c r="DW99" i="14"/>
  <c r="AH85" i="15" s="1"/>
  <c r="AT85" i="15" s="1"/>
  <c r="DU76" i="14"/>
  <c r="AF62" i="15" s="1"/>
  <c r="AS62" i="15" s="1"/>
  <c r="DU74" i="14"/>
  <c r="AF60" i="15" s="1"/>
  <c r="AS60" i="15" s="1"/>
  <c r="DX107" i="14"/>
  <c r="AI93" i="15" s="1"/>
  <c r="BM91" i="38" s="1"/>
  <c r="BQ91" i="38" s="1"/>
  <c r="DX93" i="14"/>
  <c r="AI79" i="15" s="1"/>
  <c r="BM77" i="38" s="1"/>
  <c r="BQ77" i="38" s="1"/>
  <c r="DU75" i="14"/>
  <c r="X59" i="38" s="1"/>
  <c r="DU78" i="14"/>
  <c r="AF64" i="15" s="1"/>
  <c r="AS64" i="15" s="1"/>
  <c r="DW95" i="14"/>
  <c r="Z79" i="38" s="1"/>
  <c r="DU73" i="14"/>
  <c r="AF59" i="15" s="1"/>
  <c r="AS59" i="15" s="1"/>
  <c r="DW94" i="14"/>
  <c r="AH80" i="15" s="1"/>
  <c r="AT80" i="15" s="1"/>
  <c r="DW113" i="14"/>
  <c r="AH99" i="15" s="1"/>
  <c r="AT99" i="15" s="1"/>
  <c r="DX94" i="14"/>
  <c r="AI80" i="15" s="1"/>
  <c r="BM78" i="38" s="1"/>
  <c r="BQ78" i="38" s="1"/>
  <c r="DV100" i="14"/>
  <c r="Y84" i="38" s="1"/>
  <c r="DV103" i="14"/>
  <c r="Y87" i="38" s="1"/>
  <c r="DV104" i="14"/>
  <c r="Y88" i="38" s="1"/>
  <c r="DU71" i="14"/>
  <c r="AF57" i="15" s="1"/>
  <c r="AS57" i="15" s="1"/>
  <c r="DU77" i="14"/>
  <c r="AF63" i="15" s="1"/>
  <c r="AS63" i="15" s="1"/>
  <c r="DX109" i="14"/>
  <c r="AI95" i="15" s="1"/>
  <c r="BM93" i="38" s="1"/>
  <c r="BQ93" i="38" s="1"/>
  <c r="DV106" i="14"/>
  <c r="Y90" i="38" s="1"/>
  <c r="DU106" i="14"/>
  <c r="AF92" i="15" s="1"/>
  <c r="AS92" i="15" s="1"/>
  <c r="DV102" i="14"/>
  <c r="Y86" i="38" s="1"/>
  <c r="DV108" i="14"/>
  <c r="Y92" i="38" s="1"/>
  <c r="DU72" i="14"/>
  <c r="AF58" i="15" s="1"/>
  <c r="AS58" i="15" s="1"/>
  <c r="DV109" i="14"/>
  <c r="Y93" i="38" s="1"/>
  <c r="DU114" i="14"/>
  <c r="AF100" i="15" s="1"/>
  <c r="AS100" i="15" s="1"/>
  <c r="DU116" i="14"/>
  <c r="AF102" i="15" s="1"/>
  <c r="AS102" i="15" s="1"/>
  <c r="DU109" i="14"/>
  <c r="AF95" i="15" s="1"/>
  <c r="AS95" i="15" s="1"/>
  <c r="DX134" i="14"/>
  <c r="AA118" i="38" s="1"/>
  <c r="DU112" i="14"/>
  <c r="AF98" i="15" s="1"/>
  <c r="AS98" i="15" s="1"/>
  <c r="DV107" i="14"/>
  <c r="Y91" i="38" s="1"/>
  <c r="DX98" i="14"/>
  <c r="AI84" i="15" s="1"/>
  <c r="BM82" i="38" s="1"/>
  <c r="BQ82" i="38" s="1"/>
  <c r="DU119" i="14"/>
  <c r="X103" i="38" s="1"/>
  <c r="DU118" i="14"/>
  <c r="AF104" i="15" s="1"/>
  <c r="AS104" i="15" s="1"/>
  <c r="DU110" i="14"/>
  <c r="AF96" i="15" s="1"/>
  <c r="AS96" i="15" s="1"/>
  <c r="DV105" i="14"/>
  <c r="Y89" i="38" s="1"/>
  <c r="DX96" i="14"/>
  <c r="AI82" i="15" s="1"/>
  <c r="BM80" i="38" s="1"/>
  <c r="BQ80" i="38" s="1"/>
  <c r="DW75" i="14"/>
  <c r="AH61" i="15" s="1"/>
  <c r="AT61" i="15" s="1"/>
  <c r="DW126" i="14"/>
  <c r="AH112" i="15" s="1"/>
  <c r="AT112" i="15" s="1"/>
  <c r="DW131" i="14"/>
  <c r="AH117" i="15" s="1"/>
  <c r="AT117" i="15" s="1"/>
  <c r="DX75" i="14"/>
  <c r="AI61" i="15" s="1"/>
  <c r="BM59" i="38" s="1"/>
  <c r="BQ59" i="38" s="1"/>
  <c r="DW72" i="14"/>
  <c r="AH58" i="15" s="1"/>
  <c r="AT58" i="15" s="1"/>
  <c r="DX106" i="14"/>
  <c r="AI92" i="15" s="1"/>
  <c r="BM90" i="38" s="1"/>
  <c r="BQ90" i="38" s="1"/>
  <c r="DX103" i="14"/>
  <c r="DU111" i="14"/>
  <c r="X95" i="38" s="1"/>
  <c r="DX132" i="14"/>
  <c r="AI118" i="15" s="1"/>
  <c r="BM116" i="38" s="1"/>
  <c r="BQ116" i="38" s="1"/>
  <c r="DW77" i="14"/>
  <c r="AH63" i="15" s="1"/>
  <c r="AT63" i="15" s="1"/>
  <c r="DU115" i="14"/>
  <c r="AF101" i="15" s="1"/>
  <c r="AS101" i="15" s="1"/>
  <c r="DX133" i="14"/>
  <c r="DW136" i="14"/>
  <c r="AH122" i="15" s="1"/>
  <c r="AT122" i="15" s="1"/>
  <c r="DW84" i="14"/>
  <c r="AH70" i="15" s="1"/>
  <c r="AT70" i="15" s="1"/>
  <c r="DX74" i="14"/>
  <c r="AI60" i="15" s="1"/>
  <c r="BM58" i="38" s="1"/>
  <c r="BQ58" i="38" s="1"/>
  <c r="DX135" i="14"/>
  <c r="AI121" i="15" s="1"/>
  <c r="BM119" i="38" s="1"/>
  <c r="BQ119" i="38" s="1"/>
  <c r="DW78" i="14"/>
  <c r="AH64" i="15" s="1"/>
  <c r="AT64" i="15" s="1"/>
  <c r="DW86" i="14"/>
  <c r="Z70" i="38" s="1"/>
  <c r="DX137" i="14"/>
  <c r="AI123" i="15" s="1"/>
  <c r="BM121" i="38" s="1"/>
  <c r="BQ121" i="38" s="1"/>
  <c r="DX76" i="14"/>
  <c r="AI62" i="15" s="1"/>
  <c r="BM60" i="38" s="1"/>
  <c r="BQ60" i="38" s="1"/>
  <c r="DW70" i="14"/>
  <c r="AH56" i="15" s="1"/>
  <c r="AT56" i="15" s="1"/>
  <c r="DW104" i="14"/>
  <c r="AH90" i="15" s="1"/>
  <c r="AT90" i="15" s="1"/>
  <c r="DX77" i="14"/>
  <c r="AI63" i="15" s="1"/>
  <c r="BM61" i="38" s="1"/>
  <c r="BQ61" i="38" s="1"/>
  <c r="DW76" i="14"/>
  <c r="AH62" i="15" s="1"/>
  <c r="AT62" i="15" s="1"/>
  <c r="DU113" i="14"/>
  <c r="AF99" i="15" s="1"/>
  <c r="AS99" i="15" s="1"/>
  <c r="DW83" i="14"/>
  <c r="AH69" i="15" s="1"/>
  <c r="AT69" i="15" s="1"/>
  <c r="DX78" i="14"/>
  <c r="AI64" i="15" s="1"/>
  <c r="BM62" i="38" s="1"/>
  <c r="BQ62" i="38" s="1"/>
  <c r="DW79" i="14"/>
  <c r="Z63" i="38" s="1"/>
  <c r="DX71" i="14"/>
  <c r="DW73" i="14"/>
  <c r="AH59" i="15" s="1"/>
  <c r="AT59" i="15" s="1"/>
  <c r="DX79" i="14"/>
  <c r="AI65" i="15" s="1"/>
  <c r="BM63" i="38" s="1"/>
  <c r="BQ63" i="38" s="1"/>
  <c r="DW74" i="14"/>
  <c r="AH60" i="15" s="1"/>
  <c r="AT60" i="15" s="1"/>
  <c r="DX73" i="14"/>
  <c r="AI59" i="15" s="1"/>
  <c r="BM57" i="38" s="1"/>
  <c r="BQ57" i="38" s="1"/>
  <c r="DX72" i="14"/>
  <c r="AI58" i="15" s="1"/>
  <c r="BM56" i="38" s="1"/>
  <c r="BQ56" i="38" s="1"/>
  <c r="DW88" i="14"/>
  <c r="AH74" i="15" s="1"/>
  <c r="AT74" i="15" s="1"/>
  <c r="DU117" i="14"/>
  <c r="AF103" i="15" s="1"/>
  <c r="AS103" i="15" s="1"/>
  <c r="DW108" i="14"/>
  <c r="Z92" i="38" s="1"/>
  <c r="DW92" i="14"/>
  <c r="AH78" i="15" s="1"/>
  <c r="AT78" i="15" s="1"/>
  <c r="DW137" i="14"/>
  <c r="AH123" i="15" s="1"/>
  <c r="AT123" i="15" s="1"/>
  <c r="DW135" i="14"/>
  <c r="AH121" i="15" s="1"/>
  <c r="AT121" i="15" s="1"/>
  <c r="DW124" i="14"/>
  <c r="AH110" i="15" s="1"/>
  <c r="AT110" i="15" s="1"/>
  <c r="DX130" i="14"/>
  <c r="AA114" i="38" s="1"/>
  <c r="DV92" i="14"/>
  <c r="Y76" i="38" s="1"/>
  <c r="DW71" i="14"/>
  <c r="AH57" i="15" s="1"/>
  <c r="AT57" i="15" s="1"/>
  <c r="DX131" i="14"/>
  <c r="AA115" i="38" s="1"/>
  <c r="DX138" i="14"/>
  <c r="AI124" i="15" s="1"/>
  <c r="BM122" i="38" s="1"/>
  <c r="BQ122" i="38" s="1"/>
  <c r="DW109" i="14"/>
  <c r="F45" i="16" s="1"/>
  <c r="G45" i="16" s="1"/>
  <c r="H45" i="16" s="1"/>
  <c r="DX139" i="14"/>
  <c r="AI125" i="15" s="1"/>
  <c r="BM123" i="38" s="1"/>
  <c r="BQ123" i="38" s="1"/>
  <c r="DS144" i="14"/>
  <c r="DW140" i="14" s="1"/>
  <c r="DW107" i="14"/>
  <c r="AH93" i="15" s="1"/>
  <c r="AT93" i="15" s="1"/>
  <c r="DX95" i="14"/>
  <c r="AI81" i="15" s="1"/>
  <c r="BM79" i="38" s="1"/>
  <c r="BQ79" i="38" s="1"/>
  <c r="DV94" i="14"/>
  <c r="Y78" i="38" s="1"/>
  <c r="DW111" i="14"/>
  <c r="AH97" i="15" s="1"/>
  <c r="AT97" i="15" s="1"/>
  <c r="DW119" i="14"/>
  <c r="Z103" i="38" s="1"/>
  <c r="DX99" i="14"/>
  <c r="AI85" i="15" s="1"/>
  <c r="BM83" i="38" s="1"/>
  <c r="BQ83" i="38" s="1"/>
  <c r="DW90" i="14"/>
  <c r="AH76" i="15" s="1"/>
  <c r="AT76" i="15" s="1"/>
  <c r="DW97" i="14"/>
  <c r="AH83" i="15" s="1"/>
  <c r="AT83" i="15" s="1"/>
  <c r="DU65" i="14"/>
  <c r="AF51" i="15" s="1"/>
  <c r="AS51" i="15" s="1"/>
  <c r="DU64" i="14"/>
  <c r="AF50" i="15" s="1"/>
  <c r="AS50" i="15" s="1"/>
  <c r="DW110" i="14"/>
  <c r="AH96" i="15" s="1"/>
  <c r="AT96" i="15" s="1"/>
  <c r="DX90" i="14"/>
  <c r="DW96" i="14"/>
  <c r="AH82" i="15" s="1"/>
  <c r="AT82" i="15" s="1"/>
  <c r="DU91" i="14"/>
  <c r="X75" i="38" s="1"/>
  <c r="DU68" i="14"/>
  <c r="AF54" i="15" s="1"/>
  <c r="AS54" i="15" s="1"/>
  <c r="DW114" i="14"/>
  <c r="AH100" i="15" s="1"/>
  <c r="AT100" i="15" s="1"/>
  <c r="DU67" i="14"/>
  <c r="AF53" i="15" s="1"/>
  <c r="AS53" i="15" s="1"/>
  <c r="DU63" i="14"/>
  <c r="AF49" i="15" s="1"/>
  <c r="AS49" i="15" s="1"/>
  <c r="DW118" i="14"/>
  <c r="AH104" i="15" s="1"/>
  <c r="AT104" i="15" s="1"/>
  <c r="DW116" i="14"/>
  <c r="AH102" i="15" s="1"/>
  <c r="AT102" i="15" s="1"/>
  <c r="DX97" i="14"/>
  <c r="DW98" i="14"/>
  <c r="AH84" i="15" s="1"/>
  <c r="AT84" i="15" s="1"/>
  <c r="DU66" i="14"/>
  <c r="AF52" i="15" s="1"/>
  <c r="AS52" i="15" s="1"/>
  <c r="DU62" i="14"/>
  <c r="AF48" i="15" s="1"/>
  <c r="AS48" i="15" s="1"/>
  <c r="DW117" i="14"/>
  <c r="AH103" i="15" s="1"/>
  <c r="AT103" i="15" s="1"/>
  <c r="DW115" i="14"/>
  <c r="AH101" i="15" s="1"/>
  <c r="AT101" i="15" s="1"/>
  <c r="DX91" i="14"/>
  <c r="AI77" i="15" s="1"/>
  <c r="BM75" i="38" s="1"/>
  <c r="BQ75" i="38" s="1"/>
  <c r="DW93" i="14"/>
  <c r="AH79" i="15" s="1"/>
  <c r="AT79" i="15" s="1"/>
  <c r="DW120" i="14"/>
  <c r="AH106" i="15" s="1"/>
  <c r="AT106" i="15" s="1"/>
  <c r="DU69" i="14"/>
  <c r="X53" i="38" s="1"/>
  <c r="DW85" i="14"/>
  <c r="AH71" i="15" s="1"/>
  <c r="AT71" i="15" s="1"/>
  <c r="DW112" i="14"/>
  <c r="AH98" i="15" s="1"/>
  <c r="AT98" i="15" s="1"/>
  <c r="DW91" i="14"/>
  <c r="AH77" i="15" s="1"/>
  <c r="AT77" i="15" s="1"/>
  <c r="DW139" i="14"/>
  <c r="F48" i="16" s="1"/>
  <c r="G48" i="16" s="1"/>
  <c r="H48" i="16" s="1"/>
  <c r="DX89" i="14"/>
  <c r="AI75" i="15" s="1"/>
  <c r="BM73" i="38" s="1"/>
  <c r="BQ73" i="38" s="1"/>
  <c r="DX81" i="14"/>
  <c r="AI67" i="15" s="1"/>
  <c r="BM65" i="38" s="1"/>
  <c r="BQ65" i="38" s="1"/>
  <c r="DX80" i="14"/>
  <c r="AI66" i="15" s="1"/>
  <c r="BM64" i="38" s="1"/>
  <c r="BQ64" i="38" s="1"/>
  <c r="DX84" i="14"/>
  <c r="AA68" i="38" s="1"/>
  <c r="DX88" i="14"/>
  <c r="AA72" i="38" s="1"/>
  <c r="DX82" i="14"/>
  <c r="AI68" i="15" s="1"/>
  <c r="BM66" i="38" s="1"/>
  <c r="BQ66" i="38" s="1"/>
  <c r="DX86" i="14"/>
  <c r="AI72" i="15" s="1"/>
  <c r="BM70" i="38" s="1"/>
  <c r="BQ70" i="38" s="1"/>
  <c r="DW121" i="14"/>
  <c r="AH107" i="15" s="1"/>
  <c r="AT107" i="15" s="1"/>
  <c r="DX102" i="14"/>
  <c r="DW123" i="14"/>
  <c r="AH109" i="15" s="1"/>
  <c r="AT109" i="15" s="1"/>
  <c r="DT120" i="14"/>
  <c r="DX124" i="14" s="1"/>
  <c r="DW100" i="14"/>
  <c r="Z84" i="38" s="1"/>
  <c r="DQ150" i="14"/>
  <c r="DU158" i="14" s="1"/>
  <c r="DX101" i="14"/>
  <c r="EC101" i="14" s="1"/>
  <c r="ED101" i="14" s="1"/>
  <c r="DW128" i="14"/>
  <c r="AH114" i="15" s="1"/>
  <c r="AT114" i="15" s="1"/>
  <c r="DQ120" i="14"/>
  <c r="DU120" i="14" s="1"/>
  <c r="AF106" i="15" s="1"/>
  <c r="AS106" i="15" s="1"/>
  <c r="DW105" i="14"/>
  <c r="AH91" i="15" s="1"/>
  <c r="AT91" i="15" s="1"/>
  <c r="DW61" i="14"/>
  <c r="AH47" i="15" s="1"/>
  <c r="AT47" i="15" s="1"/>
  <c r="DX105" i="14"/>
  <c r="AI91" i="15" s="1"/>
  <c r="BM89" i="38" s="1"/>
  <c r="BQ89" i="38" s="1"/>
  <c r="DW127" i="14"/>
  <c r="AH113" i="15" s="1"/>
  <c r="AT113" i="15" s="1"/>
  <c r="DQ143" i="14"/>
  <c r="DW102" i="14"/>
  <c r="AH88" i="15" s="1"/>
  <c r="AT88" i="15" s="1"/>
  <c r="DX108" i="14"/>
  <c r="EC108" i="14" s="1"/>
  <c r="ED108" i="14" s="1"/>
  <c r="DW122" i="14"/>
  <c r="AH108" i="15" s="1"/>
  <c r="AT108" i="15" s="1"/>
  <c r="DQ88" i="14"/>
  <c r="DR88" i="14" s="1"/>
  <c r="DV82" i="14" s="1"/>
  <c r="Y66" i="38" s="1"/>
  <c r="DW101" i="14"/>
  <c r="AH87" i="15" s="1"/>
  <c r="AT87" i="15" s="1"/>
  <c r="DW106" i="14"/>
  <c r="AH92" i="15" s="1"/>
  <c r="AT92" i="15" s="1"/>
  <c r="DW129" i="14"/>
  <c r="Z113" i="38" s="1"/>
  <c r="DW62" i="14"/>
  <c r="AH48" i="15" s="1"/>
  <c r="AT48" i="15" s="1"/>
  <c r="DX104" i="14"/>
  <c r="AI90" i="15" s="1"/>
  <c r="BM88" i="38" s="1"/>
  <c r="BQ88" i="38" s="1"/>
  <c r="DW125" i="14"/>
  <c r="AH111" i="15" s="1"/>
  <c r="AT111" i="15" s="1"/>
  <c r="DX100" i="14"/>
  <c r="AI86" i="15" s="1"/>
  <c r="BM84" i="38" s="1"/>
  <c r="BQ84" i="38" s="1"/>
  <c r="DW103" i="14"/>
  <c r="Z87" i="38" s="1"/>
  <c r="DU105" i="14"/>
  <c r="AF91" i="15" s="1"/>
  <c r="AS91" i="15" s="1"/>
  <c r="DU108" i="14"/>
  <c r="AF94" i="15" s="1"/>
  <c r="AS94" i="15" s="1"/>
  <c r="DU103" i="14"/>
  <c r="AF89" i="15" s="1"/>
  <c r="AS89" i="15" s="1"/>
  <c r="DU107" i="14"/>
  <c r="AF93" i="15" s="1"/>
  <c r="AS93" i="15" s="1"/>
  <c r="DU100" i="14"/>
  <c r="X84" i="38" s="1"/>
  <c r="DU102" i="14"/>
  <c r="AF88" i="15" s="1"/>
  <c r="AS88" i="15" s="1"/>
  <c r="DU101" i="14"/>
  <c r="X85" i="38" s="1"/>
  <c r="DU104" i="14"/>
  <c r="AF90" i="15" s="1"/>
  <c r="AS90" i="15" s="1"/>
  <c r="DW64" i="14"/>
  <c r="AH50" i="15" s="1"/>
  <c r="AT50" i="15" s="1"/>
  <c r="DW69" i="14"/>
  <c r="Z53" i="38" s="1"/>
  <c r="DV90" i="14"/>
  <c r="Y74" i="38" s="1"/>
  <c r="DU93" i="14"/>
  <c r="AF79" i="15" s="1"/>
  <c r="AS79" i="15" s="1"/>
  <c r="DW63" i="14"/>
  <c r="AH49" i="15" s="1"/>
  <c r="AT49" i="15" s="1"/>
  <c r="DV95" i="14"/>
  <c r="Y79" i="38" s="1"/>
  <c r="DU92" i="14"/>
  <c r="AF78" i="15" s="1"/>
  <c r="AS78" i="15" s="1"/>
  <c r="DU85" i="14"/>
  <c r="DW65" i="14"/>
  <c r="AH51" i="15" s="1"/>
  <c r="AT51" i="15" s="1"/>
  <c r="DU96" i="14"/>
  <c r="X80" i="38" s="1"/>
  <c r="DU98" i="14"/>
  <c r="AF84" i="15" s="1"/>
  <c r="AS84" i="15" s="1"/>
  <c r="DV137" i="14"/>
  <c r="Y121" i="38" s="1"/>
  <c r="DW66" i="14"/>
  <c r="AH52" i="15" s="1"/>
  <c r="AT52" i="15" s="1"/>
  <c r="DV99" i="14"/>
  <c r="Y83" i="38" s="1"/>
  <c r="DV96" i="14"/>
  <c r="Y80" i="38" s="1"/>
  <c r="DU94" i="14"/>
  <c r="AF80" i="15" s="1"/>
  <c r="AS80" i="15" s="1"/>
  <c r="DU95" i="14"/>
  <c r="AF81" i="15" s="1"/>
  <c r="AS81" i="15" s="1"/>
  <c r="DW134" i="14"/>
  <c r="Z118" i="38" s="1"/>
  <c r="DV91" i="14"/>
  <c r="Y75" i="38" s="1"/>
  <c r="DW67" i="14"/>
  <c r="AH53" i="15" s="1"/>
  <c r="AT53" i="15" s="1"/>
  <c r="DV97" i="14"/>
  <c r="Y81" i="38" s="1"/>
  <c r="DV98" i="14"/>
  <c r="Y82" i="38" s="1"/>
  <c r="DU97" i="14"/>
  <c r="AF83" i="15" s="1"/>
  <c r="AS83" i="15" s="1"/>
  <c r="DU99" i="14"/>
  <c r="AF85" i="15" s="1"/>
  <c r="AS85" i="15" s="1"/>
  <c r="DU90" i="14"/>
  <c r="AF76" i="15" s="1"/>
  <c r="AS76" i="15" s="1"/>
  <c r="DW132" i="14"/>
  <c r="AH118" i="15" s="1"/>
  <c r="AT118" i="15" s="1"/>
  <c r="DW60" i="14"/>
  <c r="AH46" i="15" s="1"/>
  <c r="AT46" i="15" s="1"/>
  <c r="DV93" i="14"/>
  <c r="Y77" i="38" s="1"/>
  <c r="DW133" i="14"/>
  <c r="AH119" i="15" s="1"/>
  <c r="AT119" i="15" s="1"/>
  <c r="DW130" i="14"/>
  <c r="AH116" i="15" s="1"/>
  <c r="AT116" i="15" s="1"/>
  <c r="DW138" i="14"/>
  <c r="AH124" i="15" s="1"/>
  <c r="AT124" i="15" s="1"/>
  <c r="DW68" i="14"/>
  <c r="AH54" i="15" s="1"/>
  <c r="AT54" i="15" s="1"/>
  <c r="DV130" i="14"/>
  <c r="Y114" i="38" s="1"/>
  <c r="DU79" i="14"/>
  <c r="X63" i="38" s="1"/>
  <c r="DU70" i="14"/>
  <c r="DX87" i="14"/>
  <c r="AI73" i="15" s="1"/>
  <c r="BM71" i="38" s="1"/>
  <c r="BQ71" i="38" s="1"/>
  <c r="DU60" i="14"/>
  <c r="AF46" i="15" s="1"/>
  <c r="AS46" i="15" s="1"/>
  <c r="DX83" i="14"/>
  <c r="AA67" i="38" s="1"/>
  <c r="DX85" i="14"/>
  <c r="AA69" i="38" s="1"/>
  <c r="DW87" i="14"/>
  <c r="AH73" i="15" s="1"/>
  <c r="AT73" i="15" s="1"/>
  <c r="DW82" i="14"/>
  <c r="AH68" i="15" s="1"/>
  <c r="AT68" i="15" s="1"/>
  <c r="DW80" i="14"/>
  <c r="AH66" i="15" s="1"/>
  <c r="AT66" i="15" s="1"/>
  <c r="DW89" i="14"/>
  <c r="Z73" i="38" s="1"/>
  <c r="DW81" i="14"/>
  <c r="AH67" i="15" s="1"/>
  <c r="AT67" i="15" s="1"/>
  <c r="DV138" i="14"/>
  <c r="Y122" i="38" s="1"/>
  <c r="DV139" i="14"/>
  <c r="Y123" i="38" s="1"/>
  <c r="DQ148" i="14"/>
  <c r="DR148" i="14" s="1"/>
  <c r="DU135" i="14"/>
  <c r="AF121" i="15" s="1"/>
  <c r="AS121" i="15" s="1"/>
  <c r="DV133" i="14"/>
  <c r="Y117" i="38" s="1"/>
  <c r="DV136" i="14"/>
  <c r="Y120" i="38" s="1"/>
  <c r="DU132" i="14"/>
  <c r="X116" i="38" s="1"/>
  <c r="DU130" i="14"/>
  <c r="AF116" i="15" s="1"/>
  <c r="AS116" i="15" s="1"/>
  <c r="DV134" i="14"/>
  <c r="Y118" i="38" s="1"/>
  <c r="DU134" i="14"/>
  <c r="AF120" i="15" s="1"/>
  <c r="AS120" i="15" s="1"/>
  <c r="DU137" i="14"/>
  <c r="AF123" i="15" s="1"/>
  <c r="AS123" i="15" s="1"/>
  <c r="DV131" i="14"/>
  <c r="Y115" i="38" s="1"/>
  <c r="DU139" i="14"/>
  <c r="AF125" i="15" s="1"/>
  <c r="AS125" i="15" s="1"/>
  <c r="DV135" i="14"/>
  <c r="Y119" i="38" s="1"/>
  <c r="DU136" i="14"/>
  <c r="AF122" i="15" s="1"/>
  <c r="AS122" i="15" s="1"/>
  <c r="DV132" i="14"/>
  <c r="Y116" i="38" s="1"/>
  <c r="DU138" i="14"/>
  <c r="X122" i="38" s="1"/>
  <c r="DU133" i="14"/>
  <c r="X117" i="38" s="1"/>
  <c r="DU131" i="14"/>
  <c r="AF117" i="15" s="1"/>
  <c r="AS117" i="15" s="1"/>
  <c r="DS155" i="14"/>
  <c r="DT155" i="14" s="1"/>
  <c r="AF47" i="15"/>
  <c r="AS47" i="15" s="1"/>
  <c r="X45" i="38"/>
  <c r="Z97" i="38"/>
  <c r="AI122" i="15"/>
  <c r="BM120" i="38" s="1"/>
  <c r="BQ120" i="38" s="1"/>
  <c r="AA120" i="38"/>
  <c r="DV78" i="14"/>
  <c r="Y62" i="38" s="1"/>
  <c r="DV79" i="14"/>
  <c r="Y63" i="38" s="1"/>
  <c r="DV72" i="14"/>
  <c r="AG58" i="15" s="1"/>
  <c r="BL56" i="38" s="1"/>
  <c r="BP56" i="38" s="1"/>
  <c r="DV75" i="14"/>
  <c r="DV73" i="14"/>
  <c r="DV76" i="14"/>
  <c r="Y60" i="38" s="1"/>
  <c r="DV74" i="14"/>
  <c r="DV77" i="14"/>
  <c r="DV70" i="14"/>
  <c r="AG87" i="15"/>
  <c r="BL85" i="38" s="1"/>
  <c r="BP85" i="38" s="1"/>
  <c r="DT150" i="14"/>
  <c r="DX116" i="14"/>
  <c r="DX111" i="14"/>
  <c r="DX115" i="14"/>
  <c r="DX118" i="14"/>
  <c r="DX117" i="14"/>
  <c r="DX112" i="14"/>
  <c r="DX113" i="14"/>
  <c r="DX110" i="14"/>
  <c r="DX119" i="14"/>
  <c r="DX114" i="14"/>
  <c r="DV119" i="14"/>
  <c r="Y103" i="38" s="1"/>
  <c r="DV111" i="14"/>
  <c r="Y95" i="38" s="1"/>
  <c r="DV118" i="14"/>
  <c r="Y102" i="38" s="1"/>
  <c r="DV110" i="14"/>
  <c r="Y94" i="38" s="1"/>
  <c r="DV116" i="14"/>
  <c r="Y100" i="38" s="1"/>
  <c r="DV114" i="14"/>
  <c r="Y98" i="38" s="1"/>
  <c r="DV117" i="14"/>
  <c r="Y101" i="38" s="1"/>
  <c r="DV113" i="14"/>
  <c r="Y97" i="38" s="1"/>
  <c r="DV115" i="14"/>
  <c r="Y99" i="38" s="1"/>
  <c r="DV112" i="14"/>
  <c r="Y96" i="38" s="1"/>
  <c r="DV66" i="14"/>
  <c r="Y50" i="38" s="1"/>
  <c r="DV65" i="14"/>
  <c r="Y49" i="38" s="1"/>
  <c r="DV68" i="14"/>
  <c r="Y52" i="38" s="1"/>
  <c r="DV64" i="14"/>
  <c r="Y48" i="38" s="1"/>
  <c r="DV63" i="14"/>
  <c r="Y47" i="38" s="1"/>
  <c r="DV62" i="14"/>
  <c r="Y46" i="38" s="1"/>
  <c r="DV60" i="14"/>
  <c r="DV69" i="14"/>
  <c r="Y53" i="38" s="1"/>
  <c r="DV61" i="14"/>
  <c r="Y45" i="38" s="1"/>
  <c r="DV67" i="14"/>
  <c r="Y51" i="38" s="1"/>
  <c r="DX64" i="14"/>
  <c r="DX66" i="14"/>
  <c r="DX63" i="14"/>
  <c r="DX62" i="14"/>
  <c r="DX69" i="14"/>
  <c r="DX61" i="14"/>
  <c r="DX68" i="14"/>
  <c r="DX60" i="14"/>
  <c r="DX67" i="14"/>
  <c r="DX65" i="14"/>
  <c r="AI56" i="15" l="1"/>
  <c r="BM54" i="38" s="1"/>
  <c r="BQ54" i="38" s="1"/>
  <c r="AI78" i="15"/>
  <c r="BM76" i="38" s="1"/>
  <c r="BQ76" i="38" s="1"/>
  <c r="F46" i="16"/>
  <c r="G46" i="16" s="1"/>
  <c r="H46" i="16" s="1"/>
  <c r="AA122" i="38"/>
  <c r="AB122" i="38" s="1"/>
  <c r="AI117" i="15"/>
  <c r="BM115" i="38" s="1"/>
  <c r="BQ115" i="38" s="1"/>
  <c r="Z80" i="38"/>
  <c r="DX125" i="14"/>
  <c r="AA109" i="38" s="1"/>
  <c r="DY71" i="14"/>
  <c r="AG57" i="15"/>
  <c r="BL55" i="38" s="1"/>
  <c r="BP55" i="38" s="1"/>
  <c r="Z83" i="38"/>
  <c r="F44" i="16"/>
  <c r="G44" i="16" s="1"/>
  <c r="H44" i="16" s="1"/>
  <c r="AH95" i="15"/>
  <c r="AT95" i="15" s="1"/>
  <c r="AF77" i="15"/>
  <c r="AS77" i="15" s="1"/>
  <c r="X90" i="38"/>
  <c r="AI120" i="15"/>
  <c r="BM118" i="38" s="1"/>
  <c r="BQ118" i="38" s="1"/>
  <c r="X114" i="38"/>
  <c r="AA78" i="38"/>
  <c r="AB78" i="38" s="1"/>
  <c r="AA91" i="38"/>
  <c r="AB91" i="38" s="1"/>
  <c r="AA80" i="38"/>
  <c r="AB80" i="38" s="1"/>
  <c r="AF97" i="15"/>
  <c r="AS97" i="15" s="1"/>
  <c r="AG124" i="15"/>
  <c r="BL122" i="38" s="1"/>
  <c r="BP122" i="38" s="1"/>
  <c r="AG88" i="15"/>
  <c r="BL86" i="38" s="1"/>
  <c r="BP86" i="38" s="1"/>
  <c r="DW144" i="14"/>
  <c r="AH130" i="15" s="1"/>
  <c r="AT130" i="15" s="1"/>
  <c r="DW148" i="14"/>
  <c r="AH134" i="15" s="1"/>
  <c r="AT134" i="15" s="1"/>
  <c r="AA116" i="38"/>
  <c r="AB116" i="38" s="1"/>
  <c r="AF86" i="15"/>
  <c r="AS86" i="15" s="1"/>
  <c r="Z47" i="38"/>
  <c r="AA88" i="38"/>
  <c r="AB88" i="38" s="1"/>
  <c r="EC138" i="14"/>
  <c r="ED138" i="14" s="1"/>
  <c r="EF138" i="14" s="1"/>
  <c r="FK138" i="14" s="1"/>
  <c r="DW143" i="14"/>
  <c r="Z81" i="38"/>
  <c r="X97" i="38"/>
  <c r="AR97" i="38" s="1"/>
  <c r="AT97" i="38" s="1"/>
  <c r="Z117" i="38"/>
  <c r="AR117" i="38" s="1"/>
  <c r="AT117" i="38" s="1"/>
  <c r="AA85" i="38"/>
  <c r="AB85" i="38" s="1"/>
  <c r="Z62" i="38"/>
  <c r="DW141" i="14"/>
  <c r="AH127" i="15" s="1"/>
  <c r="AT127" i="15" s="1"/>
  <c r="EC73" i="14"/>
  <c r="ED73" i="14" s="1"/>
  <c r="EE73" i="14" s="1"/>
  <c r="AI87" i="15"/>
  <c r="BM85" i="38" s="1"/>
  <c r="BQ85" i="38" s="1"/>
  <c r="BR85" i="38" s="1"/>
  <c r="BV85" i="38" s="1"/>
  <c r="Z108" i="38"/>
  <c r="X96" i="38"/>
  <c r="AA57" i="38"/>
  <c r="DW147" i="14"/>
  <c r="AH133" i="15" s="1"/>
  <c r="AT133" i="15" s="1"/>
  <c r="DW145" i="14"/>
  <c r="AH131" i="15" s="1"/>
  <c r="AT131" i="15" s="1"/>
  <c r="DT144" i="14"/>
  <c r="DX142" i="14" s="1"/>
  <c r="X51" i="38"/>
  <c r="Z86" i="38"/>
  <c r="DY97" i="14"/>
  <c r="AG86" i="15"/>
  <c r="BL84" i="38" s="1"/>
  <c r="BP84" i="38" s="1"/>
  <c r="AG83" i="15"/>
  <c r="BL81" i="38" s="1"/>
  <c r="BP81" i="38" s="1"/>
  <c r="DW149" i="14"/>
  <c r="Z133" i="38" s="1"/>
  <c r="DW142" i="14"/>
  <c r="Z126" i="38" s="1"/>
  <c r="Z50" i="38"/>
  <c r="Z110" i="38"/>
  <c r="X46" i="38"/>
  <c r="DY132" i="14"/>
  <c r="AG118" i="15"/>
  <c r="BL116" i="38" s="1"/>
  <c r="BP116" i="38" s="1"/>
  <c r="DY101" i="14"/>
  <c r="DW146" i="14"/>
  <c r="AH132" i="15" s="1"/>
  <c r="AT132" i="15" s="1"/>
  <c r="Z98" i="38"/>
  <c r="AA66" i="38"/>
  <c r="AB66" i="38" s="1"/>
  <c r="AA77" i="38"/>
  <c r="AB77" i="38" s="1"/>
  <c r="Z96" i="38"/>
  <c r="Z59" i="38"/>
  <c r="AR59" i="38" s="1"/>
  <c r="AT59" i="38" s="1"/>
  <c r="DY102" i="14"/>
  <c r="EC132" i="14"/>
  <c r="ED132" i="14" s="1"/>
  <c r="EF132" i="14" s="1"/>
  <c r="FK132" i="14" s="1"/>
  <c r="AA81" i="38"/>
  <c r="AB81" i="38" s="1"/>
  <c r="DX126" i="14"/>
  <c r="AA110" i="38" s="1"/>
  <c r="DX128" i="14"/>
  <c r="AI114" i="15" s="1"/>
  <c r="BM112" i="38" s="1"/>
  <c r="BQ112" i="38" s="1"/>
  <c r="AI83" i="15"/>
  <c r="BM81" i="38" s="1"/>
  <c r="BQ81" i="38" s="1"/>
  <c r="F41" i="16"/>
  <c r="V27" i="46" s="1"/>
  <c r="AF65" i="15"/>
  <c r="AS65" i="15" s="1"/>
  <c r="DX129" i="14"/>
  <c r="AI115" i="15" s="1"/>
  <c r="BM113" i="38" s="1"/>
  <c r="BQ113" i="38" s="1"/>
  <c r="Z68" i="38"/>
  <c r="AA90" i="38"/>
  <c r="AB90" i="38" s="1"/>
  <c r="AA93" i="38"/>
  <c r="AB93" i="38" s="1"/>
  <c r="DX122" i="14"/>
  <c r="AA106" i="38" s="1"/>
  <c r="X60" i="38"/>
  <c r="Z78" i="38"/>
  <c r="AH105" i="15"/>
  <c r="AT105" i="15" s="1"/>
  <c r="DX123" i="14"/>
  <c r="AI109" i="15" s="1"/>
  <c r="BM107" i="38" s="1"/>
  <c r="BQ107" i="38" s="1"/>
  <c r="X100" i="38"/>
  <c r="DX120" i="14"/>
  <c r="AI106" i="15" s="1"/>
  <c r="BM104" i="38" s="1"/>
  <c r="BQ104" i="38" s="1"/>
  <c r="Z112" i="38"/>
  <c r="Z101" i="38"/>
  <c r="AG93" i="15"/>
  <c r="BL91" i="38" s="1"/>
  <c r="BP91" i="38" s="1"/>
  <c r="AI116" i="15"/>
  <c r="BM114" i="38" s="1"/>
  <c r="BQ114" i="38" s="1"/>
  <c r="AH72" i="15"/>
  <c r="AT72" i="15" s="1"/>
  <c r="AG94" i="15"/>
  <c r="BL92" i="38" s="1"/>
  <c r="BP92" i="38" s="1"/>
  <c r="AG84" i="15"/>
  <c r="BL82" i="38" s="1"/>
  <c r="BP82" i="38" s="1"/>
  <c r="AF61" i="15"/>
  <c r="AS61" i="15" s="1"/>
  <c r="AA56" i="38"/>
  <c r="AI74" i="15"/>
  <c r="BM72" i="38" s="1"/>
  <c r="BQ72" i="38" s="1"/>
  <c r="Z69" i="38"/>
  <c r="DU151" i="14"/>
  <c r="AF137" i="15" s="1"/>
  <c r="AS137" i="15" s="1"/>
  <c r="AR53" i="38"/>
  <c r="AT53" i="38" s="1"/>
  <c r="AG64" i="15"/>
  <c r="BL62" i="38" s="1"/>
  <c r="BP62" i="38" s="1"/>
  <c r="AG89" i="15"/>
  <c r="BL87" i="38" s="1"/>
  <c r="BP87" i="38" s="1"/>
  <c r="Z91" i="38"/>
  <c r="Z61" i="38"/>
  <c r="AH86" i="15"/>
  <c r="AT86" i="15" s="1"/>
  <c r="Z67" i="38"/>
  <c r="X99" i="38"/>
  <c r="DU146" i="14"/>
  <c r="AF132" i="15" s="1"/>
  <c r="AS132" i="15" s="1"/>
  <c r="X93" i="38"/>
  <c r="X49" i="38"/>
  <c r="X58" i="38"/>
  <c r="AH75" i="15"/>
  <c r="AT75" i="15" s="1"/>
  <c r="DY107" i="14"/>
  <c r="Z75" i="38"/>
  <c r="AR75" i="38" s="1"/>
  <c r="AT75" i="38" s="1"/>
  <c r="Z82" i="38"/>
  <c r="F43" i="16"/>
  <c r="G43" i="16" s="1"/>
  <c r="EC107" i="14"/>
  <c r="ED107" i="14" s="1"/>
  <c r="EE107" i="14" s="1"/>
  <c r="X56" i="38"/>
  <c r="AF119" i="15"/>
  <c r="AS119" i="15" s="1"/>
  <c r="DY92" i="14"/>
  <c r="X62" i="38"/>
  <c r="AA79" i="38"/>
  <c r="AB79" i="38" s="1"/>
  <c r="EC92" i="14"/>
  <c r="ED92" i="14" s="1"/>
  <c r="EF92" i="14" s="1"/>
  <c r="FK92" i="14" s="1"/>
  <c r="GD92" i="14" s="1"/>
  <c r="DY104" i="14"/>
  <c r="AA82" i="38"/>
  <c r="AB82" i="38" s="1"/>
  <c r="Z115" i="38"/>
  <c r="Z72" i="38"/>
  <c r="DY98" i="14"/>
  <c r="EC104" i="14"/>
  <c r="ED104" i="14" s="1"/>
  <c r="EE104" i="14" s="1"/>
  <c r="EC103" i="14"/>
  <c r="ED103" i="14" s="1"/>
  <c r="EE103" i="14" s="1"/>
  <c r="AG78" i="15"/>
  <c r="BL76" i="38" s="1"/>
  <c r="BP76" i="38" s="1"/>
  <c r="AG90" i="15"/>
  <c r="BL88" i="38" s="1"/>
  <c r="BP88" i="38" s="1"/>
  <c r="AA62" i="38"/>
  <c r="AB62" i="38" s="1"/>
  <c r="AA121" i="38"/>
  <c r="AB121" i="38" s="1"/>
  <c r="DU140" i="14"/>
  <c r="AF126" i="15" s="1"/>
  <c r="AS126" i="15" s="1"/>
  <c r="AF87" i="15"/>
  <c r="AS87" i="15" s="1"/>
  <c r="AH81" i="15"/>
  <c r="AT81" i="15" s="1"/>
  <c r="X118" i="38"/>
  <c r="AR118" i="38" s="1"/>
  <c r="AT118" i="38" s="1"/>
  <c r="X55" i="38"/>
  <c r="DW154" i="14"/>
  <c r="Z138" i="38" s="1"/>
  <c r="DY109" i="14"/>
  <c r="DW155" i="14"/>
  <c r="AH141" i="15" s="1"/>
  <c r="AT141" i="15" s="1"/>
  <c r="AH94" i="15"/>
  <c r="AT94" i="15" s="1"/>
  <c r="EC109" i="14"/>
  <c r="ED109" i="14" s="1"/>
  <c r="EE109" i="14" s="1"/>
  <c r="DW158" i="14"/>
  <c r="AH144" i="15" s="1"/>
  <c r="AT144" i="15" s="1"/>
  <c r="AG95" i="15"/>
  <c r="BL93" i="38" s="1"/>
  <c r="BP93" i="38" s="1"/>
  <c r="DW150" i="14"/>
  <c r="Z134" i="38" s="1"/>
  <c r="X57" i="38"/>
  <c r="X61" i="38"/>
  <c r="Z107" i="38"/>
  <c r="AA86" i="38"/>
  <c r="AB86" i="38" s="1"/>
  <c r="EC97" i="14"/>
  <c r="ED97" i="14" s="1"/>
  <c r="EF97" i="14" s="1"/>
  <c r="FK97" i="14" s="1"/>
  <c r="GD97" i="14" s="1"/>
  <c r="DY138" i="14"/>
  <c r="AA83" i="38"/>
  <c r="AB83" i="38" s="1"/>
  <c r="DY105" i="14"/>
  <c r="AG77" i="15"/>
  <c r="BL75" i="38" s="1"/>
  <c r="BP75" i="38" s="1"/>
  <c r="Z111" i="38"/>
  <c r="DW152" i="14"/>
  <c r="AH138" i="15" s="1"/>
  <c r="AT138" i="15" s="1"/>
  <c r="AG119" i="15"/>
  <c r="BL117" i="38" s="1"/>
  <c r="BP117" i="38" s="1"/>
  <c r="Z44" i="38"/>
  <c r="X87" i="38"/>
  <c r="AR87" i="38" s="1"/>
  <c r="AT87" i="38" s="1"/>
  <c r="EC90" i="14"/>
  <c r="ED90" i="14" s="1"/>
  <c r="EE90" i="14" s="1"/>
  <c r="DY106" i="14"/>
  <c r="EC106" i="14"/>
  <c r="ED106" i="14" s="1"/>
  <c r="EF106" i="14" s="1"/>
  <c r="FK106" i="14" s="1"/>
  <c r="GD106" i="14" s="1"/>
  <c r="AG91" i="15"/>
  <c r="BL89" i="38" s="1"/>
  <c r="BP89" i="38" s="1"/>
  <c r="DW157" i="14"/>
  <c r="AH143" i="15" s="1"/>
  <c r="AT143" i="15" s="1"/>
  <c r="AG117" i="15"/>
  <c r="BL115" i="38" s="1"/>
  <c r="BP115" i="38" s="1"/>
  <c r="Z121" i="38"/>
  <c r="AA89" i="38"/>
  <c r="AB89" i="38" s="1"/>
  <c r="AA58" i="38"/>
  <c r="Z90" i="38"/>
  <c r="AR90" i="38" s="1"/>
  <c r="AT90" i="38" s="1"/>
  <c r="AA64" i="38"/>
  <c r="AH120" i="15"/>
  <c r="AT120" i="15" s="1"/>
  <c r="EC133" i="14"/>
  <c r="ED133" i="14" s="1"/>
  <c r="EE133" i="14" s="1"/>
  <c r="AR103" i="38"/>
  <c r="AT103" i="38" s="1"/>
  <c r="EC105" i="14"/>
  <c r="ED105" i="14" s="1"/>
  <c r="EE105" i="14" s="1"/>
  <c r="AG92" i="15"/>
  <c r="BL90" i="38" s="1"/>
  <c r="BP90" i="38" s="1"/>
  <c r="DW160" i="14"/>
  <c r="Z144" i="38" s="1"/>
  <c r="AH115" i="15"/>
  <c r="AT115" i="15" s="1"/>
  <c r="AA87" i="38"/>
  <c r="AB87" i="38" s="1"/>
  <c r="Z116" i="38"/>
  <c r="AR116" i="38" s="1"/>
  <c r="AT116" i="38" s="1"/>
  <c r="Z104" i="38"/>
  <c r="Z93" i="38"/>
  <c r="AI70" i="15"/>
  <c r="BM68" i="38" s="1"/>
  <c r="BQ68" i="38" s="1"/>
  <c r="F32" i="16"/>
  <c r="G32" i="16" s="1"/>
  <c r="H32" i="16" s="1"/>
  <c r="DX127" i="14"/>
  <c r="AI113" i="15" s="1"/>
  <c r="BM111" i="38" s="1"/>
  <c r="BQ111" i="38" s="1"/>
  <c r="DW151" i="14"/>
  <c r="AH137" i="15" s="1"/>
  <c r="AT137" i="15" s="1"/>
  <c r="F47" i="16"/>
  <c r="G47" i="16" s="1"/>
  <c r="H47" i="16" s="1"/>
  <c r="X92" i="38"/>
  <c r="AR92" i="38" s="1"/>
  <c r="AT92" i="38" s="1"/>
  <c r="Z76" i="38"/>
  <c r="X94" i="38"/>
  <c r="Z88" i="38"/>
  <c r="AI89" i="15"/>
  <c r="BM87" i="38" s="1"/>
  <c r="BQ87" i="38" s="1"/>
  <c r="AA63" i="38"/>
  <c r="AB63" i="38" s="1"/>
  <c r="AM63" i="38" s="1"/>
  <c r="AO63" i="38" s="1"/>
  <c r="AG76" i="15"/>
  <c r="BL74" i="38" s="1"/>
  <c r="BP74" i="38" s="1"/>
  <c r="AF55" i="15"/>
  <c r="AS55" i="15" s="1"/>
  <c r="F28" i="16"/>
  <c r="V26" i="46" s="1"/>
  <c r="DX121" i="14"/>
  <c r="AI107" i="15" s="1"/>
  <c r="BM105" i="38" s="1"/>
  <c r="BQ105" i="38" s="1"/>
  <c r="DW156" i="14"/>
  <c r="Z140" i="38" s="1"/>
  <c r="DY103" i="14"/>
  <c r="AA61" i="38"/>
  <c r="X82" i="38"/>
  <c r="Z57" i="38"/>
  <c r="F29" i="16"/>
  <c r="G29" i="16" s="1"/>
  <c r="AH55" i="15"/>
  <c r="AT55" i="15" s="1"/>
  <c r="DW159" i="14"/>
  <c r="AH145" i="15" s="1"/>
  <c r="AT145" i="15" s="1"/>
  <c r="DW153" i="14"/>
  <c r="AH139" i="15" s="1"/>
  <c r="AT139" i="15" s="1"/>
  <c r="AF82" i="15"/>
  <c r="AS82" i="15" s="1"/>
  <c r="X79" i="38"/>
  <c r="AR79" i="38" s="1"/>
  <c r="AT79" i="38" s="1"/>
  <c r="Z77" i="38"/>
  <c r="EC71" i="14"/>
  <c r="ED71" i="14" s="1"/>
  <c r="EE71" i="14" s="1"/>
  <c r="X89" i="38"/>
  <c r="AA55" i="38"/>
  <c r="AB55" i="38" s="1"/>
  <c r="X98" i="38"/>
  <c r="EC131" i="14"/>
  <c r="ED131" i="14" s="1"/>
  <c r="EF131" i="14" s="1"/>
  <c r="FK131" i="14" s="1"/>
  <c r="X119" i="38"/>
  <c r="Z95" i="38"/>
  <c r="AR95" i="38" s="1"/>
  <c r="AT95" i="38" s="1"/>
  <c r="AA65" i="38"/>
  <c r="X115" i="38"/>
  <c r="Z56" i="38"/>
  <c r="AI57" i="15"/>
  <c r="BM55" i="38" s="1"/>
  <c r="BQ55" i="38" s="1"/>
  <c r="Z54" i="38"/>
  <c r="Z85" i="38"/>
  <c r="AR85" i="38" s="1"/>
  <c r="AT85" i="38" s="1"/>
  <c r="Z45" i="38"/>
  <c r="AR45" i="38" s="1"/>
  <c r="AT45" i="38" s="1"/>
  <c r="Z120" i="38"/>
  <c r="AA74" i="38"/>
  <c r="AB74" i="38" s="1"/>
  <c r="Z49" i="38"/>
  <c r="X74" i="38"/>
  <c r="X102" i="38"/>
  <c r="X121" i="38"/>
  <c r="AI76" i="15"/>
  <c r="BM74" i="38" s="1"/>
  <c r="BQ74" i="38" s="1"/>
  <c r="DU143" i="14"/>
  <c r="AF129" i="15" s="1"/>
  <c r="AS129" i="15" s="1"/>
  <c r="DY131" i="14"/>
  <c r="Z48" i="38"/>
  <c r="AB114" i="38"/>
  <c r="Z100" i="38"/>
  <c r="DY130" i="14"/>
  <c r="DY90" i="14"/>
  <c r="AG116" i="15"/>
  <c r="BL114" i="38" s="1"/>
  <c r="BP114" i="38" s="1"/>
  <c r="EC130" i="14"/>
  <c r="ED130" i="14" s="1"/>
  <c r="EF130" i="14" s="1"/>
  <c r="FK130" i="14" s="1"/>
  <c r="AA117" i="38"/>
  <c r="AB117" i="38" s="1"/>
  <c r="AI119" i="15"/>
  <c r="BM117" i="38" s="1"/>
  <c r="BQ117" i="38" s="1"/>
  <c r="DY133" i="14"/>
  <c r="AA59" i="38"/>
  <c r="AI69" i="15"/>
  <c r="BM67" i="38" s="1"/>
  <c r="BQ67" i="38" s="1"/>
  <c r="AG68" i="15"/>
  <c r="BL66" i="38" s="1"/>
  <c r="BP66" i="38" s="1"/>
  <c r="DV81" i="14"/>
  <c r="AG67" i="15" s="1"/>
  <c r="BL65" i="38" s="1"/>
  <c r="BP65" i="38" s="1"/>
  <c r="F42" i="16"/>
  <c r="G42" i="16" s="1"/>
  <c r="AF105" i="15"/>
  <c r="AS105" i="15" s="1"/>
  <c r="F33" i="16"/>
  <c r="G33" i="16" s="1"/>
  <c r="H33" i="16" s="1"/>
  <c r="AA60" i="38"/>
  <c r="AB60" i="38" s="1"/>
  <c r="Z122" i="38"/>
  <c r="AR122" i="38" s="1"/>
  <c r="AT122" i="38" s="1"/>
  <c r="AH89" i="15"/>
  <c r="AT89" i="15" s="1"/>
  <c r="Z55" i="38"/>
  <c r="DY93" i="14"/>
  <c r="DU160" i="14"/>
  <c r="X144" i="38" s="1"/>
  <c r="DU150" i="14"/>
  <c r="AF136" i="15" s="1"/>
  <c r="AS136" i="15" s="1"/>
  <c r="DU148" i="14"/>
  <c r="AF134" i="15" s="1"/>
  <c r="AS134" i="15" s="1"/>
  <c r="DU145" i="14"/>
  <c r="AF131" i="15" s="1"/>
  <c r="AS131" i="15" s="1"/>
  <c r="Z64" i="38"/>
  <c r="Z58" i="38"/>
  <c r="EC93" i="14"/>
  <c r="ED93" i="14" s="1"/>
  <c r="EE93" i="14" s="1"/>
  <c r="DU156" i="14"/>
  <c r="AF142" i="15" s="1"/>
  <c r="AS142" i="15" s="1"/>
  <c r="DU154" i="14"/>
  <c r="AF140" i="15" s="1"/>
  <c r="AS140" i="15" s="1"/>
  <c r="DU144" i="14"/>
  <c r="AF130" i="15" s="1"/>
  <c r="AS130" i="15" s="1"/>
  <c r="DR143" i="14"/>
  <c r="DV142" i="14" s="1"/>
  <c r="Y126" i="38" s="1"/>
  <c r="AG79" i="15"/>
  <c r="BL77" i="38" s="1"/>
  <c r="BP77" i="38" s="1"/>
  <c r="DU159" i="14"/>
  <c r="AF145" i="15" s="1"/>
  <c r="AS145" i="15" s="1"/>
  <c r="DU155" i="14"/>
  <c r="X139" i="38" s="1"/>
  <c r="DU141" i="14"/>
  <c r="AF127" i="15" s="1"/>
  <c r="AS127" i="15" s="1"/>
  <c r="Z74" i="38"/>
  <c r="AA123" i="38"/>
  <c r="AB123" i="38" s="1"/>
  <c r="X52" i="38"/>
  <c r="X77" i="38"/>
  <c r="DU152" i="14"/>
  <c r="AF138" i="15" s="1"/>
  <c r="AS138" i="15" s="1"/>
  <c r="DR150" i="14"/>
  <c r="DV154" i="14" s="1"/>
  <c r="Y138" i="38" s="1"/>
  <c r="DU147" i="14"/>
  <c r="AF133" i="15" s="1"/>
  <c r="AS133" i="15" s="1"/>
  <c r="Z60" i="38"/>
  <c r="X91" i="38"/>
  <c r="AR63" i="38"/>
  <c r="AT63" i="38" s="1"/>
  <c r="DY137" i="14"/>
  <c r="DU157" i="14"/>
  <c r="AF143" i="15" s="1"/>
  <c r="AS143" i="15" s="1"/>
  <c r="DY136" i="14"/>
  <c r="DU142" i="14"/>
  <c r="AF128" i="15" s="1"/>
  <c r="AS128" i="15" s="1"/>
  <c r="X50" i="38"/>
  <c r="Z51" i="38"/>
  <c r="AA71" i="38"/>
  <c r="Z46" i="38"/>
  <c r="AR46" i="38" s="1"/>
  <c r="AT46" i="38" s="1"/>
  <c r="DU153" i="14"/>
  <c r="AF139" i="15" s="1"/>
  <c r="AS139" i="15" s="1"/>
  <c r="DU149" i="14"/>
  <c r="X133" i="38" s="1"/>
  <c r="Z119" i="38"/>
  <c r="AA119" i="38"/>
  <c r="AB119" i="38" s="1"/>
  <c r="AG123" i="15"/>
  <c r="BL121" i="38" s="1"/>
  <c r="BP121" i="38" s="1"/>
  <c r="EC137" i="14"/>
  <c r="ED137" i="14" s="1"/>
  <c r="EF137" i="14" s="1"/>
  <c r="FK137" i="14" s="1"/>
  <c r="AB76" i="38"/>
  <c r="DV88" i="14"/>
  <c r="Y72" i="38" s="1"/>
  <c r="AB72" i="38" s="1"/>
  <c r="AA73" i="38"/>
  <c r="X88" i="38"/>
  <c r="AI88" i="15"/>
  <c r="BM86" i="38" s="1"/>
  <c r="BQ86" i="38" s="1"/>
  <c r="BR86" i="38" s="1"/>
  <c r="DY134" i="14"/>
  <c r="DY91" i="14"/>
  <c r="DV80" i="14"/>
  <c r="DY80" i="14" s="1"/>
  <c r="AF124" i="15"/>
  <c r="AS124" i="15" s="1"/>
  <c r="DU82" i="14"/>
  <c r="AF68" i="15" s="1"/>
  <c r="AS68" i="15" s="1"/>
  <c r="EC102" i="14"/>
  <c r="ED102" i="14" s="1"/>
  <c r="EF102" i="14" s="1"/>
  <c r="FK102" i="14" s="1"/>
  <c r="GD102" i="14" s="1"/>
  <c r="AG120" i="15"/>
  <c r="BL118" i="38" s="1"/>
  <c r="BP118" i="38" s="1"/>
  <c r="DV84" i="14"/>
  <c r="Y68" i="38" s="1"/>
  <c r="AB68" i="38" s="1"/>
  <c r="X83" i="38"/>
  <c r="X101" i="38"/>
  <c r="Z66" i="38"/>
  <c r="Z94" i="38"/>
  <c r="DU87" i="14"/>
  <c r="AF73" i="15" s="1"/>
  <c r="AS73" i="15" s="1"/>
  <c r="DU81" i="14"/>
  <c r="X65" i="38" s="1"/>
  <c r="EC82" i="14"/>
  <c r="ED82" i="14" s="1"/>
  <c r="EE82" i="14" s="1"/>
  <c r="DY94" i="14"/>
  <c r="EC134" i="14"/>
  <c r="ED134" i="14" s="1"/>
  <c r="EF134" i="14" s="1"/>
  <c r="FK134" i="14" s="1"/>
  <c r="DY139" i="14"/>
  <c r="EC91" i="14"/>
  <c r="ED91" i="14" s="1"/>
  <c r="EF91" i="14" s="1"/>
  <c r="FK91" i="14" s="1"/>
  <c r="GD91" i="14" s="1"/>
  <c r="DV87" i="14"/>
  <c r="X78" i="38"/>
  <c r="DU83" i="14"/>
  <c r="AF69" i="15" s="1"/>
  <c r="AS69" i="15" s="1"/>
  <c r="AG80" i="15"/>
  <c r="BL78" i="38" s="1"/>
  <c r="BP78" i="38" s="1"/>
  <c r="AG125" i="15"/>
  <c r="BL123" i="38" s="1"/>
  <c r="BP123" i="38" s="1"/>
  <c r="DV85" i="14"/>
  <c r="Y69" i="38" s="1"/>
  <c r="AB69" i="38" s="1"/>
  <c r="DV86" i="14"/>
  <c r="AG72" i="15" s="1"/>
  <c r="BL70" i="38" s="1"/>
  <c r="BP70" i="38" s="1"/>
  <c r="AA75" i="38"/>
  <c r="AB75" i="38" s="1"/>
  <c r="Z102" i="38"/>
  <c r="EC94" i="14"/>
  <c r="ED94" i="14" s="1"/>
  <c r="EE94" i="14" s="1"/>
  <c r="EC139" i="14"/>
  <c r="ED139" i="14" s="1"/>
  <c r="EF139" i="14" s="1"/>
  <c r="FK139" i="14" s="1"/>
  <c r="DV89" i="14"/>
  <c r="AG75" i="15" s="1"/>
  <c r="BL73" i="38" s="1"/>
  <c r="BP73" i="38" s="1"/>
  <c r="Z89" i="38"/>
  <c r="DU84" i="14"/>
  <c r="AF70" i="15" s="1"/>
  <c r="AS70" i="15" s="1"/>
  <c r="AH65" i="15"/>
  <c r="AT65" i="15" s="1"/>
  <c r="DY82" i="14"/>
  <c r="DV83" i="14"/>
  <c r="AG69" i="15" s="1"/>
  <c r="BL67" i="38" s="1"/>
  <c r="BP67" i="38" s="1"/>
  <c r="DU88" i="14"/>
  <c r="AF74" i="15" s="1"/>
  <c r="AS74" i="15" s="1"/>
  <c r="DU86" i="14"/>
  <c r="AF72" i="15" s="1"/>
  <c r="AS72" i="15" s="1"/>
  <c r="DU80" i="14"/>
  <c r="AF66" i="15" s="1"/>
  <c r="AS66" i="15" s="1"/>
  <c r="DU89" i="14"/>
  <c r="F30" i="16" s="1"/>
  <c r="G30" i="16" s="1"/>
  <c r="X47" i="38"/>
  <c r="DU122" i="14"/>
  <c r="X106" i="38" s="1"/>
  <c r="Z99" i="38"/>
  <c r="X48" i="38"/>
  <c r="Z123" i="38"/>
  <c r="AH125" i="15"/>
  <c r="AT125" i="15" s="1"/>
  <c r="X123" i="38"/>
  <c r="EC96" i="14"/>
  <c r="ED96" i="14" s="1"/>
  <c r="EF96" i="14" s="1"/>
  <c r="FK96" i="14" s="1"/>
  <c r="GD96" i="14" s="1"/>
  <c r="DU127" i="14"/>
  <c r="X111" i="38" s="1"/>
  <c r="EC76" i="14"/>
  <c r="ED76" i="14" s="1"/>
  <c r="EF76" i="14" s="1"/>
  <c r="FK76" i="14" s="1"/>
  <c r="GC76" i="14" s="1"/>
  <c r="EC98" i="14"/>
  <c r="ED98" i="14" s="1"/>
  <c r="EF98" i="14" s="1"/>
  <c r="FK98" i="14" s="1"/>
  <c r="GD98" i="14" s="1"/>
  <c r="AG122" i="15"/>
  <c r="BL120" i="38" s="1"/>
  <c r="BP120" i="38" s="1"/>
  <c r="DY99" i="14"/>
  <c r="DR120" i="14"/>
  <c r="DV128" i="14" s="1"/>
  <c r="Y112" i="38" s="1"/>
  <c r="DU125" i="14"/>
  <c r="X109" i="38" s="1"/>
  <c r="F35" i="16"/>
  <c r="G35" i="16" s="1"/>
  <c r="H35" i="16" s="1"/>
  <c r="X86" i="38"/>
  <c r="EC136" i="14"/>
  <c r="ED136" i="14" s="1"/>
  <c r="EE136" i="14" s="1"/>
  <c r="AG85" i="15"/>
  <c r="BL83" i="38" s="1"/>
  <c r="BP83" i="38" s="1"/>
  <c r="DU128" i="14"/>
  <c r="AF114" i="15" s="1"/>
  <c r="AS114" i="15" s="1"/>
  <c r="AA92" i="38"/>
  <c r="AB92" i="38" s="1"/>
  <c r="X76" i="38"/>
  <c r="DY76" i="14"/>
  <c r="EC99" i="14"/>
  <c r="ED99" i="14" s="1"/>
  <c r="EF99" i="14" s="1"/>
  <c r="FK99" i="14" s="1"/>
  <c r="GD99" i="14" s="1"/>
  <c r="DU123" i="14"/>
  <c r="AF109" i="15" s="1"/>
  <c r="AS109" i="15" s="1"/>
  <c r="Z106" i="38"/>
  <c r="Z65" i="38"/>
  <c r="AI94" i="15"/>
  <c r="BM92" i="38" s="1"/>
  <c r="BQ92" i="38" s="1"/>
  <c r="Z109" i="38"/>
  <c r="X44" i="38"/>
  <c r="AG62" i="15"/>
  <c r="BL60" i="38" s="1"/>
  <c r="BP60" i="38" s="1"/>
  <c r="DY100" i="14"/>
  <c r="DY95" i="14"/>
  <c r="DY135" i="14"/>
  <c r="DU126" i="14"/>
  <c r="X110" i="38" s="1"/>
  <c r="AA84" i="38"/>
  <c r="AB84" i="38" s="1"/>
  <c r="AM84" i="38" s="1"/>
  <c r="AN84" i="38" s="1"/>
  <c r="DU121" i="14"/>
  <c r="AF107" i="15" s="1"/>
  <c r="AS107" i="15" s="1"/>
  <c r="EC100" i="14"/>
  <c r="ED100" i="14" s="1"/>
  <c r="EF100" i="14" s="1"/>
  <c r="FK100" i="14" s="1"/>
  <c r="GD100" i="14" s="1"/>
  <c r="EC95" i="14"/>
  <c r="ED95" i="14" s="1"/>
  <c r="EF95" i="14" s="1"/>
  <c r="FK95" i="14" s="1"/>
  <c r="GD95" i="14" s="1"/>
  <c r="DY108" i="14"/>
  <c r="AG121" i="15"/>
  <c r="BL119" i="38" s="1"/>
  <c r="BP119" i="38" s="1"/>
  <c r="DU129" i="14"/>
  <c r="F34" i="16" s="1"/>
  <c r="G34" i="16" s="1"/>
  <c r="H34" i="16" s="1"/>
  <c r="AA70" i="38"/>
  <c r="X81" i="38"/>
  <c r="Z105" i="38"/>
  <c r="Z114" i="38"/>
  <c r="X104" i="38"/>
  <c r="AG82" i="15"/>
  <c r="BL80" i="38" s="1"/>
  <c r="BP80" i="38" s="1"/>
  <c r="AG81" i="15"/>
  <c r="BL79" i="38" s="1"/>
  <c r="BP79" i="38" s="1"/>
  <c r="EC135" i="14"/>
  <c r="ED135" i="14" s="1"/>
  <c r="EE135" i="14" s="1"/>
  <c r="DY96" i="14"/>
  <c r="DU124" i="14"/>
  <c r="AF110" i="15" s="1"/>
  <c r="AS110" i="15" s="1"/>
  <c r="AI71" i="15"/>
  <c r="BM69" i="38" s="1"/>
  <c r="BQ69" i="38" s="1"/>
  <c r="DY60" i="14"/>
  <c r="F31" i="16"/>
  <c r="G31" i="16" s="1"/>
  <c r="H31" i="16" s="1"/>
  <c r="Z52" i="38"/>
  <c r="BR56" i="38"/>
  <c r="BV56" i="38" s="1"/>
  <c r="BW56" i="38" s="1"/>
  <c r="BX56" i="38" s="1"/>
  <c r="BY56" i="38" s="1"/>
  <c r="BZ56" i="38" s="1"/>
  <c r="CA56" i="38" s="1"/>
  <c r="CB56" i="38" s="1"/>
  <c r="CC56" i="38" s="1"/>
  <c r="CD56" i="38" s="1"/>
  <c r="AF118" i="15"/>
  <c r="AS118" i="15" s="1"/>
  <c r="AF56" i="15"/>
  <c r="AS56" i="15" s="1"/>
  <c r="X54" i="38"/>
  <c r="AB120" i="38"/>
  <c r="AB115" i="38"/>
  <c r="AR80" i="38"/>
  <c r="AT80" i="38" s="1"/>
  <c r="AB118" i="38"/>
  <c r="AR84" i="38"/>
  <c r="AT84" i="38" s="1"/>
  <c r="Z71" i="38"/>
  <c r="Y44" i="38"/>
  <c r="X120" i="38"/>
  <c r="EC78" i="14"/>
  <c r="ED78" i="14" s="1"/>
  <c r="EF78" i="14" s="1"/>
  <c r="FK78" i="14" s="1"/>
  <c r="GC78" i="14" s="1"/>
  <c r="DY78" i="14"/>
  <c r="AG59" i="15"/>
  <c r="BL57" i="38" s="1"/>
  <c r="BP57" i="38" s="1"/>
  <c r="DY79" i="14"/>
  <c r="EC79" i="14"/>
  <c r="ED79" i="14" s="1"/>
  <c r="EF79" i="14" s="1"/>
  <c r="FK79" i="14" s="1"/>
  <c r="GC79" i="14" s="1"/>
  <c r="AI103" i="15"/>
  <c r="BM101" i="38" s="1"/>
  <c r="BQ101" i="38" s="1"/>
  <c r="AA101" i="38"/>
  <c r="AB101" i="38" s="1"/>
  <c r="AH126" i="15"/>
  <c r="AT126" i="15" s="1"/>
  <c r="Z124" i="38"/>
  <c r="AI49" i="15"/>
  <c r="BM47" i="38" s="1"/>
  <c r="BQ47" i="38" s="1"/>
  <c r="AA47" i="38"/>
  <c r="AB47" i="38" s="1"/>
  <c r="AI104" i="15"/>
  <c r="BM102" i="38" s="1"/>
  <c r="BQ102" i="38" s="1"/>
  <c r="AA102" i="38"/>
  <c r="AB102" i="38" s="1"/>
  <c r="AG56" i="15"/>
  <c r="BL54" i="38" s="1"/>
  <c r="BP54" i="38" s="1"/>
  <c r="Y54" i="38"/>
  <c r="AB54" i="38" s="1"/>
  <c r="AI55" i="15"/>
  <c r="BM53" i="38" s="1"/>
  <c r="BQ53" i="38" s="1"/>
  <c r="AA53" i="38"/>
  <c r="AB53" i="38" s="1"/>
  <c r="AI51" i="15"/>
  <c r="BM49" i="38" s="1"/>
  <c r="BQ49" i="38" s="1"/>
  <c r="AA49" i="38"/>
  <c r="AB49" i="38" s="1"/>
  <c r="AI101" i="15"/>
  <c r="BM99" i="38" s="1"/>
  <c r="BQ99" i="38" s="1"/>
  <c r="AA99" i="38"/>
  <c r="AB99" i="38" s="1"/>
  <c r="AI110" i="15"/>
  <c r="BM108" i="38" s="1"/>
  <c r="BQ108" i="38" s="1"/>
  <c r="AA108" i="38"/>
  <c r="AG63" i="15"/>
  <c r="BL61" i="38" s="1"/>
  <c r="BP61" i="38" s="1"/>
  <c r="Y61" i="38"/>
  <c r="AI98" i="15"/>
  <c r="BM96" i="38" s="1"/>
  <c r="BQ96" i="38" s="1"/>
  <c r="AA96" i="38"/>
  <c r="AB96" i="38" s="1"/>
  <c r="AI52" i="15"/>
  <c r="BM50" i="38" s="1"/>
  <c r="BQ50" i="38" s="1"/>
  <c r="AA50" i="38"/>
  <c r="AB50" i="38" s="1"/>
  <c r="AI53" i="15"/>
  <c r="BM51" i="38" s="1"/>
  <c r="BQ51" i="38" s="1"/>
  <c r="AA51" i="38"/>
  <c r="AB51" i="38" s="1"/>
  <c r="AI50" i="15"/>
  <c r="BM48" i="38" s="1"/>
  <c r="BQ48" i="38" s="1"/>
  <c r="AA48" i="38"/>
  <c r="AB48" i="38" s="1"/>
  <c r="AG65" i="15"/>
  <c r="BL63" i="38" s="1"/>
  <c r="BP63" i="38" s="1"/>
  <c r="AI100" i="15"/>
  <c r="BM98" i="38" s="1"/>
  <c r="BQ98" i="38" s="1"/>
  <c r="AA98" i="38"/>
  <c r="AB98" i="38" s="1"/>
  <c r="AI97" i="15"/>
  <c r="BM95" i="38" s="1"/>
  <c r="BQ95" i="38" s="1"/>
  <c r="AA95" i="38"/>
  <c r="AB95" i="38" s="1"/>
  <c r="AF71" i="15"/>
  <c r="AS71" i="15" s="1"/>
  <c r="X69" i="38"/>
  <c r="EC74" i="14"/>
  <c r="ED74" i="14" s="1"/>
  <c r="EE74" i="14" s="1"/>
  <c r="Y58" i="38"/>
  <c r="AI46" i="15"/>
  <c r="BM44" i="38" s="1"/>
  <c r="BQ44" i="38" s="1"/>
  <c r="AA44" i="38"/>
  <c r="AI105" i="15"/>
  <c r="BM103" i="38" s="1"/>
  <c r="BQ103" i="38" s="1"/>
  <c r="AA103" i="38"/>
  <c r="AB103" i="38" s="1"/>
  <c r="AI102" i="15"/>
  <c r="BM100" i="38" s="1"/>
  <c r="BQ100" i="38" s="1"/>
  <c r="AA100" i="38"/>
  <c r="AB100" i="38" s="1"/>
  <c r="AI54" i="15"/>
  <c r="BM52" i="38" s="1"/>
  <c r="BQ52" i="38" s="1"/>
  <c r="AA52" i="38"/>
  <c r="AB52" i="38" s="1"/>
  <c r="AI96" i="15"/>
  <c r="BM94" i="38" s="1"/>
  <c r="BQ94" i="38" s="1"/>
  <c r="AA94" i="38"/>
  <c r="AB94" i="38" s="1"/>
  <c r="DY73" i="14"/>
  <c r="Y57" i="38"/>
  <c r="AF144" i="15"/>
  <c r="AS144" i="15" s="1"/>
  <c r="X142" i="38"/>
  <c r="AI48" i="15"/>
  <c r="BM46" i="38" s="1"/>
  <c r="BQ46" i="38" s="1"/>
  <c r="AA46" i="38"/>
  <c r="AB46" i="38" s="1"/>
  <c r="AI47" i="15"/>
  <c r="BM45" i="38" s="1"/>
  <c r="BQ45" i="38" s="1"/>
  <c r="AA45" i="38"/>
  <c r="AB45" i="38" s="1"/>
  <c r="AI99" i="15"/>
  <c r="BM97" i="38" s="1"/>
  <c r="BQ97" i="38" s="1"/>
  <c r="AA97" i="38"/>
  <c r="AB97" i="38" s="1"/>
  <c r="AH129" i="15"/>
  <c r="AT129" i="15" s="1"/>
  <c r="Z127" i="38"/>
  <c r="DY75" i="14"/>
  <c r="Y59" i="38"/>
  <c r="EC72" i="14"/>
  <c r="ED72" i="14" s="1"/>
  <c r="EF72" i="14" s="1"/>
  <c r="FK72" i="14" s="1"/>
  <c r="GC72" i="14" s="1"/>
  <c r="Y56" i="38"/>
  <c r="EC75" i="14"/>
  <c r="ED75" i="14" s="1"/>
  <c r="EF75" i="14" s="1"/>
  <c r="FK75" i="14" s="1"/>
  <c r="GC75" i="14" s="1"/>
  <c r="AG60" i="15"/>
  <c r="BL58" i="38" s="1"/>
  <c r="BP58" i="38" s="1"/>
  <c r="AG61" i="15"/>
  <c r="BL59" i="38" s="1"/>
  <c r="BP59" i="38" s="1"/>
  <c r="DY70" i="14"/>
  <c r="EC77" i="14"/>
  <c r="ED77" i="14" s="1"/>
  <c r="EF77" i="14" s="1"/>
  <c r="FK77" i="14" s="1"/>
  <c r="GC77" i="14" s="1"/>
  <c r="DY77" i="14"/>
  <c r="EC70" i="14"/>
  <c r="ED70" i="14" s="1"/>
  <c r="EE70" i="14" s="1"/>
  <c r="FJ70" i="14" s="1"/>
  <c r="FU70" i="14" s="1"/>
  <c r="DY74" i="14"/>
  <c r="DY72" i="14"/>
  <c r="AG99" i="15"/>
  <c r="BL97" i="38" s="1"/>
  <c r="BP97" i="38" s="1"/>
  <c r="EC113" i="14"/>
  <c r="ED113" i="14" s="1"/>
  <c r="DY113" i="14"/>
  <c r="AG103" i="15"/>
  <c r="BL101" i="38" s="1"/>
  <c r="BP101" i="38" s="1"/>
  <c r="EC117" i="14"/>
  <c r="ED117" i="14" s="1"/>
  <c r="DY117" i="14"/>
  <c r="DX153" i="14"/>
  <c r="DX151" i="14"/>
  <c r="DX160" i="14"/>
  <c r="DX152" i="14"/>
  <c r="DX156" i="14"/>
  <c r="DX155" i="14"/>
  <c r="DX154" i="14"/>
  <c r="DX150" i="14"/>
  <c r="DX158" i="14"/>
  <c r="DX157" i="14"/>
  <c r="DX159" i="14"/>
  <c r="AG100" i="15"/>
  <c r="BL98" i="38" s="1"/>
  <c r="BP98" i="38" s="1"/>
  <c r="EC114" i="14"/>
  <c r="ED114" i="14" s="1"/>
  <c r="DY114" i="14"/>
  <c r="EE108" i="14"/>
  <c r="EF108" i="14"/>
  <c r="FK108" i="14" s="1"/>
  <c r="GD108" i="14" s="1"/>
  <c r="AG102" i="15"/>
  <c r="BL100" i="38" s="1"/>
  <c r="BP100" i="38" s="1"/>
  <c r="EC116" i="14"/>
  <c r="ED116" i="14" s="1"/>
  <c r="DY116" i="14"/>
  <c r="AG96" i="15"/>
  <c r="BL94" i="38" s="1"/>
  <c r="BP94" i="38" s="1"/>
  <c r="EC110" i="14"/>
  <c r="ED110" i="14" s="1"/>
  <c r="DY110" i="14"/>
  <c r="AG104" i="15"/>
  <c r="BL102" i="38" s="1"/>
  <c r="BP102" i="38" s="1"/>
  <c r="EC118" i="14"/>
  <c r="ED118" i="14" s="1"/>
  <c r="DY118" i="14"/>
  <c r="AG98" i="15"/>
  <c r="BL96" i="38" s="1"/>
  <c r="BP96" i="38" s="1"/>
  <c r="EC112" i="14"/>
  <c r="ED112" i="14" s="1"/>
  <c r="DY112" i="14"/>
  <c r="AG97" i="15"/>
  <c r="BL95" i="38" s="1"/>
  <c r="BP95" i="38" s="1"/>
  <c r="EC111" i="14"/>
  <c r="ED111" i="14" s="1"/>
  <c r="DY111" i="14"/>
  <c r="EF101" i="14"/>
  <c r="FK101" i="14" s="1"/>
  <c r="GD101" i="14" s="1"/>
  <c r="EE101" i="14"/>
  <c r="AG101" i="15"/>
  <c r="BL99" i="38" s="1"/>
  <c r="BP99" i="38" s="1"/>
  <c r="EC115" i="14"/>
  <c r="ED115" i="14" s="1"/>
  <c r="DY115" i="14"/>
  <c r="AG105" i="15"/>
  <c r="BL103" i="38" s="1"/>
  <c r="BP103" i="38" s="1"/>
  <c r="EC119" i="14"/>
  <c r="ED119" i="14" s="1"/>
  <c r="DY119" i="14"/>
  <c r="EC61" i="14"/>
  <c r="ED61" i="14" s="1"/>
  <c r="EE61" i="14" s="1"/>
  <c r="EC63" i="14"/>
  <c r="ED63" i="14" s="1"/>
  <c r="EC64" i="14"/>
  <c r="ED64" i="14" s="1"/>
  <c r="EC67" i="14"/>
  <c r="ED67" i="14" s="1"/>
  <c r="EC62" i="14"/>
  <c r="ED62" i="14" s="1"/>
  <c r="EC68" i="14"/>
  <c r="ED68" i="14" s="1"/>
  <c r="EC65" i="14"/>
  <c r="ED65" i="14" s="1"/>
  <c r="EC66" i="14"/>
  <c r="ED66" i="14" s="1"/>
  <c r="EC69" i="14"/>
  <c r="ED69" i="14" s="1"/>
  <c r="EC60" i="14"/>
  <c r="ED60" i="14" s="1"/>
  <c r="AG52" i="15"/>
  <c r="BL50" i="38" s="1"/>
  <c r="BP50" i="38" s="1"/>
  <c r="DY66" i="14"/>
  <c r="AG47" i="15"/>
  <c r="BL45" i="38" s="1"/>
  <c r="BP45" i="38" s="1"/>
  <c r="DY61" i="14"/>
  <c r="AG46" i="15"/>
  <c r="BL44" i="38" s="1"/>
  <c r="BP44" i="38" s="1"/>
  <c r="AG48" i="15"/>
  <c r="BL46" i="38" s="1"/>
  <c r="BP46" i="38" s="1"/>
  <c r="DY62" i="14"/>
  <c r="AG50" i="15"/>
  <c r="BL48" i="38" s="1"/>
  <c r="BP48" i="38" s="1"/>
  <c r="DY64" i="14"/>
  <c r="AG55" i="15"/>
  <c r="BL53" i="38" s="1"/>
  <c r="BP53" i="38" s="1"/>
  <c r="DY69" i="14"/>
  <c r="AG49" i="15"/>
  <c r="BL47" i="38" s="1"/>
  <c r="BP47" i="38" s="1"/>
  <c r="DY63" i="14"/>
  <c r="AG54" i="15"/>
  <c r="BL52" i="38" s="1"/>
  <c r="BP52" i="38" s="1"/>
  <c r="DY68" i="14"/>
  <c r="AG53" i="15"/>
  <c r="BL51" i="38" s="1"/>
  <c r="BP51" i="38" s="1"/>
  <c r="DY67" i="14"/>
  <c r="AG51" i="15"/>
  <c r="BL49" i="38" s="1"/>
  <c r="BP49" i="38" s="1"/>
  <c r="DY65" i="14"/>
  <c r="G41" i="16"/>
  <c r="AA107" i="38" l="1"/>
  <c r="GE138" i="14"/>
  <c r="GD138" i="14"/>
  <c r="GE139" i="14"/>
  <c r="GD139" i="14"/>
  <c r="GE137" i="14"/>
  <c r="GD137" i="14"/>
  <c r="AH136" i="15"/>
  <c r="AT136" i="15" s="1"/>
  <c r="AR96" i="38"/>
  <c r="AT96" i="38" s="1"/>
  <c r="AR86" i="38"/>
  <c r="AT86" i="38" s="1"/>
  <c r="AI111" i="15"/>
  <c r="BM109" i="38" s="1"/>
  <c r="BQ109" i="38" s="1"/>
  <c r="AM80" i="38"/>
  <c r="AO80" i="38" s="1"/>
  <c r="AR114" i="38"/>
  <c r="AT114" i="38" s="1"/>
  <c r="AM97" i="38"/>
  <c r="AO97" i="38" s="1"/>
  <c r="AA113" i="38"/>
  <c r="Z132" i="38"/>
  <c r="V26" i="1"/>
  <c r="V27" i="1"/>
  <c r="CE56" i="38"/>
  <c r="CF56" i="38" s="1"/>
  <c r="CG56" i="38" s="1"/>
  <c r="CH56" i="38" s="1"/>
  <c r="BW85" i="38"/>
  <c r="BX85" i="38" s="1"/>
  <c r="BY85" i="38" s="1"/>
  <c r="BZ85" i="38" s="1"/>
  <c r="BV86" i="38"/>
  <c r="AH135" i="15"/>
  <c r="AT135" i="15" s="1"/>
  <c r="F49" i="16"/>
  <c r="G49" i="16" s="1"/>
  <c r="H49" i="16" s="1"/>
  <c r="X135" i="38"/>
  <c r="BR55" i="38"/>
  <c r="BV55" i="38" s="1"/>
  <c r="BR116" i="38"/>
  <c r="BV116" i="38" s="1"/>
  <c r="BR84" i="38"/>
  <c r="BV84" i="38" s="1"/>
  <c r="BR90" i="38"/>
  <c r="BV90" i="38" s="1"/>
  <c r="AR55" i="38"/>
  <c r="AT55" i="38" s="1"/>
  <c r="AM96" i="38"/>
  <c r="AO96" i="38" s="1"/>
  <c r="AB61" i="38"/>
  <c r="AM61" i="38" s="1"/>
  <c r="AO61" i="38" s="1"/>
  <c r="X134" i="38"/>
  <c r="AR134" i="38" s="1"/>
  <c r="AT134" i="38" s="1"/>
  <c r="AM95" i="38"/>
  <c r="AO95" i="38" s="1"/>
  <c r="BR91" i="38"/>
  <c r="BV91" i="38" s="1"/>
  <c r="BR122" i="38"/>
  <c r="BV122" i="38" s="1"/>
  <c r="BR114" i="38"/>
  <c r="BV114" i="38" s="1"/>
  <c r="BR115" i="38"/>
  <c r="BV115" i="38" s="1"/>
  <c r="BR83" i="38"/>
  <c r="BV83" i="38" s="1"/>
  <c r="BR66" i="38"/>
  <c r="BV66" i="38" s="1"/>
  <c r="BR82" i="38"/>
  <c r="BV82" i="38" s="1"/>
  <c r="BR93" i="38"/>
  <c r="BV93" i="38" s="1"/>
  <c r="BR89" i="38"/>
  <c r="BV89" i="38" s="1"/>
  <c r="BR62" i="38"/>
  <c r="BV62" i="38" s="1"/>
  <c r="BR75" i="38"/>
  <c r="BV75" i="38" s="1"/>
  <c r="BR88" i="38"/>
  <c r="BV88" i="38" s="1"/>
  <c r="BR123" i="38"/>
  <c r="BV123" i="38" s="1"/>
  <c r="BR77" i="38"/>
  <c r="BV77" i="38" s="1"/>
  <c r="BR76" i="38"/>
  <c r="BV76" i="38" s="1"/>
  <c r="X130" i="38"/>
  <c r="Z128" i="38"/>
  <c r="AS53" i="38"/>
  <c r="AU53" i="38" s="1"/>
  <c r="AV53" i="38" s="1"/>
  <c r="H54" i="40" s="1"/>
  <c r="AR81" i="38"/>
  <c r="AT81" i="38" s="1"/>
  <c r="AF108" i="15"/>
  <c r="AS108" i="15" s="1"/>
  <c r="AB57" i="38"/>
  <c r="AM57" i="38" s="1"/>
  <c r="AN57" i="38" s="1"/>
  <c r="EF103" i="14"/>
  <c r="FK103" i="14" s="1"/>
  <c r="EF90" i="14"/>
  <c r="FK90" i="14" s="1"/>
  <c r="GE90" i="14" s="1"/>
  <c r="DV145" i="14"/>
  <c r="Y129" i="38" s="1"/>
  <c r="AM83" i="38"/>
  <c r="AN83" i="38" s="1"/>
  <c r="DV140" i="14"/>
  <c r="Y124" i="38" s="1"/>
  <c r="DV147" i="14"/>
  <c r="Y131" i="38" s="1"/>
  <c r="AR48" i="38"/>
  <c r="AT48" i="38" s="1"/>
  <c r="AA111" i="38"/>
  <c r="AR98" i="38"/>
  <c r="AT98" i="38" s="1"/>
  <c r="AR47" i="38"/>
  <c r="AT47" i="38" s="1"/>
  <c r="AA104" i="38"/>
  <c r="AA105" i="38"/>
  <c r="EF93" i="14"/>
  <c r="FK93" i="14" s="1"/>
  <c r="AR115" i="38"/>
  <c r="AT115" i="38" s="1"/>
  <c r="Z131" i="38"/>
  <c r="AR133" i="38"/>
  <c r="AT133" i="38" s="1"/>
  <c r="Z130" i="38"/>
  <c r="AI112" i="15"/>
  <c r="BM110" i="38" s="1"/>
  <c r="BQ110" i="38" s="1"/>
  <c r="AF141" i="15"/>
  <c r="AS141" i="15" s="1"/>
  <c r="AR62" i="38"/>
  <c r="AT62" i="38" s="1"/>
  <c r="AH128" i="15"/>
  <c r="AT128" i="15" s="1"/>
  <c r="AR101" i="38"/>
  <c r="AT101" i="38" s="1"/>
  <c r="Y64" i="38"/>
  <c r="AB64" i="38" s="1"/>
  <c r="AS63" i="38"/>
  <c r="AU63" i="38" s="1"/>
  <c r="AV63" i="38" s="1"/>
  <c r="H64" i="40" s="1"/>
  <c r="EC80" i="14"/>
  <c r="ED80" i="14" s="1"/>
  <c r="EE80" i="14" s="1"/>
  <c r="FJ80" i="14" s="1"/>
  <c r="AG66" i="15"/>
  <c r="BL64" i="38" s="1"/>
  <c r="BP64" i="38" s="1"/>
  <c r="EE138" i="14"/>
  <c r="FJ138" i="14" s="1"/>
  <c r="AR51" i="38"/>
  <c r="AT51" i="38" s="1"/>
  <c r="EF73" i="14"/>
  <c r="FK73" i="14" s="1"/>
  <c r="AR60" i="38"/>
  <c r="AT60" i="38" s="1"/>
  <c r="EF104" i="14"/>
  <c r="FK104" i="14" s="1"/>
  <c r="BR81" i="38"/>
  <c r="BV81" i="38" s="1"/>
  <c r="BW81" i="38" s="1"/>
  <c r="BX81" i="38" s="1"/>
  <c r="BY81" i="38" s="1"/>
  <c r="BZ81" i="38" s="1"/>
  <c r="AR83" i="38"/>
  <c r="AT83" i="38" s="1"/>
  <c r="BR117" i="38"/>
  <c r="BV117" i="38" s="1"/>
  <c r="EE134" i="14"/>
  <c r="EG134" i="14" s="1"/>
  <c r="EF109" i="14"/>
  <c r="FK109" i="14" s="1"/>
  <c r="EF133" i="14"/>
  <c r="FK133" i="14" s="1"/>
  <c r="GD133" i="14" s="1"/>
  <c r="AR76" i="38"/>
  <c r="AT76" i="38" s="1"/>
  <c r="X131" i="38"/>
  <c r="AR131" i="38" s="1"/>
  <c r="AT131" i="38" s="1"/>
  <c r="Z141" i="38"/>
  <c r="AR54" i="38"/>
  <c r="AT54" i="38" s="1"/>
  <c r="EE99" i="14"/>
  <c r="EG99" i="14" s="1"/>
  <c r="DV155" i="14"/>
  <c r="Y139" i="38" s="1"/>
  <c r="EE100" i="14"/>
  <c r="EG100" i="14" s="1"/>
  <c r="DV151" i="14"/>
  <c r="Y135" i="38" s="1"/>
  <c r="Z143" i="38"/>
  <c r="DX144" i="14"/>
  <c r="AA128" i="38" s="1"/>
  <c r="AR104" i="38"/>
  <c r="AT104" i="38" s="1"/>
  <c r="BR92" i="38"/>
  <c r="BV92" i="38" s="1"/>
  <c r="EF107" i="14"/>
  <c r="FK107" i="14" s="1"/>
  <c r="GE107" i="14" s="1"/>
  <c r="AH140" i="15"/>
  <c r="AT140" i="15" s="1"/>
  <c r="AR52" i="38"/>
  <c r="AT52" i="38" s="1"/>
  <c r="AR93" i="38"/>
  <c r="AT93" i="38" s="1"/>
  <c r="EE132" i="14"/>
  <c r="FJ132" i="14" s="1"/>
  <c r="AR50" i="38"/>
  <c r="AT50" i="38" s="1"/>
  <c r="AM117" i="38"/>
  <c r="AO117" i="38" s="1"/>
  <c r="AM55" i="38"/>
  <c r="AN55" i="38" s="1"/>
  <c r="AR100" i="38"/>
  <c r="AT100" i="38" s="1"/>
  <c r="AI108" i="15"/>
  <c r="BM106" i="38" s="1"/>
  <c r="BQ106" i="38" s="1"/>
  <c r="X143" i="38"/>
  <c r="AM98" i="38"/>
  <c r="AO98" i="38" s="1"/>
  <c r="X126" i="38"/>
  <c r="AR126" i="38" s="1"/>
  <c r="AT126" i="38" s="1"/>
  <c r="AR102" i="38"/>
  <c r="AT102" i="38" s="1"/>
  <c r="DV157" i="14"/>
  <c r="Y141" i="38" s="1"/>
  <c r="DX140" i="14"/>
  <c r="AI126" i="15" s="1"/>
  <c r="BM124" i="38" s="1"/>
  <c r="BQ124" i="38" s="1"/>
  <c r="Z136" i="38"/>
  <c r="DV159" i="14"/>
  <c r="Y143" i="38" s="1"/>
  <c r="AM50" i="38"/>
  <c r="AO50" i="38" s="1"/>
  <c r="AM92" i="38"/>
  <c r="AN92" i="38" s="1"/>
  <c r="DV153" i="14"/>
  <c r="Y137" i="38" s="1"/>
  <c r="DX143" i="14"/>
  <c r="AI129" i="15" s="1"/>
  <c r="BM127" i="38" s="1"/>
  <c r="BQ127" i="38" s="1"/>
  <c r="G28" i="16"/>
  <c r="H28" i="16" s="1"/>
  <c r="DV152" i="14"/>
  <c r="Y136" i="38" s="1"/>
  <c r="DX145" i="14"/>
  <c r="Z125" i="38"/>
  <c r="EE106" i="14"/>
  <c r="FJ106" i="14" s="1"/>
  <c r="FV106" i="14" s="1"/>
  <c r="DV150" i="14"/>
  <c r="Y134" i="38" s="1"/>
  <c r="DX149" i="14"/>
  <c r="AI135" i="15" s="1"/>
  <c r="BM133" i="38" s="1"/>
  <c r="BQ133" i="38" s="1"/>
  <c r="DX146" i="14"/>
  <c r="AI132" i="15" s="1"/>
  <c r="BM130" i="38" s="1"/>
  <c r="BQ130" i="38" s="1"/>
  <c r="Z129" i="38"/>
  <c r="AA112" i="38"/>
  <c r="AB112" i="38" s="1"/>
  <c r="DX141" i="14"/>
  <c r="AA125" i="38" s="1"/>
  <c r="DV156" i="14"/>
  <c r="Y140" i="38" s="1"/>
  <c r="DV158" i="14"/>
  <c r="Y142" i="38" s="1"/>
  <c r="DX147" i="14"/>
  <c r="DX148" i="14"/>
  <c r="AI134" i="15" s="1"/>
  <c r="BM132" i="38" s="1"/>
  <c r="BQ132" i="38" s="1"/>
  <c r="X124" i="38"/>
  <c r="AR124" i="38" s="1"/>
  <c r="AT124" i="38" s="1"/>
  <c r="DV160" i="14"/>
  <c r="Y144" i="38" s="1"/>
  <c r="AB56" i="38"/>
  <c r="AM56" i="38" s="1"/>
  <c r="AN56" i="38" s="1"/>
  <c r="AM116" i="38"/>
  <c r="AN116" i="38" s="1"/>
  <c r="AM121" i="38"/>
  <c r="AO121" i="38" s="1"/>
  <c r="AR56" i="38"/>
  <c r="AT56" i="38" s="1"/>
  <c r="BR87" i="38"/>
  <c r="BV87" i="38" s="1"/>
  <c r="EF135" i="14"/>
  <c r="FK135" i="14" s="1"/>
  <c r="AG70" i="15"/>
  <c r="BL68" i="38" s="1"/>
  <c r="BP68" i="38" s="1"/>
  <c r="EC85" i="14"/>
  <c r="ED85" i="14" s="1"/>
  <c r="EE85" i="14" s="1"/>
  <c r="FJ85" i="14" s="1"/>
  <c r="AR57" i="38"/>
  <c r="AT57" i="38" s="1"/>
  <c r="AR49" i="38"/>
  <c r="AT49" i="38" s="1"/>
  <c r="AM52" i="38"/>
  <c r="AO52" i="38" s="1"/>
  <c r="Z135" i="38"/>
  <c r="X129" i="38"/>
  <c r="EF71" i="14"/>
  <c r="FK71" i="14" s="1"/>
  <c r="AM87" i="38"/>
  <c r="AO87" i="38" s="1"/>
  <c r="AR61" i="38"/>
  <c r="AT61" i="38" s="1"/>
  <c r="X137" i="38"/>
  <c r="AM100" i="38"/>
  <c r="AN100" i="38" s="1"/>
  <c r="X64" i="38"/>
  <c r="AR64" i="38" s="1"/>
  <c r="AT64" i="38" s="1"/>
  <c r="AM115" i="38"/>
  <c r="AN115" i="38" s="1"/>
  <c r="EC88" i="14"/>
  <c r="ED88" i="14" s="1"/>
  <c r="EE88" i="14" s="1"/>
  <c r="FJ88" i="14" s="1"/>
  <c r="F36" i="16"/>
  <c r="G36" i="16" s="1"/>
  <c r="H36" i="16" s="1"/>
  <c r="X141" i="38"/>
  <c r="AR89" i="38"/>
  <c r="AT89" i="38" s="1"/>
  <c r="AM91" i="38"/>
  <c r="AN91" i="38" s="1"/>
  <c r="AR74" i="38"/>
  <c r="AT74" i="38" s="1"/>
  <c r="BR74" i="38"/>
  <c r="BV74" i="38" s="1"/>
  <c r="AM90" i="38"/>
  <c r="AO90" i="38" s="1"/>
  <c r="AM79" i="38"/>
  <c r="AN79" i="38" s="1"/>
  <c r="AF135" i="15"/>
  <c r="AS135" i="15" s="1"/>
  <c r="EE76" i="14"/>
  <c r="EG76" i="14" s="1"/>
  <c r="EE91" i="14"/>
  <c r="EG91" i="14" s="1"/>
  <c r="AB59" i="38"/>
  <c r="AM59" i="38" s="1"/>
  <c r="AN59" i="38" s="1"/>
  <c r="Z139" i="38"/>
  <c r="AR139" i="38" s="1"/>
  <c r="AT139" i="38" s="1"/>
  <c r="AM122" i="38"/>
  <c r="AN122" i="38" s="1"/>
  <c r="AM78" i="38"/>
  <c r="AN78" i="38" s="1"/>
  <c r="AR58" i="38"/>
  <c r="AT58" i="38" s="1"/>
  <c r="AM75" i="38"/>
  <c r="AO75" i="38" s="1"/>
  <c r="Y73" i="38"/>
  <c r="AB73" i="38" s="1"/>
  <c r="EC89" i="14"/>
  <c r="ED89" i="14" s="1"/>
  <c r="EE89" i="14" s="1"/>
  <c r="FJ89" i="14" s="1"/>
  <c r="EF82" i="14"/>
  <c r="FK82" i="14" s="1"/>
  <c r="GD82" i="14" s="1"/>
  <c r="DY89" i="14"/>
  <c r="AH142" i="15"/>
  <c r="AT142" i="15" s="1"/>
  <c r="AM89" i="38"/>
  <c r="AN89" i="38" s="1"/>
  <c r="AM88" i="38"/>
  <c r="AO88" i="38" s="1"/>
  <c r="EE92" i="14"/>
  <c r="FJ92" i="14" s="1"/>
  <c r="FV92" i="14" s="1"/>
  <c r="AG114" i="15"/>
  <c r="BL112" i="38" s="1"/>
  <c r="BP112" i="38" s="1"/>
  <c r="X73" i="38"/>
  <c r="AR73" i="38" s="1"/>
  <c r="AT73" i="38" s="1"/>
  <c r="AR99" i="38"/>
  <c r="AT99" i="38" s="1"/>
  <c r="AF75" i="15"/>
  <c r="AS75" i="15" s="1"/>
  <c r="AM118" i="38"/>
  <c r="AN118" i="38" s="1"/>
  <c r="DV124" i="14"/>
  <c r="DY124" i="14" s="1"/>
  <c r="DY84" i="14"/>
  <c r="AR77" i="38"/>
  <c r="AT77" i="38" s="1"/>
  <c r="AR82" i="38"/>
  <c r="AT82" i="38" s="1"/>
  <c r="AM62" i="38"/>
  <c r="AO62" i="38" s="1"/>
  <c r="EC84" i="14"/>
  <c r="ED84" i="14" s="1"/>
  <c r="EF84" i="14" s="1"/>
  <c r="FK84" i="14" s="1"/>
  <c r="GD84" i="14" s="1"/>
  <c r="F50" i="16"/>
  <c r="G50" i="16" s="1"/>
  <c r="H50" i="16" s="1"/>
  <c r="DV141" i="14"/>
  <c r="Y125" i="38" s="1"/>
  <c r="DV143" i="14"/>
  <c r="Y127" i="38" s="1"/>
  <c r="X68" i="38"/>
  <c r="AR68" i="38" s="1"/>
  <c r="AT68" i="38" s="1"/>
  <c r="X132" i="38"/>
  <c r="AB58" i="38"/>
  <c r="AM58" i="38" s="1"/>
  <c r="AO58" i="38" s="1"/>
  <c r="DY85" i="14"/>
  <c r="AH146" i="15"/>
  <c r="AT146" i="15" s="1"/>
  <c r="DV144" i="14"/>
  <c r="Y128" i="38" s="1"/>
  <c r="DV146" i="14"/>
  <c r="Y130" i="38" s="1"/>
  <c r="AM47" i="38"/>
  <c r="AN47" i="38" s="1"/>
  <c r="AN63" i="38"/>
  <c r="AP63" i="38" s="1"/>
  <c r="AQ63" i="38" s="1"/>
  <c r="G64" i="40" s="1"/>
  <c r="X113" i="38"/>
  <c r="AR113" i="38" s="1"/>
  <c r="AT113" i="38" s="1"/>
  <c r="AM77" i="38"/>
  <c r="AO77" i="38" s="1"/>
  <c r="DV149" i="14"/>
  <c r="Y133" i="38" s="1"/>
  <c r="AF115" i="15"/>
  <c r="AS115" i="15" s="1"/>
  <c r="DV148" i="14"/>
  <c r="Y132" i="38" s="1"/>
  <c r="AF67" i="15"/>
  <c r="AS67" i="15" s="1"/>
  <c r="X67" i="38"/>
  <c r="AR67" i="38" s="1"/>
  <c r="AT67" i="38" s="1"/>
  <c r="AG71" i="15"/>
  <c r="BL69" i="38" s="1"/>
  <c r="BP69" i="38" s="1"/>
  <c r="AR144" i="38"/>
  <c r="AT144" i="38" s="1"/>
  <c r="AM82" i="38"/>
  <c r="AN82" i="38" s="1"/>
  <c r="EE139" i="14"/>
  <c r="EG139" i="14" s="1"/>
  <c r="X70" i="38"/>
  <c r="AR70" i="38" s="1"/>
  <c r="AT70" i="38" s="1"/>
  <c r="EE137" i="14"/>
  <c r="EG137" i="14" s="1"/>
  <c r="BR121" i="38"/>
  <c r="BV121" i="38" s="1"/>
  <c r="AR94" i="38"/>
  <c r="AT94" i="38" s="1"/>
  <c r="AM85" i="38"/>
  <c r="AO85" i="38" s="1"/>
  <c r="EC81" i="14"/>
  <c r="ED81" i="14" s="1"/>
  <c r="EE81" i="14" s="1"/>
  <c r="FJ81" i="14" s="1"/>
  <c r="X140" i="38"/>
  <c r="AR140" i="38" s="1"/>
  <c r="AT140" i="38" s="1"/>
  <c r="DY81" i="14"/>
  <c r="AS103" i="38"/>
  <c r="AU103" i="38" s="1"/>
  <c r="AV103" i="38" s="1"/>
  <c r="H104" i="40" s="1"/>
  <c r="EE97" i="14"/>
  <c r="EG97" i="14" s="1"/>
  <c r="Y65" i="38"/>
  <c r="AB65" i="38" s="1"/>
  <c r="AM65" i="38" s="1"/>
  <c r="AO65" i="38" s="1"/>
  <c r="Z137" i="38"/>
  <c r="EF136" i="14"/>
  <c r="FK136" i="14" s="1"/>
  <c r="EE131" i="14"/>
  <c r="EG131" i="14" s="1"/>
  <c r="Z142" i="38"/>
  <c r="AR142" i="38" s="1"/>
  <c r="AT142" i="38" s="1"/>
  <c r="AR119" i="38"/>
  <c r="AT119" i="38" s="1"/>
  <c r="AR121" i="38"/>
  <c r="AT121" i="38" s="1"/>
  <c r="AM93" i="38"/>
  <c r="AN93" i="38" s="1"/>
  <c r="AM114" i="38"/>
  <c r="AN114" i="38" s="1"/>
  <c r="EE130" i="14"/>
  <c r="FJ130" i="14" s="1"/>
  <c r="AG74" i="15"/>
  <c r="BL72" i="38" s="1"/>
  <c r="BP72" i="38" s="1"/>
  <c r="EF105" i="14"/>
  <c r="FK105" i="14" s="1"/>
  <c r="AR88" i="38"/>
  <c r="AT88" i="38" s="1"/>
  <c r="AR44" i="38"/>
  <c r="AT44" i="38" s="1"/>
  <c r="AF113" i="15"/>
  <c r="AS113" i="15" s="1"/>
  <c r="EF94" i="14"/>
  <c r="FK94" i="14" s="1"/>
  <c r="GE94" i="14" s="1"/>
  <c r="X127" i="38"/>
  <c r="AR127" i="38" s="1"/>
  <c r="AT127" i="38" s="1"/>
  <c r="AR78" i="38"/>
  <c r="AT78" i="38" s="1"/>
  <c r="AR91" i="38"/>
  <c r="AT91" i="38" s="1"/>
  <c r="EE102" i="14"/>
  <c r="FJ102" i="14" s="1"/>
  <c r="FV102" i="14" s="1"/>
  <c r="AM45" i="38"/>
  <c r="AO45" i="38" s="1"/>
  <c r="X72" i="38"/>
  <c r="AR72" i="38" s="1"/>
  <c r="AT72" i="38" s="1"/>
  <c r="X107" i="38"/>
  <c r="AR107" i="38" s="1"/>
  <c r="AT107" i="38" s="1"/>
  <c r="X71" i="38"/>
  <c r="AR71" i="38" s="1"/>
  <c r="AT71" i="38" s="1"/>
  <c r="AM74" i="38"/>
  <c r="AN74" i="38" s="1"/>
  <c r="AM119" i="38"/>
  <c r="AN119" i="38" s="1"/>
  <c r="AM99" i="38"/>
  <c r="AN99" i="38" s="1"/>
  <c r="EE95" i="14"/>
  <c r="EG95" i="14" s="1"/>
  <c r="EC128" i="14"/>
  <c r="ED128" i="14" s="1"/>
  <c r="EE128" i="14" s="1"/>
  <c r="DV127" i="14"/>
  <c r="EC127" i="14" s="1"/>
  <c r="ED127" i="14" s="1"/>
  <c r="EE127" i="14" s="1"/>
  <c r="AM60" i="38"/>
  <c r="AN60" i="38" s="1"/>
  <c r="DV121" i="14"/>
  <c r="EC121" i="14" s="1"/>
  <c r="ED121" i="14" s="1"/>
  <c r="EE121" i="14" s="1"/>
  <c r="DV129" i="14"/>
  <c r="EC129" i="14" s="1"/>
  <c r="ED129" i="14" s="1"/>
  <c r="EF129" i="14" s="1"/>
  <c r="FK129" i="14" s="1"/>
  <c r="AM51" i="38"/>
  <c r="AN51" i="38" s="1"/>
  <c r="F37" i="16"/>
  <c r="G37" i="16" s="1"/>
  <c r="H37" i="16" s="1"/>
  <c r="DV120" i="14"/>
  <c r="Y104" i="38" s="1"/>
  <c r="AF146" i="15"/>
  <c r="AS146" i="15" s="1"/>
  <c r="DV125" i="14"/>
  <c r="EC125" i="14" s="1"/>
  <c r="ED125" i="14" s="1"/>
  <c r="EE125" i="14" s="1"/>
  <c r="DV126" i="14"/>
  <c r="DY126" i="14" s="1"/>
  <c r="X138" i="38"/>
  <c r="AR138" i="38" s="1"/>
  <c r="AT138" i="38" s="1"/>
  <c r="DV123" i="14"/>
  <c r="DY123" i="14" s="1"/>
  <c r="DY128" i="14"/>
  <c r="DV122" i="14"/>
  <c r="Y106" i="38" s="1"/>
  <c r="AB106" i="38" s="1"/>
  <c r="AM106" i="38" s="1"/>
  <c r="AO106" i="38" s="1"/>
  <c r="DY83" i="14"/>
  <c r="X125" i="38"/>
  <c r="EC83" i="14"/>
  <c r="ED83" i="14" s="1"/>
  <c r="X136" i="38"/>
  <c r="X105" i="38"/>
  <c r="AR105" i="38" s="1"/>
  <c r="AT105" i="38" s="1"/>
  <c r="EE96" i="14"/>
  <c r="FJ96" i="14" s="1"/>
  <c r="FV96" i="14" s="1"/>
  <c r="Y67" i="38"/>
  <c r="AB67" i="38" s="1"/>
  <c r="X66" i="38"/>
  <c r="AR66" i="38" s="1"/>
  <c r="AT66" i="38" s="1"/>
  <c r="BR120" i="38"/>
  <c r="BV120" i="38" s="1"/>
  <c r="AM102" i="38"/>
  <c r="AO102" i="38" s="1"/>
  <c r="BR79" i="38"/>
  <c r="BV79" i="38" s="1"/>
  <c r="BR119" i="38"/>
  <c r="BV119" i="38" s="1"/>
  <c r="BR47" i="38"/>
  <c r="BV47" i="38" s="1"/>
  <c r="X128" i="38"/>
  <c r="AF111" i="15"/>
  <c r="AS111" i="15" s="1"/>
  <c r="BR60" i="38"/>
  <c r="BV60" i="38" s="1"/>
  <c r="BW60" i="38" s="1"/>
  <c r="BX60" i="38" s="1"/>
  <c r="BY60" i="38" s="1"/>
  <c r="BZ60" i="38" s="1"/>
  <c r="BR80" i="38"/>
  <c r="BV80" i="38" s="1"/>
  <c r="BW80" i="38" s="1"/>
  <c r="BX80" i="38" s="1"/>
  <c r="BY80" i="38" s="1"/>
  <c r="BZ80" i="38" s="1"/>
  <c r="CA80" i="38" s="1"/>
  <c r="CB80" i="38" s="1"/>
  <c r="CC80" i="38" s="1"/>
  <c r="CD80" i="38" s="1"/>
  <c r="CE80" i="38" s="1"/>
  <c r="CF80" i="38" s="1"/>
  <c r="CG80" i="38" s="1"/>
  <c r="CH80" i="38" s="1"/>
  <c r="CI80" i="38" s="1"/>
  <c r="CJ80" i="38" s="1"/>
  <c r="CK80" i="38" s="1"/>
  <c r="CL80" i="38" s="1"/>
  <c r="DY88" i="14"/>
  <c r="BR78" i="38"/>
  <c r="BV78" i="38" s="1"/>
  <c r="BR73" i="38"/>
  <c r="BV73" i="38" s="1"/>
  <c r="BR118" i="38"/>
  <c r="BV118" i="38" s="1"/>
  <c r="BW118" i="38" s="1"/>
  <c r="BX118" i="38" s="1"/>
  <c r="BY118" i="38" s="1"/>
  <c r="BZ118" i="38" s="1"/>
  <c r="CA118" i="38" s="1"/>
  <c r="CB118" i="38" s="1"/>
  <c r="CC118" i="38" s="1"/>
  <c r="CD118" i="38" s="1"/>
  <c r="AM94" i="38"/>
  <c r="AO94" i="38" s="1"/>
  <c r="AM86" i="38"/>
  <c r="AO86" i="38" s="1"/>
  <c r="AM48" i="38"/>
  <c r="AO48" i="38" s="1"/>
  <c r="AF112" i="15"/>
  <c r="AS112" i="15" s="1"/>
  <c r="DY86" i="14"/>
  <c r="Y70" i="38"/>
  <c r="AB70" i="38" s="1"/>
  <c r="EC86" i="14"/>
  <c r="ED86" i="14" s="1"/>
  <c r="EE86" i="14" s="1"/>
  <c r="FJ86" i="14" s="1"/>
  <c r="X112" i="38"/>
  <c r="AR112" i="38" s="1"/>
  <c r="AT112" i="38" s="1"/>
  <c r="AM101" i="38"/>
  <c r="AN101" i="38" s="1"/>
  <c r="Y71" i="38"/>
  <c r="AB71" i="38" s="1"/>
  <c r="AG73" i="15"/>
  <c r="BL71" i="38" s="1"/>
  <c r="BP71" i="38" s="1"/>
  <c r="DY87" i="14"/>
  <c r="EC87" i="14"/>
  <c r="ED87" i="14" s="1"/>
  <c r="EE79" i="14"/>
  <c r="FJ79" i="14" s="1"/>
  <c r="FU79" i="14" s="1"/>
  <c r="AR123" i="38"/>
  <c r="AT123" i="38" s="1"/>
  <c r="AM123" i="38"/>
  <c r="AO123" i="38" s="1"/>
  <c r="AS46" i="38"/>
  <c r="AU46" i="38" s="1"/>
  <c r="AV46" i="38" s="1"/>
  <c r="H47" i="40" s="1"/>
  <c r="EF74" i="14"/>
  <c r="FK74" i="14" s="1"/>
  <c r="EE98" i="14"/>
  <c r="EG98" i="14" s="1"/>
  <c r="X108" i="38"/>
  <c r="AR108" i="38" s="1"/>
  <c r="AT108" i="38" s="1"/>
  <c r="AM81" i="38"/>
  <c r="AN81" i="38" s="1"/>
  <c r="EE78" i="14"/>
  <c r="FJ78" i="14" s="1"/>
  <c r="FU78" i="14" s="1"/>
  <c r="AM54" i="38"/>
  <c r="AN54" i="38" s="1"/>
  <c r="AM76" i="38"/>
  <c r="AN76" i="38" s="1"/>
  <c r="EE72" i="14"/>
  <c r="EG72" i="14" s="1"/>
  <c r="AS90" i="38"/>
  <c r="AU90" i="38" s="1"/>
  <c r="AV90" i="38" s="1"/>
  <c r="H91" i="40" s="1"/>
  <c r="BR94" i="38"/>
  <c r="BV94" i="38" s="1"/>
  <c r="BW94" i="38" s="1"/>
  <c r="BX94" i="38" s="1"/>
  <c r="BY94" i="38" s="1"/>
  <c r="BZ94" i="38" s="1"/>
  <c r="CA94" i="38" s="1"/>
  <c r="CB94" i="38" s="1"/>
  <c r="CC94" i="38" s="1"/>
  <c r="CD94" i="38" s="1"/>
  <c r="CE94" i="38" s="1"/>
  <c r="CF94" i="38" s="1"/>
  <c r="CG94" i="38" s="1"/>
  <c r="CH94" i="38" s="1"/>
  <c r="BR65" i="38"/>
  <c r="BV65" i="38" s="1"/>
  <c r="BR48" i="38"/>
  <c r="BV48" i="38" s="1"/>
  <c r="BW48" i="38" s="1"/>
  <c r="BX48" i="38" s="1"/>
  <c r="BY48" i="38" s="1"/>
  <c r="BZ48" i="38" s="1"/>
  <c r="BR103" i="38"/>
  <c r="BV103" i="38" s="1"/>
  <c r="BR98" i="38"/>
  <c r="BV98" i="38" s="1"/>
  <c r="BR102" i="38"/>
  <c r="BV102" i="38" s="1"/>
  <c r="BR101" i="38"/>
  <c r="BV101" i="38" s="1"/>
  <c r="BR52" i="38"/>
  <c r="BV52" i="38" s="1"/>
  <c r="BW52" i="38" s="1"/>
  <c r="BX52" i="38" s="1"/>
  <c r="BY52" i="38" s="1"/>
  <c r="BZ52" i="38" s="1"/>
  <c r="CA52" i="38" s="1"/>
  <c r="CB52" i="38" s="1"/>
  <c r="CC52" i="38" s="1"/>
  <c r="CD52" i="38" s="1"/>
  <c r="BR95" i="38"/>
  <c r="BV95" i="38" s="1"/>
  <c r="BR44" i="38"/>
  <c r="BV44" i="38" s="1"/>
  <c r="BR99" i="38"/>
  <c r="BV99" i="38" s="1"/>
  <c r="BR100" i="38"/>
  <c r="BV100" i="38" s="1"/>
  <c r="BR63" i="38"/>
  <c r="BV63" i="38" s="1"/>
  <c r="BR51" i="38"/>
  <c r="BV51" i="38" s="1"/>
  <c r="BR46" i="38"/>
  <c r="BV46" i="38" s="1"/>
  <c r="BR57" i="38"/>
  <c r="BV57" i="38" s="1"/>
  <c r="BR45" i="38"/>
  <c r="BV45" i="38" s="1"/>
  <c r="BR96" i="38"/>
  <c r="BV96" i="38" s="1"/>
  <c r="BR61" i="38"/>
  <c r="BV61" i="38" s="1"/>
  <c r="BR97" i="38"/>
  <c r="BV97" i="38" s="1"/>
  <c r="BR49" i="38"/>
  <c r="BV49" i="38" s="1"/>
  <c r="EE77" i="14"/>
  <c r="EG77" i="14" s="1"/>
  <c r="BR59" i="38"/>
  <c r="BV59" i="38" s="1"/>
  <c r="BR53" i="38"/>
  <c r="BV53" i="38" s="1"/>
  <c r="BR67" i="38"/>
  <c r="BV67" i="38" s="1"/>
  <c r="BR50" i="38"/>
  <c r="BV50" i="38" s="1"/>
  <c r="BW50" i="38" s="1"/>
  <c r="BX50" i="38" s="1"/>
  <c r="BY50" i="38" s="1"/>
  <c r="BZ50" i="38" s="1"/>
  <c r="CA50" i="38" s="1"/>
  <c r="CB50" i="38" s="1"/>
  <c r="CC50" i="38" s="1"/>
  <c r="CD50" i="38" s="1"/>
  <c r="BR70" i="38"/>
  <c r="BV70" i="38" s="1"/>
  <c r="BR58" i="38"/>
  <c r="BV58" i="38" s="1"/>
  <c r="BW58" i="38" s="1"/>
  <c r="BX58" i="38" s="1"/>
  <c r="BY58" i="38" s="1"/>
  <c r="BZ58" i="38" s="1"/>
  <c r="BR54" i="38"/>
  <c r="BV54" i="38" s="1"/>
  <c r="BW54" i="38" s="1"/>
  <c r="BX54" i="38" s="1"/>
  <c r="BY54" i="38" s="1"/>
  <c r="BZ54" i="38" s="1"/>
  <c r="CA54" i="38" s="1"/>
  <c r="CB54" i="38" s="1"/>
  <c r="CC54" i="38" s="1"/>
  <c r="CD54" i="38" s="1"/>
  <c r="AS84" i="38"/>
  <c r="AU84" i="38" s="1"/>
  <c r="AV84" i="38" s="1"/>
  <c r="H85" i="40" s="1"/>
  <c r="AS117" i="38"/>
  <c r="AU117" i="38" s="1"/>
  <c r="AV117" i="38" s="1"/>
  <c r="H118" i="40" s="1"/>
  <c r="AS97" i="38"/>
  <c r="AU97" i="38" s="1"/>
  <c r="AV97" i="38" s="1"/>
  <c r="H98" i="40" s="1"/>
  <c r="AS116" i="38"/>
  <c r="AU116" i="38" s="1"/>
  <c r="AV116" i="38" s="1"/>
  <c r="H117" i="40" s="1"/>
  <c r="AM53" i="38"/>
  <c r="AN53" i="38" s="1"/>
  <c r="AM103" i="38"/>
  <c r="AN103" i="38" s="1"/>
  <c r="AM49" i="38"/>
  <c r="AN49" i="38" s="1"/>
  <c r="AM46" i="38"/>
  <c r="AN46" i="38" s="1"/>
  <c r="AR106" i="38"/>
  <c r="AT106" i="38" s="1"/>
  <c r="AR120" i="38"/>
  <c r="AT120" i="38" s="1"/>
  <c r="AS59" i="38"/>
  <c r="AU59" i="38" s="1"/>
  <c r="AV59" i="38" s="1"/>
  <c r="H60" i="40" s="1"/>
  <c r="AS75" i="38"/>
  <c r="AU75" i="38" s="1"/>
  <c r="AV75" i="38" s="1"/>
  <c r="H76" i="40" s="1"/>
  <c r="AB44" i="38"/>
  <c r="AM44" i="38" s="1"/>
  <c r="AO44" i="38" s="1"/>
  <c r="AS79" i="38"/>
  <c r="AU79" i="38" s="1"/>
  <c r="AV79" i="38" s="1"/>
  <c r="H80" i="40" s="1"/>
  <c r="AS45" i="38"/>
  <c r="AU45" i="38" s="1"/>
  <c r="AV45" i="38" s="1"/>
  <c r="H46" i="40" s="1"/>
  <c r="AR110" i="38"/>
  <c r="AT110" i="38" s="1"/>
  <c r="AS80" i="38"/>
  <c r="AU80" i="38" s="1"/>
  <c r="AV80" i="38" s="1"/>
  <c r="H81" i="40" s="1"/>
  <c r="AS85" i="38"/>
  <c r="AU85" i="38" s="1"/>
  <c r="AV85" i="38" s="1"/>
  <c r="H86" i="40" s="1"/>
  <c r="AS95" i="38"/>
  <c r="AU95" i="38" s="1"/>
  <c r="AV95" i="38" s="1"/>
  <c r="H96" i="40" s="1"/>
  <c r="AR109" i="38"/>
  <c r="AT109" i="38" s="1"/>
  <c r="AR111" i="38"/>
  <c r="AT111" i="38" s="1"/>
  <c r="AS87" i="38"/>
  <c r="AU87" i="38" s="1"/>
  <c r="AV87" i="38" s="1"/>
  <c r="H88" i="40" s="1"/>
  <c r="AS118" i="38"/>
  <c r="AU118" i="38" s="1"/>
  <c r="AV118" i="38" s="1"/>
  <c r="H119" i="40" s="1"/>
  <c r="AS122" i="38"/>
  <c r="AU122" i="38" s="1"/>
  <c r="AV122" i="38" s="1"/>
  <c r="H123" i="40" s="1"/>
  <c r="AS92" i="38"/>
  <c r="AU92" i="38" s="1"/>
  <c r="AV92" i="38" s="1"/>
  <c r="H93" i="40" s="1"/>
  <c r="AR65" i="38"/>
  <c r="AT65" i="38" s="1"/>
  <c r="AR69" i="38"/>
  <c r="AT69" i="38" s="1"/>
  <c r="AO84" i="38"/>
  <c r="AP84" i="38" s="1"/>
  <c r="AQ84" i="38" s="1"/>
  <c r="G85" i="40" s="1"/>
  <c r="AM69" i="38"/>
  <c r="AO69" i="38" s="1"/>
  <c r="AM120" i="38"/>
  <c r="AO120" i="38" s="1"/>
  <c r="AI140" i="15"/>
  <c r="BM138" i="38" s="1"/>
  <c r="BQ138" i="38" s="1"/>
  <c r="AA138" i="38"/>
  <c r="AB138" i="38" s="1"/>
  <c r="AI136" i="15"/>
  <c r="BM134" i="38" s="1"/>
  <c r="BQ134" i="38" s="1"/>
  <c r="AA134" i="38"/>
  <c r="AI141" i="15"/>
  <c r="BM139" i="38" s="1"/>
  <c r="BQ139" i="38" s="1"/>
  <c r="AA139" i="38"/>
  <c r="EE75" i="14"/>
  <c r="FJ75" i="14" s="1"/>
  <c r="FU75" i="14" s="1"/>
  <c r="AI142" i="15"/>
  <c r="BM140" i="38" s="1"/>
  <c r="BQ140" i="38" s="1"/>
  <c r="AA140" i="38"/>
  <c r="AI138" i="15"/>
  <c r="BM136" i="38" s="1"/>
  <c r="BQ136" i="38" s="1"/>
  <c r="AA136" i="38"/>
  <c r="AI145" i="15"/>
  <c r="BM143" i="38" s="1"/>
  <c r="BQ143" i="38" s="1"/>
  <c r="AA143" i="38"/>
  <c r="AI146" i="15"/>
  <c r="BM144" i="38" s="1"/>
  <c r="BQ144" i="38" s="1"/>
  <c r="AA144" i="38"/>
  <c r="AI128" i="15"/>
  <c r="BM126" i="38" s="1"/>
  <c r="BQ126" i="38" s="1"/>
  <c r="AA126" i="38"/>
  <c r="AB126" i="38" s="1"/>
  <c r="AI143" i="15"/>
  <c r="BM141" i="38" s="1"/>
  <c r="BQ141" i="38" s="1"/>
  <c r="AA141" i="38"/>
  <c r="AI137" i="15"/>
  <c r="BM135" i="38" s="1"/>
  <c r="BQ135" i="38" s="1"/>
  <c r="AA135" i="38"/>
  <c r="AI144" i="15"/>
  <c r="BM142" i="38" s="1"/>
  <c r="BQ142" i="38" s="1"/>
  <c r="AA142" i="38"/>
  <c r="AI139" i="15"/>
  <c r="BM137" i="38" s="1"/>
  <c r="BQ137" i="38" s="1"/>
  <c r="AA137" i="38"/>
  <c r="EF70" i="14"/>
  <c r="FK70" i="14" s="1"/>
  <c r="GB75" i="14"/>
  <c r="GE75" i="14"/>
  <c r="GE80" i="14"/>
  <c r="GB79" i="14"/>
  <c r="GE79" i="14"/>
  <c r="GB72" i="14"/>
  <c r="GE72" i="14"/>
  <c r="GE109" i="14"/>
  <c r="GC102" i="14"/>
  <c r="GE102" i="14"/>
  <c r="FT70" i="14"/>
  <c r="FW70" i="14"/>
  <c r="GE74" i="14"/>
  <c r="GC101" i="14"/>
  <c r="GE101" i="14"/>
  <c r="GC108" i="14"/>
  <c r="GE108" i="14"/>
  <c r="GC98" i="14"/>
  <c r="GE98" i="14"/>
  <c r="GD132" i="14"/>
  <c r="GE132" i="14"/>
  <c r="GE71" i="14"/>
  <c r="GE89" i="14"/>
  <c r="GE86" i="14"/>
  <c r="GD134" i="14"/>
  <c r="GE134" i="14"/>
  <c r="GC97" i="14"/>
  <c r="GE97" i="14"/>
  <c r="GC100" i="14"/>
  <c r="GE100" i="14"/>
  <c r="GE87" i="14"/>
  <c r="GE70" i="14"/>
  <c r="GE103" i="14"/>
  <c r="GE104" i="14"/>
  <c r="GE81" i="14"/>
  <c r="GE83" i="14"/>
  <c r="GE88" i="14"/>
  <c r="GE93" i="14"/>
  <c r="GD131" i="14"/>
  <c r="GE131" i="14"/>
  <c r="GC95" i="14"/>
  <c r="GE95" i="14"/>
  <c r="GB76" i="14"/>
  <c r="GE76" i="14"/>
  <c r="GE84" i="14"/>
  <c r="GC91" i="14"/>
  <c r="GE91" i="14"/>
  <c r="GB78" i="14"/>
  <c r="GE78" i="14"/>
  <c r="GE73" i="14"/>
  <c r="GE85" i="14"/>
  <c r="GE82" i="14"/>
  <c r="GB77" i="14"/>
  <c r="GE77" i="14"/>
  <c r="GC99" i="14"/>
  <c r="GE99" i="14"/>
  <c r="GE105" i="14"/>
  <c r="GD130" i="14"/>
  <c r="GE130" i="14"/>
  <c r="GC96" i="14"/>
  <c r="GE96" i="14"/>
  <c r="GC106" i="14"/>
  <c r="GE106" i="14"/>
  <c r="GC92" i="14"/>
  <c r="GE92" i="14"/>
  <c r="AG128" i="15"/>
  <c r="BL126" i="38" s="1"/>
  <c r="BP126" i="38" s="1"/>
  <c r="EC142" i="14"/>
  <c r="ED142" i="14" s="1"/>
  <c r="DY142" i="14"/>
  <c r="FJ93" i="14"/>
  <c r="FV93" i="14" s="1"/>
  <c r="FJ108" i="14"/>
  <c r="FV108" i="14" s="1"/>
  <c r="EG108" i="14"/>
  <c r="EF112" i="14"/>
  <c r="FK112" i="14" s="1"/>
  <c r="GC112" i="14" s="1"/>
  <c r="EE112" i="14"/>
  <c r="FJ136" i="14"/>
  <c r="FJ90" i="14"/>
  <c r="FV90" i="14" s="1"/>
  <c r="FJ107" i="14"/>
  <c r="FV107" i="14" s="1"/>
  <c r="FJ135" i="14"/>
  <c r="EF115" i="14"/>
  <c r="FK115" i="14" s="1"/>
  <c r="GC115" i="14" s="1"/>
  <c r="EE115" i="14"/>
  <c r="FJ105" i="14"/>
  <c r="FV105" i="14" s="1"/>
  <c r="EE116" i="14"/>
  <c r="EF116" i="14"/>
  <c r="FK116" i="14" s="1"/>
  <c r="GC116" i="14" s="1"/>
  <c r="EE114" i="14"/>
  <c r="EF114" i="14"/>
  <c r="FK114" i="14" s="1"/>
  <c r="GC114" i="14" s="1"/>
  <c r="FJ101" i="14"/>
  <c r="FV101" i="14" s="1"/>
  <c r="EG101" i="14"/>
  <c r="AG140" i="15"/>
  <c r="BL138" i="38" s="1"/>
  <c r="BP138" i="38" s="1"/>
  <c r="EC154" i="14"/>
  <c r="ED154" i="14" s="1"/>
  <c r="DY154" i="14"/>
  <c r="EF117" i="14"/>
  <c r="FK117" i="14" s="1"/>
  <c r="GC117" i="14" s="1"/>
  <c r="EE117" i="14"/>
  <c r="FJ109" i="14"/>
  <c r="FV109" i="14" s="1"/>
  <c r="EE118" i="14"/>
  <c r="EF118" i="14"/>
  <c r="FK118" i="14" s="1"/>
  <c r="GC118" i="14" s="1"/>
  <c r="EE110" i="14"/>
  <c r="EF110" i="14"/>
  <c r="FK110" i="14" s="1"/>
  <c r="GC110" i="14" s="1"/>
  <c r="FJ103" i="14"/>
  <c r="FV103" i="14" s="1"/>
  <c r="EE111" i="14"/>
  <c r="EF111" i="14"/>
  <c r="FK111" i="14" s="1"/>
  <c r="GC111" i="14" s="1"/>
  <c r="FJ133" i="14"/>
  <c r="EF113" i="14"/>
  <c r="FK113" i="14" s="1"/>
  <c r="GC113" i="14" s="1"/>
  <c r="EE113" i="14"/>
  <c r="EE119" i="14"/>
  <c r="EF119" i="14"/>
  <c r="FK119" i="14" s="1"/>
  <c r="GC119" i="14" s="1"/>
  <c r="FJ94" i="14"/>
  <c r="FV94" i="14" s="1"/>
  <c r="FJ104" i="14"/>
  <c r="FV104" i="14" s="1"/>
  <c r="EF61" i="14"/>
  <c r="FK61" i="14" s="1"/>
  <c r="EE68" i="14"/>
  <c r="EF68" i="14"/>
  <c r="FK68" i="14" s="1"/>
  <c r="GC68" i="14" s="1"/>
  <c r="EE62" i="14"/>
  <c r="EF62" i="14"/>
  <c r="FK62" i="14" s="1"/>
  <c r="FJ71" i="14"/>
  <c r="FU71" i="14" s="1"/>
  <c r="EF67" i="14"/>
  <c r="FK67" i="14" s="1"/>
  <c r="GC67" i="14" s="1"/>
  <c r="EE67" i="14"/>
  <c r="EF64" i="14"/>
  <c r="FK64" i="14" s="1"/>
  <c r="EE64" i="14"/>
  <c r="FJ82" i="14"/>
  <c r="EE60" i="14"/>
  <c r="EF60" i="14"/>
  <c r="FK60" i="14" s="1"/>
  <c r="EE69" i="14"/>
  <c r="EF69" i="14"/>
  <c r="FK69" i="14" s="1"/>
  <c r="GC69" i="14" s="1"/>
  <c r="FJ73" i="14"/>
  <c r="FU73" i="14" s="1"/>
  <c r="EF66" i="14"/>
  <c r="FK66" i="14" s="1"/>
  <c r="GC66" i="14" s="1"/>
  <c r="EE66" i="14"/>
  <c r="FJ74" i="14"/>
  <c r="FU74" i="14" s="1"/>
  <c r="EE65" i="14"/>
  <c r="EF65" i="14"/>
  <c r="FK65" i="14" s="1"/>
  <c r="GC65" i="14" s="1"/>
  <c r="FJ61" i="14"/>
  <c r="EE63" i="14"/>
  <c r="EF63" i="14"/>
  <c r="FK63" i="14" s="1"/>
  <c r="H41" i="16"/>
  <c r="H43" i="16"/>
  <c r="H29" i="16"/>
  <c r="H42" i="16"/>
  <c r="H30" i="16"/>
  <c r="FU82" i="14" l="1"/>
  <c r="FV82" i="14"/>
  <c r="FT86" i="14"/>
  <c r="FV86" i="14"/>
  <c r="FU80" i="14"/>
  <c r="FV80" i="14"/>
  <c r="FT89" i="14"/>
  <c r="FV89" i="14"/>
  <c r="FT85" i="14"/>
  <c r="FV85" i="14"/>
  <c r="FU81" i="14"/>
  <c r="FV81" i="14"/>
  <c r="FT88" i="14"/>
  <c r="FV88" i="14"/>
  <c r="FW135" i="14"/>
  <c r="FV135" i="14"/>
  <c r="FW138" i="14"/>
  <c r="FV138" i="14"/>
  <c r="GE135" i="14"/>
  <c r="GD135" i="14"/>
  <c r="FW136" i="14"/>
  <c r="FV136" i="14"/>
  <c r="GE136" i="14"/>
  <c r="GD136" i="14"/>
  <c r="GE133" i="14"/>
  <c r="GC93" i="14"/>
  <c r="GD93" i="14"/>
  <c r="GC94" i="14"/>
  <c r="GD94" i="14"/>
  <c r="GC90" i="14"/>
  <c r="GD90" i="14"/>
  <c r="GC104" i="14"/>
  <c r="GD104" i="14"/>
  <c r="GC103" i="14"/>
  <c r="GD103" i="14"/>
  <c r="AS86" i="38"/>
  <c r="AU86" i="38" s="1"/>
  <c r="AV86" i="38" s="1"/>
  <c r="H87" i="40" s="1"/>
  <c r="BB59" i="43" s="1"/>
  <c r="G27" i="45" s="1"/>
  <c r="AR128" i="38"/>
  <c r="AT128" i="38" s="1"/>
  <c r="GB71" i="14"/>
  <c r="GC71" i="14"/>
  <c r="GB73" i="14"/>
  <c r="GC73" i="14"/>
  <c r="GB74" i="14"/>
  <c r="GC74" i="14"/>
  <c r="GB70" i="14"/>
  <c r="GC70" i="14"/>
  <c r="GC105" i="14"/>
  <c r="GD105" i="14"/>
  <c r="GC109" i="14"/>
  <c r="GD109" i="14"/>
  <c r="GC107" i="14"/>
  <c r="GD107" i="14"/>
  <c r="GB84" i="14"/>
  <c r="GC84" i="14"/>
  <c r="GB82" i="14"/>
  <c r="GC82" i="14"/>
  <c r="AS96" i="38"/>
  <c r="AU96" i="38" s="1"/>
  <c r="AV96" i="38" s="1"/>
  <c r="H97" i="40" s="1"/>
  <c r="BB61" i="43" s="1"/>
  <c r="G29" i="45" s="1"/>
  <c r="AN97" i="38"/>
  <c r="AP97" i="38" s="1"/>
  <c r="AQ97" i="38" s="1"/>
  <c r="G98" i="40" s="1"/>
  <c r="AS98" i="38"/>
  <c r="AU98" i="38" s="1"/>
  <c r="AV98" i="38" s="1"/>
  <c r="H99" i="40" s="1"/>
  <c r="AR132" i="38"/>
  <c r="AT132" i="38" s="1"/>
  <c r="AN80" i="38"/>
  <c r="AP80" i="38" s="1"/>
  <c r="AQ80" i="38" s="1"/>
  <c r="G81" i="40" s="1"/>
  <c r="AS114" i="38"/>
  <c r="AU114" i="38" s="1"/>
  <c r="AV114" i="38" s="1"/>
  <c r="H115" i="40" s="1"/>
  <c r="EC155" i="14"/>
  <c r="ED155" i="14" s="1"/>
  <c r="EE155" i="14" s="1"/>
  <c r="AG145" i="15"/>
  <c r="BL143" i="38" s="1"/>
  <c r="BP143" i="38" s="1"/>
  <c r="BR143" i="38" s="1"/>
  <c r="BV143" i="38" s="1"/>
  <c r="BB54" i="43"/>
  <c r="G22" i="45" s="1"/>
  <c r="BA54" i="43"/>
  <c r="F22" i="45" s="1"/>
  <c r="BB52" i="43"/>
  <c r="G20" i="45" s="1"/>
  <c r="CM80" i="38"/>
  <c r="CN80" i="38" s="1"/>
  <c r="CO80" i="38" s="1"/>
  <c r="CP80" i="38" s="1"/>
  <c r="BW88" i="38"/>
  <c r="BX88" i="38" s="1"/>
  <c r="BY88" i="38" s="1"/>
  <c r="BZ88" i="38" s="1"/>
  <c r="CA88" i="38" s="1"/>
  <c r="CB88" i="38" s="1"/>
  <c r="CC88" i="38" s="1"/>
  <c r="CD88" i="38" s="1"/>
  <c r="CE88" i="38" s="1"/>
  <c r="CF88" i="38" s="1"/>
  <c r="CG88" i="38" s="1"/>
  <c r="CH88" i="38" s="1"/>
  <c r="BW83" i="38"/>
  <c r="BX83" i="38" s="1"/>
  <c r="BY83" i="38" s="1"/>
  <c r="BZ83" i="38" s="1"/>
  <c r="CA83" i="38" s="1"/>
  <c r="CB83" i="38" s="1"/>
  <c r="CC83" i="38" s="1"/>
  <c r="CD83" i="38" s="1"/>
  <c r="CE52" i="38"/>
  <c r="CF52" i="38" s="1"/>
  <c r="CG52" i="38" s="1"/>
  <c r="CH52" i="38" s="1"/>
  <c r="CI52" i="38" s="1"/>
  <c r="CJ52" i="38" s="1"/>
  <c r="CK52" i="38" s="1"/>
  <c r="CL52" i="38" s="1"/>
  <c r="CM52" i="38" s="1"/>
  <c r="CN52" i="38" s="1"/>
  <c r="CO52" i="38" s="1"/>
  <c r="CP52" i="38" s="1"/>
  <c r="CA60" i="38"/>
  <c r="CB60" i="38" s="1"/>
  <c r="CC60" i="38" s="1"/>
  <c r="CD60" i="38" s="1"/>
  <c r="CA81" i="38"/>
  <c r="CB81" i="38" s="1"/>
  <c r="CC81" i="38" s="1"/>
  <c r="CD81" i="38" s="1"/>
  <c r="BW95" i="38"/>
  <c r="BX95" i="38" s="1"/>
  <c r="BY95" i="38" s="1"/>
  <c r="BZ95" i="38" s="1"/>
  <c r="BW59" i="38"/>
  <c r="BX59" i="38" s="1"/>
  <c r="BY59" i="38" s="1"/>
  <c r="BZ59" i="38" s="1"/>
  <c r="BW46" i="38"/>
  <c r="BX46" i="38" s="1"/>
  <c r="BY46" i="38" s="1"/>
  <c r="BZ46" i="38" s="1"/>
  <c r="BW101" i="38"/>
  <c r="BX101" i="38" s="1"/>
  <c r="BY101" i="38" s="1"/>
  <c r="BZ101" i="38" s="1"/>
  <c r="CA101" i="38" s="1"/>
  <c r="CB101" i="38" s="1"/>
  <c r="CC101" i="38" s="1"/>
  <c r="CD101" i="38" s="1"/>
  <c r="CE101" i="38" s="1"/>
  <c r="CF101" i="38" s="1"/>
  <c r="CG101" i="38" s="1"/>
  <c r="CH101" i="38" s="1"/>
  <c r="BW87" i="38"/>
  <c r="BX87" i="38" s="1"/>
  <c r="BY87" i="38" s="1"/>
  <c r="BZ87" i="38" s="1"/>
  <c r="CA87" i="38" s="1"/>
  <c r="CB87" i="38" s="1"/>
  <c r="CC87" i="38" s="1"/>
  <c r="CD87" i="38" s="1"/>
  <c r="CE87" i="38" s="1"/>
  <c r="CF87" i="38" s="1"/>
  <c r="CG87" i="38" s="1"/>
  <c r="CH87" i="38" s="1"/>
  <c r="BW62" i="38"/>
  <c r="BX62" i="38" s="1"/>
  <c r="BY62" i="38" s="1"/>
  <c r="BZ62" i="38" s="1"/>
  <c r="BW122" i="38"/>
  <c r="BX122" i="38" s="1"/>
  <c r="BY122" i="38" s="1"/>
  <c r="BZ122" i="38" s="1"/>
  <c r="CA122" i="38" s="1"/>
  <c r="CB122" i="38" s="1"/>
  <c r="CC122" i="38" s="1"/>
  <c r="CD122" i="38" s="1"/>
  <c r="CE122" i="38" s="1"/>
  <c r="CF122" i="38" s="1"/>
  <c r="CG122" i="38" s="1"/>
  <c r="CH122" i="38" s="1"/>
  <c r="CI122" i="38" s="1"/>
  <c r="CJ122" i="38" s="1"/>
  <c r="CK122" i="38" s="1"/>
  <c r="CL122" i="38" s="1"/>
  <c r="BW84" i="38"/>
  <c r="BX84" i="38" s="1"/>
  <c r="BY84" i="38" s="1"/>
  <c r="BZ84" i="38" s="1"/>
  <c r="CA84" i="38" s="1"/>
  <c r="CB84" i="38" s="1"/>
  <c r="CC84" i="38" s="1"/>
  <c r="CD84" i="38" s="1"/>
  <c r="BW96" i="38"/>
  <c r="BX96" i="38" s="1"/>
  <c r="BY96" i="38" s="1"/>
  <c r="BZ96" i="38" s="1"/>
  <c r="CI94" i="38"/>
  <c r="CJ94" i="38" s="1"/>
  <c r="CK94" i="38" s="1"/>
  <c r="CL94" i="38" s="1"/>
  <c r="CM94" i="38" s="1"/>
  <c r="CN94" i="38" s="1"/>
  <c r="CO94" i="38" s="1"/>
  <c r="CP94" i="38" s="1"/>
  <c r="CQ94" i="38" s="1"/>
  <c r="CR94" i="38" s="1"/>
  <c r="CS94" i="38" s="1"/>
  <c r="CT94" i="38" s="1"/>
  <c r="BW57" i="38"/>
  <c r="BX57" i="38" s="1"/>
  <c r="BY57" i="38" s="1"/>
  <c r="BZ57" i="38" s="1"/>
  <c r="BW51" i="38"/>
  <c r="BX51" i="38" s="1"/>
  <c r="BY51" i="38" s="1"/>
  <c r="BZ51" i="38" s="1"/>
  <c r="BW102" i="38"/>
  <c r="BX102" i="38" s="1"/>
  <c r="BY102" i="38" s="1"/>
  <c r="BZ102" i="38" s="1"/>
  <c r="CA102" i="38" s="1"/>
  <c r="CB102" i="38" s="1"/>
  <c r="CC102" i="38" s="1"/>
  <c r="CD102" i="38" s="1"/>
  <c r="BW121" i="38"/>
  <c r="BX121" i="38" s="1"/>
  <c r="BY121" i="38" s="1"/>
  <c r="BZ121" i="38" s="1"/>
  <c r="BW74" i="38"/>
  <c r="BX74" i="38" s="1"/>
  <c r="BY74" i="38" s="1"/>
  <c r="BZ74" i="38" s="1"/>
  <c r="BW89" i="38"/>
  <c r="BX89" i="38" s="1"/>
  <c r="BY89" i="38" s="1"/>
  <c r="BZ89" i="38" s="1"/>
  <c r="CA89" i="38" s="1"/>
  <c r="CB89" i="38" s="1"/>
  <c r="CC89" i="38" s="1"/>
  <c r="CD89" i="38" s="1"/>
  <c r="BW91" i="38"/>
  <c r="BX91" i="38" s="1"/>
  <c r="BY91" i="38" s="1"/>
  <c r="BZ91" i="38" s="1"/>
  <c r="BW116" i="38"/>
  <c r="BX116" i="38" s="1"/>
  <c r="BY116" i="38" s="1"/>
  <c r="BZ116" i="38" s="1"/>
  <c r="CA116" i="38" s="1"/>
  <c r="CB116" i="38" s="1"/>
  <c r="CC116" i="38" s="1"/>
  <c r="CD116" i="38" s="1"/>
  <c r="CE54" i="38"/>
  <c r="CF54" i="38" s="1"/>
  <c r="CG54" i="38" s="1"/>
  <c r="CH54" i="38" s="1"/>
  <c r="CI54" i="38" s="1"/>
  <c r="CJ54" i="38" s="1"/>
  <c r="CK54" i="38" s="1"/>
  <c r="CL54" i="38" s="1"/>
  <c r="CM54" i="38" s="1"/>
  <c r="CN54" i="38" s="1"/>
  <c r="CO54" i="38" s="1"/>
  <c r="CP54" i="38" s="1"/>
  <c r="CQ54" i="38" s="1"/>
  <c r="CR54" i="38" s="1"/>
  <c r="CS54" i="38" s="1"/>
  <c r="CT54" i="38" s="1"/>
  <c r="CU54" i="38" s="1"/>
  <c r="CV54" i="38" s="1"/>
  <c r="BW49" i="38"/>
  <c r="BX49" i="38" s="1"/>
  <c r="BY49" i="38" s="1"/>
  <c r="BZ49" i="38" s="1"/>
  <c r="BW63" i="38"/>
  <c r="BX63" i="38" s="1"/>
  <c r="BY63" i="38" s="1"/>
  <c r="BZ63" i="38" s="1"/>
  <c r="BW98" i="38"/>
  <c r="BX98" i="38" s="1"/>
  <c r="BY98" i="38" s="1"/>
  <c r="BZ98" i="38" s="1"/>
  <c r="CA98" i="38" s="1"/>
  <c r="CB98" i="38" s="1"/>
  <c r="CC98" i="38" s="1"/>
  <c r="CD98" i="38" s="1"/>
  <c r="CE98" i="38" s="1"/>
  <c r="CF98" i="38" s="1"/>
  <c r="CG98" i="38" s="1"/>
  <c r="CH98" i="38" s="1"/>
  <c r="CI98" i="38" s="1"/>
  <c r="CJ98" i="38" s="1"/>
  <c r="CK98" i="38" s="1"/>
  <c r="CL98" i="38" s="1"/>
  <c r="CM98" i="38" s="1"/>
  <c r="CN98" i="38" s="1"/>
  <c r="CO98" i="38" s="1"/>
  <c r="CP98" i="38" s="1"/>
  <c r="CQ98" i="38" s="1"/>
  <c r="CR98" i="38" s="1"/>
  <c r="CS98" i="38" s="1"/>
  <c r="CT98" i="38" s="1"/>
  <c r="CE118" i="38"/>
  <c r="CF118" i="38" s="1"/>
  <c r="CG118" i="38" s="1"/>
  <c r="CH118" i="38" s="1"/>
  <c r="CI118" i="38" s="1"/>
  <c r="CJ118" i="38" s="1"/>
  <c r="CK118" i="38" s="1"/>
  <c r="CL118" i="38" s="1"/>
  <c r="CM118" i="38" s="1"/>
  <c r="CN118" i="38" s="1"/>
  <c r="CO118" i="38" s="1"/>
  <c r="CP118" i="38" s="1"/>
  <c r="CQ118" i="38" s="1"/>
  <c r="CR118" i="38" s="1"/>
  <c r="CS118" i="38" s="1"/>
  <c r="CT118" i="38" s="1"/>
  <c r="BW47" i="38"/>
  <c r="BX47" i="38" s="1"/>
  <c r="BY47" i="38" s="1"/>
  <c r="BZ47" i="38" s="1"/>
  <c r="BW93" i="38"/>
  <c r="BX93" i="38" s="1"/>
  <c r="BY93" i="38" s="1"/>
  <c r="BZ93" i="38" s="1"/>
  <c r="CA93" i="38" s="1"/>
  <c r="CB93" i="38" s="1"/>
  <c r="CC93" i="38" s="1"/>
  <c r="CD93" i="38" s="1"/>
  <c r="BW55" i="38"/>
  <c r="BX55" i="38" s="1"/>
  <c r="BY55" i="38" s="1"/>
  <c r="BZ55" i="38" s="1"/>
  <c r="CE50" i="38"/>
  <c r="CF50" i="38" s="1"/>
  <c r="CG50" i="38" s="1"/>
  <c r="CH50" i="38" s="1"/>
  <c r="CI50" i="38" s="1"/>
  <c r="CJ50" i="38" s="1"/>
  <c r="CK50" i="38" s="1"/>
  <c r="CL50" i="38" s="1"/>
  <c r="CM50" i="38" s="1"/>
  <c r="CN50" i="38" s="1"/>
  <c r="CO50" i="38" s="1"/>
  <c r="CP50" i="38" s="1"/>
  <c r="CQ50" i="38" s="1"/>
  <c r="CR50" i="38" s="1"/>
  <c r="CS50" i="38" s="1"/>
  <c r="CT50" i="38" s="1"/>
  <c r="CU50" i="38" s="1"/>
  <c r="CV50" i="38" s="1"/>
  <c r="BW123" i="38"/>
  <c r="BX123" i="38" s="1"/>
  <c r="BY123" i="38" s="1"/>
  <c r="BZ123" i="38" s="1"/>
  <c r="CA123" i="38" s="1"/>
  <c r="CB123" i="38" s="1"/>
  <c r="CC123" i="38" s="1"/>
  <c r="CD123" i="38" s="1"/>
  <c r="CE123" i="38" s="1"/>
  <c r="CF123" i="38" s="1"/>
  <c r="CG123" i="38" s="1"/>
  <c r="CH123" i="38" s="1"/>
  <c r="BW67" i="38"/>
  <c r="BX67" i="38" s="1"/>
  <c r="BY67" i="38" s="1"/>
  <c r="BZ67" i="38" s="1"/>
  <c r="BW53" i="38"/>
  <c r="BX53" i="38" s="1"/>
  <c r="BY53" i="38" s="1"/>
  <c r="BZ53" i="38" s="1"/>
  <c r="CA53" i="38" s="1"/>
  <c r="CB53" i="38" s="1"/>
  <c r="CC53" i="38" s="1"/>
  <c r="CD53" i="38" s="1"/>
  <c r="CA58" i="38"/>
  <c r="CB58" i="38" s="1"/>
  <c r="CC58" i="38" s="1"/>
  <c r="CD58" i="38" s="1"/>
  <c r="BW100" i="38"/>
  <c r="BX100" i="38" s="1"/>
  <c r="BY100" i="38" s="1"/>
  <c r="BZ100" i="38" s="1"/>
  <c r="CA100" i="38" s="1"/>
  <c r="CB100" i="38" s="1"/>
  <c r="CC100" i="38" s="1"/>
  <c r="CD100" i="38" s="1"/>
  <c r="CE100" i="38" s="1"/>
  <c r="CF100" i="38" s="1"/>
  <c r="CG100" i="38" s="1"/>
  <c r="CH100" i="38" s="1"/>
  <c r="CI100" i="38" s="1"/>
  <c r="CJ100" i="38" s="1"/>
  <c r="CK100" i="38" s="1"/>
  <c r="CL100" i="38" s="1"/>
  <c r="CM100" i="38" s="1"/>
  <c r="CN100" i="38" s="1"/>
  <c r="CO100" i="38" s="1"/>
  <c r="CP100" i="38" s="1"/>
  <c r="CQ100" i="38" s="1"/>
  <c r="CR100" i="38" s="1"/>
  <c r="CS100" i="38" s="1"/>
  <c r="CT100" i="38" s="1"/>
  <c r="BW119" i="38"/>
  <c r="BX119" i="38" s="1"/>
  <c r="BY119" i="38" s="1"/>
  <c r="BZ119" i="38" s="1"/>
  <c r="CA119" i="38" s="1"/>
  <c r="CB119" i="38" s="1"/>
  <c r="CC119" i="38" s="1"/>
  <c r="CD119" i="38" s="1"/>
  <c r="BW117" i="38"/>
  <c r="BX117" i="38" s="1"/>
  <c r="BY117" i="38" s="1"/>
  <c r="BZ117" i="38" s="1"/>
  <c r="BW76" i="38"/>
  <c r="BX76" i="38" s="1"/>
  <c r="BY76" i="38" s="1"/>
  <c r="BZ76" i="38" s="1"/>
  <c r="BW82" i="38"/>
  <c r="BX82" i="38" s="1"/>
  <c r="BY82" i="38" s="1"/>
  <c r="BZ82" i="38" s="1"/>
  <c r="BW65" i="38"/>
  <c r="BX65" i="38" s="1"/>
  <c r="BY65" i="38" s="1"/>
  <c r="BZ65" i="38" s="1"/>
  <c r="BW45" i="38"/>
  <c r="BX45" i="38" s="1"/>
  <c r="BY45" i="38" s="1"/>
  <c r="BZ45" i="38" s="1"/>
  <c r="BW61" i="38"/>
  <c r="BX61" i="38" s="1"/>
  <c r="BY61" i="38" s="1"/>
  <c r="BZ61" i="38" s="1"/>
  <c r="CA61" i="38" s="1"/>
  <c r="CB61" i="38" s="1"/>
  <c r="CC61" i="38" s="1"/>
  <c r="CD61" i="38" s="1"/>
  <c r="CE61" i="38" s="1"/>
  <c r="CF61" i="38" s="1"/>
  <c r="CG61" i="38" s="1"/>
  <c r="CH61" i="38" s="1"/>
  <c r="CA48" i="38"/>
  <c r="CB48" i="38" s="1"/>
  <c r="CC48" i="38" s="1"/>
  <c r="CD48" i="38" s="1"/>
  <c r="BW78" i="38"/>
  <c r="BX78" i="38" s="1"/>
  <c r="BY78" i="38" s="1"/>
  <c r="BZ78" i="38" s="1"/>
  <c r="BW79" i="38"/>
  <c r="BX79" i="38" s="1"/>
  <c r="BY79" i="38" s="1"/>
  <c r="BZ79" i="38" s="1"/>
  <c r="CA79" i="38" s="1"/>
  <c r="CB79" i="38" s="1"/>
  <c r="CC79" i="38" s="1"/>
  <c r="CD79" i="38" s="1"/>
  <c r="CE79" i="38" s="1"/>
  <c r="CF79" i="38" s="1"/>
  <c r="CG79" i="38" s="1"/>
  <c r="CH79" i="38" s="1"/>
  <c r="BW92" i="38"/>
  <c r="BX92" i="38" s="1"/>
  <c r="BY92" i="38" s="1"/>
  <c r="BZ92" i="38" s="1"/>
  <c r="CA92" i="38" s="1"/>
  <c r="CB92" i="38" s="1"/>
  <c r="CC92" i="38" s="1"/>
  <c r="CD92" i="38" s="1"/>
  <c r="BW77" i="38"/>
  <c r="BX77" i="38" s="1"/>
  <c r="BY77" i="38" s="1"/>
  <c r="BZ77" i="38" s="1"/>
  <c r="BW66" i="38"/>
  <c r="BX66" i="38" s="1"/>
  <c r="BY66" i="38" s="1"/>
  <c r="BZ66" i="38" s="1"/>
  <c r="BW99" i="38"/>
  <c r="BX99" i="38" s="1"/>
  <c r="BY99" i="38" s="1"/>
  <c r="BZ99" i="38" s="1"/>
  <c r="BW70" i="38"/>
  <c r="BX70" i="38" s="1"/>
  <c r="BY70" i="38" s="1"/>
  <c r="BZ70" i="38" s="1"/>
  <c r="BW115" i="38"/>
  <c r="BX115" i="38" s="1"/>
  <c r="BY115" i="38" s="1"/>
  <c r="BZ115" i="38" s="1"/>
  <c r="BW103" i="38"/>
  <c r="BX103" i="38" s="1"/>
  <c r="BY103" i="38" s="1"/>
  <c r="BZ103" i="38" s="1"/>
  <c r="BW114" i="38"/>
  <c r="BX114" i="38" s="1"/>
  <c r="BY114" i="38" s="1"/>
  <c r="BZ114" i="38" s="1"/>
  <c r="CA114" i="38" s="1"/>
  <c r="CB114" i="38" s="1"/>
  <c r="CC114" i="38" s="1"/>
  <c r="CD114" i="38" s="1"/>
  <c r="BW75" i="38"/>
  <c r="BX75" i="38" s="1"/>
  <c r="BY75" i="38" s="1"/>
  <c r="BZ75" i="38" s="1"/>
  <c r="CA75" i="38" s="1"/>
  <c r="CB75" i="38" s="1"/>
  <c r="CC75" i="38" s="1"/>
  <c r="CD75" i="38" s="1"/>
  <c r="BW120" i="38"/>
  <c r="BX120" i="38" s="1"/>
  <c r="BY120" i="38" s="1"/>
  <c r="BZ120" i="38" s="1"/>
  <c r="CA120" i="38" s="1"/>
  <c r="CB120" i="38" s="1"/>
  <c r="CC120" i="38" s="1"/>
  <c r="CD120" i="38" s="1"/>
  <c r="CA85" i="38"/>
  <c r="CB85" i="38" s="1"/>
  <c r="CC85" i="38" s="1"/>
  <c r="CD85" i="38" s="1"/>
  <c r="BW73" i="38"/>
  <c r="BX73" i="38" s="1"/>
  <c r="BY73" i="38" s="1"/>
  <c r="BZ73" i="38" s="1"/>
  <c r="BW86" i="38"/>
  <c r="BX86" i="38" s="1"/>
  <c r="BY86" i="38" s="1"/>
  <c r="BZ86" i="38" s="1"/>
  <c r="CA86" i="38" s="1"/>
  <c r="CB86" i="38" s="1"/>
  <c r="CC86" i="38" s="1"/>
  <c r="CD86" i="38" s="1"/>
  <c r="CE86" i="38" s="1"/>
  <c r="CF86" i="38" s="1"/>
  <c r="CG86" i="38" s="1"/>
  <c r="CH86" i="38" s="1"/>
  <c r="CI86" i="38" s="1"/>
  <c r="CJ86" i="38" s="1"/>
  <c r="CK86" i="38" s="1"/>
  <c r="CL86" i="38" s="1"/>
  <c r="BW90" i="38"/>
  <c r="BX90" i="38" s="1"/>
  <c r="BY90" i="38" s="1"/>
  <c r="BZ90" i="38" s="1"/>
  <c r="CI56" i="38"/>
  <c r="CJ56" i="38" s="1"/>
  <c r="CK56" i="38" s="1"/>
  <c r="CL56" i="38" s="1"/>
  <c r="CM56" i="38" s="1"/>
  <c r="CN56" i="38" s="1"/>
  <c r="CO56" i="38" s="1"/>
  <c r="CP56" i="38" s="1"/>
  <c r="BW97" i="38"/>
  <c r="BX97" i="38" s="1"/>
  <c r="BY97" i="38" s="1"/>
  <c r="BZ97" i="38" s="1"/>
  <c r="AB140" i="38"/>
  <c r="AM140" i="38" s="1"/>
  <c r="AO140" i="38" s="1"/>
  <c r="AN121" i="38"/>
  <c r="AP121" i="38" s="1"/>
  <c r="AQ121" i="38" s="1"/>
  <c r="G122" i="40" s="1"/>
  <c r="AN95" i="38"/>
  <c r="AP95" i="38" s="1"/>
  <c r="AQ95" i="38" s="1"/>
  <c r="G96" i="40" s="1"/>
  <c r="FJ134" i="14"/>
  <c r="FV134" i="14" s="1"/>
  <c r="DY156" i="14"/>
  <c r="AR125" i="38"/>
  <c r="AT125" i="38" s="1"/>
  <c r="AG141" i="15"/>
  <c r="BL139" i="38" s="1"/>
  <c r="BP139" i="38" s="1"/>
  <c r="BR139" i="38" s="1"/>
  <c r="EC156" i="14"/>
  <c r="ED156" i="14" s="1"/>
  <c r="EF156" i="14" s="1"/>
  <c r="FK156" i="14" s="1"/>
  <c r="AB139" i="38"/>
  <c r="AM139" i="38" s="1"/>
  <c r="AN139" i="38" s="1"/>
  <c r="AB104" i="38"/>
  <c r="AM104" i="38" s="1"/>
  <c r="AO104" i="38" s="1"/>
  <c r="AG142" i="15"/>
  <c r="BL140" i="38" s="1"/>
  <c r="BP140" i="38" s="1"/>
  <c r="AN52" i="38"/>
  <c r="AP52" i="38" s="1"/>
  <c r="AQ52" i="38" s="1"/>
  <c r="G53" i="40" s="1"/>
  <c r="DY159" i="14"/>
  <c r="EG138" i="14"/>
  <c r="EU138" i="14" s="1"/>
  <c r="AG131" i="15"/>
  <c r="BL129" i="38" s="1"/>
  <c r="BP129" i="38" s="1"/>
  <c r="AB143" i="38"/>
  <c r="AM143" i="38" s="1"/>
  <c r="AO143" i="38" s="1"/>
  <c r="EC159" i="14"/>
  <c r="ED159" i="14" s="1"/>
  <c r="EE159" i="14" s="1"/>
  <c r="DY155" i="14"/>
  <c r="AR135" i="38"/>
  <c r="AT135" i="38" s="1"/>
  <c r="AS50" i="38"/>
  <c r="AU50" i="38" s="1"/>
  <c r="AV50" i="38" s="1"/>
  <c r="H51" i="40" s="1"/>
  <c r="AI130" i="15"/>
  <c r="BM128" i="38" s="1"/>
  <c r="BQ128" i="38" s="1"/>
  <c r="DY145" i="14"/>
  <c r="AN96" i="38"/>
  <c r="AP96" i="38" s="1"/>
  <c r="AQ96" i="38" s="1"/>
  <c r="G97" i="40" s="1"/>
  <c r="AS55" i="38"/>
  <c r="AU55" i="38" s="1"/>
  <c r="AV55" i="38" s="1"/>
  <c r="H56" i="40" s="1"/>
  <c r="AS81" i="38"/>
  <c r="AU81" i="38" s="1"/>
  <c r="AV81" i="38" s="1"/>
  <c r="H82" i="40" s="1"/>
  <c r="AO79" i="38"/>
  <c r="AP79" i="38" s="1"/>
  <c r="AQ79" i="38" s="1"/>
  <c r="G80" i="40" s="1"/>
  <c r="EG103" i="14"/>
  <c r="FC103" i="14" s="1"/>
  <c r="AB135" i="38"/>
  <c r="AM135" i="38" s="1"/>
  <c r="AN135" i="38" s="1"/>
  <c r="DY151" i="14"/>
  <c r="EG93" i="14"/>
  <c r="GW93" i="14" s="1"/>
  <c r="GZ93" i="14" s="1"/>
  <c r="HA93" i="14" s="1"/>
  <c r="HB93" i="14" s="1"/>
  <c r="HC93" i="14" s="1"/>
  <c r="AG126" i="15"/>
  <c r="BL124" i="38" s="1"/>
  <c r="BP124" i="38" s="1"/>
  <c r="EG104" i="14"/>
  <c r="EU104" i="14" s="1"/>
  <c r="BR69" i="38"/>
  <c r="BV69" i="38" s="1"/>
  <c r="AA127" i="38"/>
  <c r="AB127" i="38" s="1"/>
  <c r="BR68" i="38"/>
  <c r="BV68" i="38" s="1"/>
  <c r="BW68" i="38" s="1"/>
  <c r="BX68" i="38" s="1"/>
  <c r="BY68" i="38" s="1"/>
  <c r="BZ68" i="38" s="1"/>
  <c r="AA130" i="38"/>
  <c r="AB130" i="38" s="1"/>
  <c r="AM130" i="38" s="1"/>
  <c r="AN130" i="38" s="1"/>
  <c r="AS93" i="38"/>
  <c r="AU93" i="38" s="1"/>
  <c r="AV93" i="38" s="1"/>
  <c r="H94" i="40" s="1"/>
  <c r="AS102" i="38"/>
  <c r="AU102" i="38" s="1"/>
  <c r="AV102" i="38" s="1"/>
  <c r="H103" i="40" s="1"/>
  <c r="BR64" i="38"/>
  <c r="BV64" i="38" s="1"/>
  <c r="BW64" i="38" s="1"/>
  <c r="BX64" i="38" s="1"/>
  <c r="BY64" i="38" s="1"/>
  <c r="BZ64" i="38" s="1"/>
  <c r="AN87" i="38"/>
  <c r="AP87" i="38" s="1"/>
  <c r="AQ87" i="38" s="1"/>
  <c r="G88" i="40" s="1"/>
  <c r="AS48" i="38"/>
  <c r="AU48" i="38" s="1"/>
  <c r="AV48" i="38" s="1"/>
  <c r="H49" i="40" s="1"/>
  <c r="AR130" i="38"/>
  <c r="AT130" i="38" s="1"/>
  <c r="BR112" i="38"/>
  <c r="BV112" i="38" s="1"/>
  <c r="EG90" i="14"/>
  <c r="HE90" i="14" s="1"/>
  <c r="FJ99" i="14"/>
  <c r="EG82" i="14"/>
  <c r="HM82" i="14" s="1"/>
  <c r="AO100" i="38"/>
  <c r="AP100" i="38" s="1"/>
  <c r="AQ100" i="38" s="1"/>
  <c r="G101" i="40" s="1"/>
  <c r="AS47" i="38"/>
  <c r="AU47" i="38" s="1"/>
  <c r="AV47" i="38" s="1"/>
  <c r="H48" i="40" s="1"/>
  <c r="EG109" i="14"/>
  <c r="GW109" i="14" s="1"/>
  <c r="GZ109" i="14" s="1"/>
  <c r="HA109" i="14" s="1"/>
  <c r="HB109" i="14" s="1"/>
  <c r="HC109" i="14" s="1"/>
  <c r="EG106" i="14"/>
  <c r="FC106" i="14" s="1"/>
  <c r="EC158" i="14"/>
  <c r="ED158" i="14" s="1"/>
  <c r="EF158" i="14" s="1"/>
  <c r="FK158" i="14" s="1"/>
  <c r="AS62" i="38"/>
  <c r="AU62" i="38" s="1"/>
  <c r="AV62" i="38" s="1"/>
  <c r="H63" i="40" s="1"/>
  <c r="AO83" i="38"/>
  <c r="AP83" i="38" s="1"/>
  <c r="AQ83" i="38" s="1"/>
  <c r="G84" i="40" s="1"/>
  <c r="AR141" i="38"/>
  <c r="AT141" i="38" s="1"/>
  <c r="AA132" i="38"/>
  <c r="AB132" i="38" s="1"/>
  <c r="AM132" i="38" s="1"/>
  <c r="AN132" i="38" s="1"/>
  <c r="AB137" i="38"/>
  <c r="AM137" i="38" s="1"/>
  <c r="AO137" i="38" s="1"/>
  <c r="Y108" i="38"/>
  <c r="AB108" i="38" s="1"/>
  <c r="AM108" i="38" s="1"/>
  <c r="AO108" i="38" s="1"/>
  <c r="AM126" i="38"/>
  <c r="AO126" i="38" s="1"/>
  <c r="EG135" i="14"/>
  <c r="EU135" i="14" s="1"/>
  <c r="EC143" i="14"/>
  <c r="ED143" i="14" s="1"/>
  <c r="EF143" i="14" s="1"/>
  <c r="FK143" i="14" s="1"/>
  <c r="EC124" i="14"/>
  <c r="ED124" i="14" s="1"/>
  <c r="EE124" i="14" s="1"/>
  <c r="FJ124" i="14" s="1"/>
  <c r="AG133" i="15"/>
  <c r="BL131" i="38" s="1"/>
  <c r="BP131" i="38" s="1"/>
  <c r="EG132" i="14"/>
  <c r="HM132" i="14" s="1"/>
  <c r="EG102" i="14"/>
  <c r="HE102" i="14" s="1"/>
  <c r="DY147" i="14"/>
  <c r="AN90" i="38"/>
  <c r="AP90" i="38" s="1"/>
  <c r="AQ90" i="38" s="1"/>
  <c r="G91" i="40" s="1"/>
  <c r="DY153" i="14"/>
  <c r="AA133" i="38"/>
  <c r="AB133" i="38" s="1"/>
  <c r="AM133" i="38" s="1"/>
  <c r="AN133" i="38" s="1"/>
  <c r="EC147" i="14"/>
  <c r="ED147" i="14" s="1"/>
  <c r="EF147" i="14" s="1"/>
  <c r="FK147" i="14" s="1"/>
  <c r="GD147" i="14" s="1"/>
  <c r="FJ95" i="14"/>
  <c r="AG139" i="15"/>
  <c r="BL137" i="38" s="1"/>
  <c r="BP137" i="38" s="1"/>
  <c r="AG110" i="15"/>
  <c r="BL108" i="38" s="1"/>
  <c r="BP108" i="38" s="1"/>
  <c r="AS115" i="38"/>
  <c r="AU115" i="38" s="1"/>
  <c r="AV115" i="38" s="1"/>
  <c r="H116" i="40" s="1"/>
  <c r="EG71" i="14"/>
  <c r="EU71" i="14" s="1"/>
  <c r="AO78" i="38"/>
  <c r="AP78" i="38" s="1"/>
  <c r="AQ78" i="38" s="1"/>
  <c r="G79" i="40" s="1"/>
  <c r="AS76" i="38"/>
  <c r="AU76" i="38" s="1"/>
  <c r="AV76" i="38" s="1"/>
  <c r="H77" i="40" s="1"/>
  <c r="EC153" i="14"/>
  <c r="ED153" i="14" s="1"/>
  <c r="EE153" i="14" s="1"/>
  <c r="AO89" i="38"/>
  <c r="AP89" i="38" s="1"/>
  <c r="AQ89" i="38" s="1"/>
  <c r="G90" i="40" s="1"/>
  <c r="AS60" i="38"/>
  <c r="AU60" i="38" s="1"/>
  <c r="AV60" i="38" s="1"/>
  <c r="H61" i="40" s="1"/>
  <c r="AS101" i="38"/>
  <c r="AU101" i="38" s="1"/>
  <c r="AV101" i="38" s="1"/>
  <c r="H102" i="40" s="1"/>
  <c r="EF88" i="14"/>
  <c r="FK88" i="14" s="1"/>
  <c r="GD88" i="14" s="1"/>
  <c r="AR143" i="38"/>
  <c r="AT143" i="38" s="1"/>
  <c r="FJ139" i="14"/>
  <c r="AN85" i="38"/>
  <c r="AP85" i="38" s="1"/>
  <c r="AQ85" i="38" s="1"/>
  <c r="G86" i="40" s="1"/>
  <c r="AN48" i="38"/>
  <c r="AP48" i="38" s="1"/>
  <c r="AQ48" i="38" s="1"/>
  <c r="G49" i="40" s="1"/>
  <c r="AS133" i="38"/>
  <c r="AU133" i="38" s="1"/>
  <c r="AV133" i="38" s="1"/>
  <c r="H134" i="40" s="1"/>
  <c r="EG107" i="14"/>
  <c r="EM107" i="14" s="1"/>
  <c r="EP107" i="14" s="1"/>
  <c r="EQ107" i="14" s="1"/>
  <c r="ER107" i="14" s="1"/>
  <c r="FJ91" i="14"/>
  <c r="EC149" i="14"/>
  <c r="ED149" i="14" s="1"/>
  <c r="EF149" i="14" s="1"/>
  <c r="FK149" i="14" s="1"/>
  <c r="GD149" i="14" s="1"/>
  <c r="EF80" i="14"/>
  <c r="FK80" i="14" s="1"/>
  <c r="GD80" i="14" s="1"/>
  <c r="AS94" i="38"/>
  <c r="AU94" i="38" s="1"/>
  <c r="AV94" i="38" s="1"/>
  <c r="H95" i="40" s="1"/>
  <c r="AG135" i="15"/>
  <c r="BL133" i="38" s="1"/>
  <c r="BP133" i="38" s="1"/>
  <c r="EE84" i="14"/>
  <c r="EG84" i="14" s="1"/>
  <c r="GW84" i="14" s="1"/>
  <c r="GZ84" i="14" s="1"/>
  <c r="HA84" i="14" s="1"/>
  <c r="HB84" i="14" s="1"/>
  <c r="HC84" i="14" s="1"/>
  <c r="AO91" i="38"/>
  <c r="AP91" i="38" s="1"/>
  <c r="AQ91" i="38" s="1"/>
  <c r="G92" i="40" s="1"/>
  <c r="AS88" i="38"/>
  <c r="AU88" i="38" s="1"/>
  <c r="AV88" i="38" s="1"/>
  <c r="H89" i="40" s="1"/>
  <c r="DY149" i="14"/>
  <c r="AG138" i="15"/>
  <c r="BL136" i="38" s="1"/>
  <c r="BP136" i="38" s="1"/>
  <c r="BR136" i="38" s="1"/>
  <c r="EF89" i="14"/>
  <c r="FK89" i="14" s="1"/>
  <c r="GD89" i="14" s="1"/>
  <c r="AN62" i="38"/>
  <c r="AP62" i="38" s="1"/>
  <c r="AQ62" i="38" s="1"/>
  <c r="G63" i="40" s="1"/>
  <c r="AS100" i="38"/>
  <c r="AU100" i="38" s="1"/>
  <c r="AV100" i="38" s="1"/>
  <c r="H101" i="40" s="1"/>
  <c r="O20" i="15"/>
  <c r="W13" i="46" s="1"/>
  <c r="AS83" i="38"/>
  <c r="AU83" i="38" s="1"/>
  <c r="AV83" i="38" s="1"/>
  <c r="H84" i="40" s="1"/>
  <c r="EF128" i="14"/>
  <c r="FK128" i="14" s="1"/>
  <c r="GD128" i="14" s="1"/>
  <c r="AN45" i="38"/>
  <c r="AP45" i="38" s="1"/>
  <c r="AQ45" i="38" s="1"/>
  <c r="G46" i="40" s="1"/>
  <c r="AS99" i="38"/>
  <c r="AU99" i="38" s="1"/>
  <c r="AV99" i="38" s="1"/>
  <c r="H100" i="40" s="1"/>
  <c r="AB125" i="38"/>
  <c r="AM125" i="38" s="1"/>
  <c r="AO125" i="38" s="1"/>
  <c r="AO122" i="38"/>
  <c r="AP122" i="38" s="1"/>
  <c r="AQ122" i="38" s="1"/>
  <c r="G123" i="40" s="1"/>
  <c r="EC151" i="14"/>
  <c r="ED151" i="14" s="1"/>
  <c r="EE151" i="14" s="1"/>
  <c r="AG132" i="15"/>
  <c r="BL130" i="38" s="1"/>
  <c r="BP130" i="38" s="1"/>
  <c r="EG73" i="14"/>
  <c r="EM73" i="14" s="1"/>
  <c r="EP73" i="14" s="1"/>
  <c r="EQ73" i="14" s="1"/>
  <c r="ER73" i="14" s="1"/>
  <c r="AG137" i="15"/>
  <c r="BL135" i="38" s="1"/>
  <c r="BP135" i="38" s="1"/>
  <c r="EC146" i="14"/>
  <c r="ED146" i="14" s="1"/>
  <c r="EE146" i="14" s="1"/>
  <c r="DY146" i="14"/>
  <c r="DY150" i="14"/>
  <c r="AA131" i="38"/>
  <c r="AB131" i="38" s="1"/>
  <c r="AM131" i="38" s="1"/>
  <c r="AO131" i="38" s="1"/>
  <c r="EC150" i="14"/>
  <c r="ED150" i="14" s="1"/>
  <c r="EF150" i="14" s="1"/>
  <c r="FK150" i="14" s="1"/>
  <c r="AG127" i="15"/>
  <c r="BL125" i="38" s="1"/>
  <c r="BP125" i="38" s="1"/>
  <c r="AI133" i="15"/>
  <c r="BM131" i="38" s="1"/>
  <c r="BQ131" i="38" s="1"/>
  <c r="AB134" i="38"/>
  <c r="AM134" i="38" s="1"/>
  <c r="AO134" i="38" s="1"/>
  <c r="AO118" i="38"/>
  <c r="AP118" i="38" s="1"/>
  <c r="AQ118" i="38" s="1"/>
  <c r="G119" i="40" s="1"/>
  <c r="EG133" i="14"/>
  <c r="EM133" i="14" s="1"/>
  <c r="EP133" i="14" s="1"/>
  <c r="EQ133" i="14" s="1"/>
  <c r="ER133" i="14" s="1"/>
  <c r="AG136" i="15"/>
  <c r="BL134" i="38" s="1"/>
  <c r="BP134" i="38" s="1"/>
  <c r="AO115" i="38"/>
  <c r="AP115" i="38" s="1"/>
  <c r="AQ115" i="38" s="1"/>
  <c r="G116" i="40" s="1"/>
  <c r="AO92" i="38"/>
  <c r="AP92" i="38" s="1"/>
  <c r="AQ92" i="38" s="1"/>
  <c r="G93" i="40" s="1"/>
  <c r="AN98" i="38"/>
  <c r="AP98" i="38" s="1"/>
  <c r="AQ98" i="38" s="1"/>
  <c r="G99" i="40" s="1"/>
  <c r="AS51" i="38"/>
  <c r="AU51" i="38" s="1"/>
  <c r="AV51" i="38" s="1"/>
  <c r="H52" i="40" s="1"/>
  <c r="AS74" i="38"/>
  <c r="AU74" i="38" s="1"/>
  <c r="AV74" i="38" s="1"/>
  <c r="H75" i="40" s="1"/>
  <c r="FJ131" i="14"/>
  <c r="FV131" i="14" s="1"/>
  <c r="AM73" i="38"/>
  <c r="AO73" i="38" s="1"/>
  <c r="EG105" i="14"/>
  <c r="GW105" i="14" s="1"/>
  <c r="GZ105" i="14" s="1"/>
  <c r="HA105" i="14" s="1"/>
  <c r="HB105" i="14" s="1"/>
  <c r="HC105" i="14" s="1"/>
  <c r="AG108" i="15"/>
  <c r="BL106" i="38" s="1"/>
  <c r="BP106" i="38" s="1"/>
  <c r="AS54" i="38"/>
  <c r="AU54" i="38" s="1"/>
  <c r="AV54" i="38" s="1"/>
  <c r="H55" i="40" s="1"/>
  <c r="AB136" i="38"/>
  <c r="AM136" i="38" s="1"/>
  <c r="AO136" i="38" s="1"/>
  <c r="AM66" i="38"/>
  <c r="AO66" i="38" s="1"/>
  <c r="AO82" i="38"/>
  <c r="AP82" i="38" s="1"/>
  <c r="AQ82" i="38" s="1"/>
  <c r="G83" i="40" s="1"/>
  <c r="AO55" i="38"/>
  <c r="AP55" i="38" s="1"/>
  <c r="AQ55" i="38" s="1"/>
  <c r="G56" i="40" s="1"/>
  <c r="AN58" i="38"/>
  <c r="AP58" i="38" s="1"/>
  <c r="AQ58" i="38" s="1"/>
  <c r="G59" i="40" s="1"/>
  <c r="AN77" i="38"/>
  <c r="AP77" i="38" s="1"/>
  <c r="AQ77" i="38" s="1"/>
  <c r="G78" i="40" s="1"/>
  <c r="AR129" i="38"/>
  <c r="AT129" i="38" s="1"/>
  <c r="EC160" i="14"/>
  <c r="ED160" i="14" s="1"/>
  <c r="EE160" i="14" s="1"/>
  <c r="AS104" i="38"/>
  <c r="AU104" i="38" s="1"/>
  <c r="AV104" i="38" s="1"/>
  <c r="H105" i="40" s="1"/>
  <c r="AS144" i="38"/>
  <c r="AU144" i="38" s="1"/>
  <c r="AV144" i="38" s="1"/>
  <c r="H145" i="40" s="1"/>
  <c r="AO60" i="38"/>
  <c r="AP60" i="38" s="1"/>
  <c r="AQ60" i="38" s="1"/>
  <c r="G61" i="40" s="1"/>
  <c r="Y110" i="38"/>
  <c r="AB110" i="38" s="1"/>
  <c r="AM110" i="38" s="1"/>
  <c r="AO110" i="38" s="1"/>
  <c r="AS56" i="38"/>
  <c r="AU56" i="38" s="1"/>
  <c r="AV56" i="38" s="1"/>
  <c r="H57" i="40" s="1"/>
  <c r="DY158" i="14"/>
  <c r="AG112" i="15"/>
  <c r="BL110" i="38" s="1"/>
  <c r="BP110" i="38" s="1"/>
  <c r="EC126" i="14"/>
  <c r="ED126" i="14" s="1"/>
  <c r="EE126" i="14" s="1"/>
  <c r="FJ126" i="14" s="1"/>
  <c r="AM64" i="38"/>
  <c r="AO64" i="38" s="1"/>
  <c r="FJ100" i="14"/>
  <c r="FW100" i="14" s="1"/>
  <c r="AG144" i="15"/>
  <c r="BL142" i="38" s="1"/>
  <c r="BP142" i="38" s="1"/>
  <c r="EC144" i="14"/>
  <c r="ED144" i="14" s="1"/>
  <c r="EF144" i="14" s="1"/>
  <c r="FK144" i="14" s="1"/>
  <c r="EC148" i="14"/>
  <c r="ED148" i="14" s="1"/>
  <c r="EF148" i="14" s="1"/>
  <c r="FK148" i="14" s="1"/>
  <c r="GD148" i="14" s="1"/>
  <c r="AB142" i="38"/>
  <c r="AM142" i="38" s="1"/>
  <c r="AN142" i="38" s="1"/>
  <c r="AN50" i="38"/>
  <c r="AP50" i="38" s="1"/>
  <c r="AQ50" i="38" s="1"/>
  <c r="G51" i="40" s="1"/>
  <c r="AS52" i="38"/>
  <c r="AU52" i="38" s="1"/>
  <c r="AV52" i="38" s="1"/>
  <c r="H53" i="40" s="1"/>
  <c r="AS121" i="38"/>
  <c r="AU121" i="38" s="1"/>
  <c r="AV121" i="38" s="1"/>
  <c r="H122" i="40" s="1"/>
  <c r="AG146" i="15"/>
  <c r="BL144" i="38" s="1"/>
  <c r="BP144" i="38" s="1"/>
  <c r="AN117" i="38"/>
  <c r="AP117" i="38" s="1"/>
  <c r="AQ117" i="38" s="1"/>
  <c r="G118" i="40" s="1"/>
  <c r="DY157" i="14"/>
  <c r="AN75" i="38"/>
  <c r="AP75" i="38" s="1"/>
  <c r="AQ75" i="38" s="1"/>
  <c r="G76" i="40" s="1"/>
  <c r="EC157" i="14"/>
  <c r="ED157" i="14" s="1"/>
  <c r="EF157" i="14" s="1"/>
  <c r="FK157" i="14" s="1"/>
  <c r="EF86" i="14"/>
  <c r="FK86" i="14" s="1"/>
  <c r="GD86" i="14" s="1"/>
  <c r="EF85" i="14"/>
  <c r="AG143" i="15"/>
  <c r="BL141" i="38" s="1"/>
  <c r="BP141" i="38" s="1"/>
  <c r="AB144" i="38"/>
  <c r="AM144" i="38" s="1"/>
  <c r="AN144" i="38" s="1"/>
  <c r="EC141" i="14"/>
  <c r="ED141" i="14" s="1"/>
  <c r="EE141" i="14" s="1"/>
  <c r="AB141" i="38"/>
  <c r="AM141" i="38" s="1"/>
  <c r="AO141" i="38" s="1"/>
  <c r="AS61" i="38"/>
  <c r="AU61" i="38" s="1"/>
  <c r="AV61" i="38" s="1"/>
  <c r="H62" i="40" s="1"/>
  <c r="DY160" i="14"/>
  <c r="AG109" i="15"/>
  <c r="BL107" i="38" s="1"/>
  <c r="BP107" i="38" s="1"/>
  <c r="AO81" i="38"/>
  <c r="AP81" i="38" s="1"/>
  <c r="AQ81" i="38" s="1"/>
  <c r="G82" i="40" s="1"/>
  <c r="AR137" i="38"/>
  <c r="AT137" i="38" s="1"/>
  <c r="AA129" i="38"/>
  <c r="AB129" i="38" s="1"/>
  <c r="AM129" i="38" s="1"/>
  <c r="AN129" i="38" s="1"/>
  <c r="AM68" i="38"/>
  <c r="AO68" i="38" s="1"/>
  <c r="AS77" i="38"/>
  <c r="AU77" i="38" s="1"/>
  <c r="AV77" i="38" s="1"/>
  <c r="H78" i="40" s="1"/>
  <c r="AR136" i="38"/>
  <c r="AT136" i="38" s="1"/>
  <c r="FJ97" i="14"/>
  <c r="EC145" i="14"/>
  <c r="ED145" i="14" s="1"/>
  <c r="EE145" i="14" s="1"/>
  <c r="EG130" i="14"/>
  <c r="HM130" i="14" s="1"/>
  <c r="DY140" i="14"/>
  <c r="AI131" i="15"/>
  <c r="BM129" i="38" s="1"/>
  <c r="BQ129" i="38" s="1"/>
  <c r="AO119" i="38"/>
  <c r="AP119" i="38" s="1"/>
  <c r="AQ119" i="38" s="1"/>
  <c r="G120" i="40" s="1"/>
  <c r="AN61" i="38"/>
  <c r="AP61" i="38" s="1"/>
  <c r="AQ61" i="38" s="1"/>
  <c r="G62" i="40" s="1"/>
  <c r="AO116" i="38"/>
  <c r="AP116" i="38" s="1"/>
  <c r="AQ116" i="38" s="1"/>
  <c r="G117" i="40" s="1"/>
  <c r="EG78" i="14"/>
  <c r="GW78" i="14" s="1"/>
  <c r="GZ78" i="14" s="1"/>
  <c r="HA78" i="14" s="1"/>
  <c r="HB78" i="14" s="1"/>
  <c r="HC78" i="14" s="1"/>
  <c r="EG92" i="14"/>
  <c r="GW92" i="14" s="1"/>
  <c r="GZ92" i="14" s="1"/>
  <c r="HA92" i="14" s="1"/>
  <c r="HB92" i="14" s="1"/>
  <c r="HC92" i="14" s="1"/>
  <c r="EC140" i="14"/>
  <c r="ED140" i="14" s="1"/>
  <c r="EF140" i="14" s="1"/>
  <c r="FK140" i="14" s="1"/>
  <c r="Y107" i="38"/>
  <c r="AB107" i="38" s="1"/>
  <c r="AM107" i="38" s="1"/>
  <c r="AO107" i="38" s="1"/>
  <c r="AO56" i="38"/>
  <c r="AP56" i="38" s="1"/>
  <c r="AQ56" i="38" s="1"/>
  <c r="G57" i="40" s="1"/>
  <c r="AO51" i="38"/>
  <c r="AP51" i="38" s="1"/>
  <c r="AQ51" i="38" s="1"/>
  <c r="G52" i="40" s="1"/>
  <c r="AS57" i="38"/>
  <c r="AU57" i="38" s="1"/>
  <c r="AV57" i="38" s="1"/>
  <c r="H58" i="40" s="1"/>
  <c r="AI127" i="15"/>
  <c r="BM125" i="38" s="1"/>
  <c r="BQ125" i="38" s="1"/>
  <c r="FJ76" i="14"/>
  <c r="DY141" i="14"/>
  <c r="EC123" i="14"/>
  <c r="ED123" i="14" s="1"/>
  <c r="EF123" i="14" s="1"/>
  <c r="FK123" i="14" s="1"/>
  <c r="GD123" i="14" s="1"/>
  <c r="AA124" i="38"/>
  <c r="AB124" i="38" s="1"/>
  <c r="AM124" i="38" s="1"/>
  <c r="AN124" i="38" s="1"/>
  <c r="EG96" i="14"/>
  <c r="EM96" i="14" s="1"/>
  <c r="EP96" i="14" s="1"/>
  <c r="EQ96" i="14" s="1"/>
  <c r="ER96" i="14" s="1"/>
  <c r="DY152" i="14"/>
  <c r="AO57" i="38"/>
  <c r="AP57" i="38" s="1"/>
  <c r="AQ57" i="38" s="1"/>
  <c r="G58" i="40" s="1"/>
  <c r="AS49" i="38"/>
  <c r="AU49" i="38" s="1"/>
  <c r="AV49" i="38" s="1"/>
  <c r="H50" i="40" s="1"/>
  <c r="AS82" i="38"/>
  <c r="AU82" i="38" s="1"/>
  <c r="AV82" i="38" s="1"/>
  <c r="H83" i="40" s="1"/>
  <c r="EC152" i="14"/>
  <c r="ED152" i="14" s="1"/>
  <c r="EE152" i="14" s="1"/>
  <c r="AG115" i="15"/>
  <c r="BL113" i="38" s="1"/>
  <c r="BP113" i="38" s="1"/>
  <c r="AS89" i="38"/>
  <c r="AU89" i="38" s="1"/>
  <c r="AV89" i="38" s="1"/>
  <c r="H90" i="40" s="1"/>
  <c r="AS58" i="38"/>
  <c r="AU58" i="38" s="1"/>
  <c r="AV58" i="38" s="1"/>
  <c r="H59" i="40" s="1"/>
  <c r="DY127" i="14"/>
  <c r="AM67" i="38"/>
  <c r="AO67" i="38" s="1"/>
  <c r="AG129" i="15"/>
  <c r="BL127" i="38" s="1"/>
  <c r="BP127" i="38" s="1"/>
  <c r="DY143" i="14"/>
  <c r="AN88" i="38"/>
  <c r="AP88" i="38" s="1"/>
  <c r="AQ88" i="38" s="1"/>
  <c r="G89" i="40" s="1"/>
  <c r="AO47" i="38"/>
  <c r="AP47" i="38" s="1"/>
  <c r="AQ47" i="38" s="1"/>
  <c r="G48" i="40" s="1"/>
  <c r="AG134" i="15"/>
  <c r="BL132" i="38" s="1"/>
  <c r="BP132" i="38" s="1"/>
  <c r="DY144" i="14"/>
  <c r="EF81" i="14"/>
  <c r="FK81" i="14" s="1"/>
  <c r="GD81" i="14" s="1"/>
  <c r="AO74" i="38"/>
  <c r="AP74" i="38" s="1"/>
  <c r="AQ74" i="38" s="1"/>
  <c r="G75" i="40" s="1"/>
  <c r="FJ137" i="14"/>
  <c r="AB128" i="38"/>
  <c r="AM128" i="38" s="1"/>
  <c r="AO128" i="38" s="1"/>
  <c r="AG130" i="15"/>
  <c r="BL128" i="38" s="1"/>
  <c r="BP128" i="38" s="1"/>
  <c r="EG79" i="14"/>
  <c r="EU79" i="14" s="1"/>
  <c r="DY129" i="14"/>
  <c r="Y113" i="38"/>
  <c r="AB113" i="38" s="1"/>
  <c r="AM113" i="38" s="1"/>
  <c r="AO113" i="38" s="1"/>
  <c r="AO114" i="38"/>
  <c r="AP114" i="38" s="1"/>
  <c r="AQ114" i="38" s="1"/>
  <c r="G115" i="40" s="1"/>
  <c r="DY148" i="14"/>
  <c r="Y109" i="38"/>
  <c r="AB109" i="38" s="1"/>
  <c r="AM109" i="38" s="1"/>
  <c r="AO109" i="38" s="1"/>
  <c r="Y111" i="38"/>
  <c r="AB111" i="38" s="1"/>
  <c r="AM111" i="38" s="1"/>
  <c r="AO111" i="38" s="1"/>
  <c r="AM72" i="38"/>
  <c r="AO72" i="38" s="1"/>
  <c r="AG111" i="15"/>
  <c r="BL109" i="38" s="1"/>
  <c r="BP109" i="38" s="1"/>
  <c r="EG136" i="14"/>
  <c r="HM136" i="14" s="1"/>
  <c r="DY125" i="14"/>
  <c r="AG113" i="15"/>
  <c r="BL111" i="38" s="1"/>
  <c r="BP111" i="38" s="1"/>
  <c r="AM70" i="38"/>
  <c r="AO70" i="38" s="1"/>
  <c r="AN102" i="38"/>
  <c r="AP102" i="38" s="1"/>
  <c r="AQ102" i="38" s="1"/>
  <c r="G103" i="40" s="1"/>
  <c r="AS119" i="38"/>
  <c r="AU119" i="38" s="1"/>
  <c r="AV119" i="38" s="1"/>
  <c r="H120" i="40" s="1"/>
  <c r="AS78" i="38"/>
  <c r="AU78" i="38" s="1"/>
  <c r="AV78" i="38" s="1"/>
  <c r="H79" i="40" s="1"/>
  <c r="EC120" i="14"/>
  <c r="ED120" i="14" s="1"/>
  <c r="EE120" i="14" s="1"/>
  <c r="FJ120" i="14" s="1"/>
  <c r="AS44" i="38"/>
  <c r="AU44" i="38" s="1"/>
  <c r="AV44" i="38" s="1"/>
  <c r="H45" i="40" s="1"/>
  <c r="FJ98" i="14"/>
  <c r="FW98" i="14" s="1"/>
  <c r="EG94" i="14"/>
  <c r="FC94" i="14" s="1"/>
  <c r="AM138" i="38"/>
  <c r="AO138" i="38" s="1"/>
  <c r="BR72" i="38"/>
  <c r="BV72" i="38" s="1"/>
  <c r="BW72" i="38" s="1"/>
  <c r="BX72" i="38" s="1"/>
  <c r="BY72" i="38" s="1"/>
  <c r="BZ72" i="38" s="1"/>
  <c r="CA72" i="38" s="1"/>
  <c r="CB72" i="38" s="1"/>
  <c r="CC72" i="38" s="1"/>
  <c r="CD72" i="38" s="1"/>
  <c r="AO93" i="38"/>
  <c r="AP93" i="38" s="1"/>
  <c r="AQ93" i="38" s="1"/>
  <c r="G94" i="40" s="1"/>
  <c r="EF127" i="14"/>
  <c r="FK127" i="14" s="1"/>
  <c r="GD127" i="14" s="1"/>
  <c r="EG70" i="14"/>
  <c r="EU70" i="14" s="1"/>
  <c r="AO76" i="38"/>
  <c r="AP76" i="38" s="1"/>
  <c r="AQ76" i="38" s="1"/>
  <c r="G77" i="40" s="1"/>
  <c r="AN123" i="38"/>
  <c r="AP123" i="38" s="1"/>
  <c r="AQ123" i="38" s="1"/>
  <c r="G124" i="40" s="1"/>
  <c r="AN94" i="38"/>
  <c r="AP94" i="38" s="1"/>
  <c r="AQ94" i="38" s="1"/>
  <c r="G95" i="40" s="1"/>
  <c r="AO101" i="38"/>
  <c r="AP101" i="38" s="1"/>
  <c r="AQ101" i="38" s="1"/>
  <c r="G102" i="40" s="1"/>
  <c r="AN86" i="38"/>
  <c r="AP86" i="38" s="1"/>
  <c r="AQ86" i="38" s="1"/>
  <c r="G87" i="40" s="1"/>
  <c r="O19" i="15"/>
  <c r="W12" i="46" s="1"/>
  <c r="AO99" i="38"/>
  <c r="AP99" i="38" s="1"/>
  <c r="AQ99" i="38" s="1"/>
  <c r="G100" i="40" s="1"/>
  <c r="AS91" i="38"/>
  <c r="AU91" i="38" s="1"/>
  <c r="AV91" i="38" s="1"/>
  <c r="H92" i="40" s="1"/>
  <c r="FJ72" i="14"/>
  <c r="Y105" i="38"/>
  <c r="AB105" i="38" s="1"/>
  <c r="AM105" i="38" s="1"/>
  <c r="AO105" i="38" s="1"/>
  <c r="AM71" i="38"/>
  <c r="AO71" i="38" s="1"/>
  <c r="EG74" i="14"/>
  <c r="FC74" i="14" s="1"/>
  <c r="AG107" i="15"/>
  <c r="BL105" i="38" s="1"/>
  <c r="BP105" i="38" s="1"/>
  <c r="DY121" i="14"/>
  <c r="AG106" i="15"/>
  <c r="BL104" i="38" s="1"/>
  <c r="BP104" i="38" s="1"/>
  <c r="EC122" i="14"/>
  <c r="ED122" i="14" s="1"/>
  <c r="EE122" i="14" s="1"/>
  <c r="FJ122" i="14" s="1"/>
  <c r="DY120" i="14"/>
  <c r="DY122" i="14"/>
  <c r="BW44" i="38"/>
  <c r="BR71" i="38"/>
  <c r="BV71" i="38" s="1"/>
  <c r="EF83" i="14"/>
  <c r="FK83" i="14" s="1"/>
  <c r="GD83" i="14" s="1"/>
  <c r="EE83" i="14"/>
  <c r="AM112" i="38"/>
  <c r="AO112" i="38" s="1"/>
  <c r="AS123" i="38"/>
  <c r="AU123" i="38" s="1"/>
  <c r="AV123" i="38" s="1"/>
  <c r="H124" i="40" s="1"/>
  <c r="AO54" i="38"/>
  <c r="AP54" i="38" s="1"/>
  <c r="AQ54" i="38" s="1"/>
  <c r="G55" i="40" s="1"/>
  <c r="FJ77" i="14"/>
  <c r="EE87" i="14"/>
  <c r="EF87" i="14"/>
  <c r="FK87" i="14" s="1"/>
  <c r="GD87" i="14" s="1"/>
  <c r="AN44" i="38"/>
  <c r="AP44" i="38" s="1"/>
  <c r="AQ44" i="38" s="1"/>
  <c r="G45" i="40" s="1"/>
  <c r="AS140" i="38"/>
  <c r="AU140" i="38" s="1"/>
  <c r="AV140" i="38" s="1"/>
  <c r="H141" i="40" s="1"/>
  <c r="AS112" i="38"/>
  <c r="AU112" i="38" s="1"/>
  <c r="AV112" i="38" s="1"/>
  <c r="H113" i="40" s="1"/>
  <c r="AS111" i="38"/>
  <c r="AU111" i="38" s="1"/>
  <c r="AV111" i="38" s="1"/>
  <c r="H112" i="40" s="1"/>
  <c r="EE129" i="14"/>
  <c r="FJ129" i="14" s="1"/>
  <c r="BR126" i="38"/>
  <c r="BV126" i="38" s="1"/>
  <c r="BR138" i="38"/>
  <c r="BV138" i="38" s="1"/>
  <c r="AS69" i="38"/>
  <c r="AU69" i="38" s="1"/>
  <c r="AV69" i="38" s="1"/>
  <c r="H70" i="40" s="1"/>
  <c r="AS124" i="38"/>
  <c r="AU124" i="38" s="1"/>
  <c r="AV124" i="38" s="1"/>
  <c r="H125" i="40" s="1"/>
  <c r="AS110" i="38"/>
  <c r="AU110" i="38" s="1"/>
  <c r="AV110" i="38" s="1"/>
  <c r="H111" i="40" s="1"/>
  <c r="AS107" i="38"/>
  <c r="AU107" i="38" s="1"/>
  <c r="AV107" i="38" s="1"/>
  <c r="H108" i="40" s="1"/>
  <c r="AS105" i="38"/>
  <c r="AU105" i="38" s="1"/>
  <c r="AV105" i="38" s="1"/>
  <c r="H106" i="40" s="1"/>
  <c r="AS132" i="38"/>
  <c r="AU132" i="38" s="1"/>
  <c r="AV132" i="38" s="1"/>
  <c r="H133" i="40" s="1"/>
  <c r="AS113" i="38"/>
  <c r="AU113" i="38" s="1"/>
  <c r="AV113" i="38" s="1"/>
  <c r="H114" i="40" s="1"/>
  <c r="AS126" i="38"/>
  <c r="AU126" i="38" s="1"/>
  <c r="AV126" i="38" s="1"/>
  <c r="H127" i="40" s="1"/>
  <c r="AO46" i="38"/>
  <c r="AP46" i="38" s="1"/>
  <c r="AQ46" i="38" s="1"/>
  <c r="G47" i="40" s="1"/>
  <c r="AO53" i="38"/>
  <c r="AP53" i="38" s="1"/>
  <c r="AQ53" i="38" s="1"/>
  <c r="G54" i="40" s="1"/>
  <c r="AS142" i="38"/>
  <c r="AU142" i="38" s="1"/>
  <c r="AV142" i="38" s="1"/>
  <c r="H143" i="40" s="1"/>
  <c r="AS131" i="38"/>
  <c r="AU131" i="38" s="1"/>
  <c r="AV131" i="38" s="1"/>
  <c r="H132" i="40" s="1"/>
  <c r="AS109" i="38"/>
  <c r="AU109" i="38" s="1"/>
  <c r="AV109" i="38" s="1"/>
  <c r="H110" i="40" s="1"/>
  <c r="AS120" i="38"/>
  <c r="AU120" i="38" s="1"/>
  <c r="AV120" i="38" s="1"/>
  <c r="H121" i="40" s="1"/>
  <c r="AS106" i="38"/>
  <c r="AU106" i="38" s="1"/>
  <c r="AV106" i="38" s="1"/>
  <c r="H107" i="40" s="1"/>
  <c r="AO49" i="38"/>
  <c r="AP49" i="38" s="1"/>
  <c r="AQ49" i="38" s="1"/>
  <c r="G50" i="40" s="1"/>
  <c r="AS127" i="38"/>
  <c r="AU127" i="38" s="1"/>
  <c r="AV127" i="38" s="1"/>
  <c r="H128" i="40" s="1"/>
  <c r="AS134" i="38"/>
  <c r="AU134" i="38" s="1"/>
  <c r="AV134" i="38" s="1"/>
  <c r="H135" i="40" s="1"/>
  <c r="AO103" i="38"/>
  <c r="AP103" i="38" s="1"/>
  <c r="AQ103" i="38" s="1"/>
  <c r="G104" i="40" s="1"/>
  <c r="AS139" i="38"/>
  <c r="AU139" i="38" s="1"/>
  <c r="AV139" i="38" s="1"/>
  <c r="H140" i="40" s="1"/>
  <c r="AO59" i="38"/>
  <c r="AP59" i="38" s="1"/>
  <c r="AQ59" i="38" s="1"/>
  <c r="G60" i="40" s="1"/>
  <c r="AS108" i="38"/>
  <c r="AU108" i="38" s="1"/>
  <c r="AV108" i="38" s="1"/>
  <c r="H109" i="40" s="1"/>
  <c r="AS138" i="38"/>
  <c r="AU138" i="38" s="1"/>
  <c r="AV138" i="38" s="1"/>
  <c r="H139" i="40" s="1"/>
  <c r="AS70" i="38"/>
  <c r="AU70" i="38" s="1"/>
  <c r="AV70" i="38" s="1"/>
  <c r="H71" i="40" s="1"/>
  <c r="AS66" i="38"/>
  <c r="AU66" i="38" s="1"/>
  <c r="AV66" i="38" s="1"/>
  <c r="H67" i="40" s="1"/>
  <c r="AS72" i="38"/>
  <c r="AU72" i="38" s="1"/>
  <c r="AV72" i="38" s="1"/>
  <c r="H73" i="40" s="1"/>
  <c r="AN69" i="38"/>
  <c r="AP69" i="38" s="1"/>
  <c r="AQ69" i="38" s="1"/>
  <c r="G70" i="40" s="1"/>
  <c r="AS71" i="38"/>
  <c r="AU71" i="38" s="1"/>
  <c r="AV71" i="38" s="1"/>
  <c r="H72" i="40" s="1"/>
  <c r="AS67" i="38"/>
  <c r="AU67" i="38" s="1"/>
  <c r="AV67" i="38" s="1"/>
  <c r="H68" i="40" s="1"/>
  <c r="AS65" i="38"/>
  <c r="AU65" i="38" s="1"/>
  <c r="AV65" i="38" s="1"/>
  <c r="H66" i="40" s="1"/>
  <c r="AS64" i="38"/>
  <c r="AU64" i="38" s="1"/>
  <c r="AV64" i="38" s="1"/>
  <c r="H65" i="40" s="1"/>
  <c r="AS73" i="38"/>
  <c r="AU73" i="38" s="1"/>
  <c r="AV73" i="38" s="1"/>
  <c r="H74" i="40" s="1"/>
  <c r="AS68" i="38"/>
  <c r="AU68" i="38" s="1"/>
  <c r="AV68" i="38" s="1"/>
  <c r="H69" i="40" s="1"/>
  <c r="AN120" i="38"/>
  <c r="AP120" i="38" s="1"/>
  <c r="AQ120" i="38" s="1"/>
  <c r="G121" i="40" s="1"/>
  <c r="AN106" i="38"/>
  <c r="AP106" i="38" s="1"/>
  <c r="AQ106" i="38" s="1"/>
  <c r="G107" i="40" s="1"/>
  <c r="AN65" i="38"/>
  <c r="AP65" i="38" s="1"/>
  <c r="AQ65" i="38" s="1"/>
  <c r="G66" i="40" s="1"/>
  <c r="EF125" i="14"/>
  <c r="FK125" i="14" s="1"/>
  <c r="GD125" i="14" s="1"/>
  <c r="EG75" i="14"/>
  <c r="GW75" i="14" s="1"/>
  <c r="GZ75" i="14" s="1"/>
  <c r="HA75" i="14" s="1"/>
  <c r="HB75" i="14" s="1"/>
  <c r="HC75" i="14" s="1"/>
  <c r="EF121" i="14"/>
  <c r="FK121" i="14" s="1"/>
  <c r="GD121" i="14" s="1"/>
  <c r="FW72" i="14"/>
  <c r="FW83" i="14"/>
  <c r="GB63" i="14"/>
  <c r="GE63" i="14"/>
  <c r="FT79" i="14"/>
  <c r="FW79" i="14"/>
  <c r="FT61" i="14"/>
  <c r="FW61" i="14"/>
  <c r="GB66" i="14"/>
  <c r="GE66" i="14"/>
  <c r="FU88" i="14"/>
  <c r="FW88" i="14"/>
  <c r="GB64" i="14"/>
  <c r="GE64" i="14"/>
  <c r="FU104" i="14"/>
  <c r="FW104" i="14"/>
  <c r="FU107" i="14"/>
  <c r="FW107" i="14"/>
  <c r="FW76" i="14"/>
  <c r="GB65" i="14"/>
  <c r="GE65" i="14"/>
  <c r="FW77" i="14"/>
  <c r="FT82" i="14"/>
  <c r="FW82" i="14"/>
  <c r="FW84" i="14"/>
  <c r="FT71" i="14"/>
  <c r="FW71" i="14"/>
  <c r="GB68" i="14"/>
  <c r="GE68" i="14"/>
  <c r="FV130" i="14"/>
  <c r="FW130" i="14"/>
  <c r="FU92" i="14"/>
  <c r="FW92" i="14"/>
  <c r="FU109" i="14"/>
  <c r="FW109" i="14"/>
  <c r="FU101" i="14"/>
  <c r="FW101" i="14"/>
  <c r="GD114" i="14"/>
  <c r="GE114" i="14"/>
  <c r="FW99" i="14"/>
  <c r="FT75" i="14"/>
  <c r="FW75" i="14"/>
  <c r="GD110" i="14"/>
  <c r="GE110" i="14"/>
  <c r="FU93" i="14"/>
  <c r="FW93" i="14"/>
  <c r="FT74" i="14"/>
  <c r="FW74" i="14"/>
  <c r="FW97" i="14"/>
  <c r="GD115" i="14"/>
  <c r="GE115" i="14"/>
  <c r="GB69" i="14"/>
  <c r="GE69" i="14"/>
  <c r="GB67" i="14"/>
  <c r="GE67" i="14"/>
  <c r="GD113" i="14"/>
  <c r="GE113" i="14"/>
  <c r="GD129" i="14"/>
  <c r="GE129" i="14"/>
  <c r="GE128" i="14"/>
  <c r="GB61" i="14"/>
  <c r="GE61" i="14"/>
  <c r="FU85" i="14"/>
  <c r="FW85" i="14"/>
  <c r="GB60" i="14"/>
  <c r="GE60" i="14"/>
  <c r="FU86" i="14"/>
  <c r="FW86" i="14"/>
  <c r="GB62" i="14"/>
  <c r="GE62" i="14"/>
  <c r="FU94" i="14"/>
  <c r="FW94" i="14"/>
  <c r="GD111" i="14"/>
  <c r="GE111" i="14"/>
  <c r="FU103" i="14"/>
  <c r="FW103" i="14"/>
  <c r="FU106" i="14"/>
  <c r="FW106" i="14"/>
  <c r="FU96" i="14"/>
  <c r="FW96" i="14"/>
  <c r="GD116" i="14"/>
  <c r="GE116" i="14"/>
  <c r="FW91" i="14"/>
  <c r="FU108" i="14"/>
  <c r="FW108" i="14"/>
  <c r="FW131" i="14"/>
  <c r="FW87" i="14"/>
  <c r="FT78" i="14"/>
  <c r="FW78" i="14"/>
  <c r="FV133" i="14"/>
  <c r="FW133" i="14"/>
  <c r="FV132" i="14"/>
  <c r="FW132" i="14"/>
  <c r="GD118" i="14"/>
  <c r="GE118" i="14"/>
  <c r="FU105" i="14"/>
  <c r="FW105" i="14"/>
  <c r="FU90" i="14"/>
  <c r="FW90" i="14"/>
  <c r="GD112" i="14"/>
  <c r="GE112" i="14"/>
  <c r="FW95" i="14"/>
  <c r="FT80" i="14"/>
  <c r="FW80" i="14"/>
  <c r="FT73" i="14"/>
  <c r="FW73" i="14"/>
  <c r="FU89" i="14"/>
  <c r="FW89" i="14"/>
  <c r="FT81" i="14"/>
  <c r="FW81" i="14"/>
  <c r="GD119" i="14"/>
  <c r="GE119" i="14"/>
  <c r="GD117" i="14"/>
  <c r="GE117" i="14"/>
  <c r="FU102" i="14"/>
  <c r="FW102" i="14"/>
  <c r="EF142" i="14"/>
  <c r="FK142" i="14" s="1"/>
  <c r="EE142" i="14"/>
  <c r="FJ127" i="14"/>
  <c r="EU100" i="14"/>
  <c r="FC100" i="14"/>
  <c r="HE100" i="14"/>
  <c r="GW100" i="14"/>
  <c r="GZ100" i="14" s="1"/>
  <c r="HA100" i="14" s="1"/>
  <c r="HB100" i="14" s="1"/>
  <c r="HC100" i="14" s="1"/>
  <c r="HM100" i="14"/>
  <c r="EM100" i="14"/>
  <c r="EP100" i="14" s="1"/>
  <c r="EQ100" i="14" s="1"/>
  <c r="ER100" i="14" s="1"/>
  <c r="EJ100" i="14"/>
  <c r="FJ117" i="14"/>
  <c r="FU117" i="14" s="1"/>
  <c r="EG117" i="14"/>
  <c r="HM91" i="14"/>
  <c r="EU91" i="14"/>
  <c r="HE91" i="14"/>
  <c r="FC91" i="14"/>
  <c r="EM91" i="14"/>
  <c r="EP91" i="14" s="1"/>
  <c r="EQ91" i="14" s="1"/>
  <c r="ER91" i="14" s="1"/>
  <c r="GW91" i="14"/>
  <c r="GZ91" i="14" s="1"/>
  <c r="HA91" i="14" s="1"/>
  <c r="HB91" i="14" s="1"/>
  <c r="HC91" i="14" s="1"/>
  <c r="EJ91" i="14"/>
  <c r="FC95" i="14"/>
  <c r="GW95" i="14"/>
  <c r="GZ95" i="14" s="1"/>
  <c r="HA95" i="14" s="1"/>
  <c r="HB95" i="14" s="1"/>
  <c r="HC95" i="14" s="1"/>
  <c r="HM95" i="14"/>
  <c r="EM95" i="14"/>
  <c r="EP95" i="14" s="1"/>
  <c r="EQ95" i="14" s="1"/>
  <c r="ER95" i="14" s="1"/>
  <c r="EU95" i="14"/>
  <c r="HE95" i="14"/>
  <c r="EJ95" i="14"/>
  <c r="EG111" i="14"/>
  <c r="FJ111" i="14"/>
  <c r="FU111" i="14" s="1"/>
  <c r="EE154" i="14"/>
  <c r="EF154" i="14"/>
  <c r="FK154" i="14" s="1"/>
  <c r="EG116" i="14"/>
  <c r="FJ116" i="14"/>
  <c r="FU116" i="14" s="1"/>
  <c r="EU134" i="14"/>
  <c r="FC134" i="14"/>
  <c r="EM134" i="14"/>
  <c r="EP134" i="14" s="1"/>
  <c r="EQ134" i="14" s="1"/>
  <c r="ER134" i="14" s="1"/>
  <c r="HM134" i="14"/>
  <c r="HE134" i="14"/>
  <c r="GW134" i="14"/>
  <c r="GZ134" i="14" s="1"/>
  <c r="HA134" i="14" s="1"/>
  <c r="HB134" i="14" s="1"/>
  <c r="HC134" i="14" s="1"/>
  <c r="EJ134" i="14"/>
  <c r="HM99" i="14"/>
  <c r="EM99" i="14"/>
  <c r="EP99" i="14" s="1"/>
  <c r="EQ99" i="14" s="1"/>
  <c r="ER99" i="14" s="1"/>
  <c r="EU99" i="14"/>
  <c r="GW99" i="14"/>
  <c r="GZ99" i="14" s="1"/>
  <c r="HA99" i="14" s="1"/>
  <c r="HB99" i="14" s="1"/>
  <c r="HC99" i="14" s="1"/>
  <c r="FC99" i="14"/>
  <c r="HE99" i="14"/>
  <c r="EJ99" i="14"/>
  <c r="EG113" i="14"/>
  <c r="FJ113" i="14"/>
  <c r="FU113" i="14" s="1"/>
  <c r="FJ118" i="14"/>
  <c r="FU118" i="14" s="1"/>
  <c r="EG118" i="14"/>
  <c r="FJ128" i="14"/>
  <c r="FJ121" i="14"/>
  <c r="GW139" i="14"/>
  <c r="GZ139" i="14" s="1"/>
  <c r="HA139" i="14" s="1"/>
  <c r="HB139" i="14" s="1"/>
  <c r="HC139" i="14" s="1"/>
  <c r="HE139" i="14"/>
  <c r="EM139" i="14"/>
  <c r="EP139" i="14" s="1"/>
  <c r="EQ139" i="14" s="1"/>
  <c r="ER139" i="14" s="1"/>
  <c r="EU139" i="14"/>
  <c r="FC139" i="14"/>
  <c r="HM139" i="14"/>
  <c r="EJ139" i="14"/>
  <c r="GW98" i="14"/>
  <c r="GZ98" i="14" s="1"/>
  <c r="HA98" i="14" s="1"/>
  <c r="HB98" i="14" s="1"/>
  <c r="HC98" i="14" s="1"/>
  <c r="FC98" i="14"/>
  <c r="EU98" i="14"/>
  <c r="EM98" i="14"/>
  <c r="EP98" i="14" s="1"/>
  <c r="EQ98" i="14" s="1"/>
  <c r="ER98" i="14" s="1"/>
  <c r="HM98" i="14"/>
  <c r="HE98" i="14"/>
  <c r="EJ98" i="14"/>
  <c r="EG115" i="14"/>
  <c r="FJ115" i="14"/>
  <c r="FU115" i="14" s="1"/>
  <c r="FJ114" i="14"/>
  <c r="FU114" i="14" s="1"/>
  <c r="EG114" i="14"/>
  <c r="FJ112" i="14"/>
  <c r="FU112" i="14" s="1"/>
  <c r="EG112" i="14"/>
  <c r="EM108" i="14"/>
  <c r="EP108" i="14" s="1"/>
  <c r="EQ108" i="14" s="1"/>
  <c r="ER108" i="14" s="1"/>
  <c r="GW108" i="14"/>
  <c r="GZ108" i="14" s="1"/>
  <c r="HA108" i="14" s="1"/>
  <c r="HB108" i="14" s="1"/>
  <c r="HC108" i="14" s="1"/>
  <c r="EU108" i="14"/>
  <c r="HM108" i="14"/>
  <c r="FC108" i="14"/>
  <c r="HE108" i="14"/>
  <c r="EJ108" i="14"/>
  <c r="FJ119" i="14"/>
  <c r="FU119" i="14" s="1"/>
  <c r="EG119" i="14"/>
  <c r="EG110" i="14"/>
  <c r="FJ110" i="14"/>
  <c r="FU110" i="14" s="1"/>
  <c r="GW101" i="14"/>
  <c r="GZ101" i="14" s="1"/>
  <c r="HA101" i="14" s="1"/>
  <c r="HB101" i="14" s="1"/>
  <c r="HC101" i="14" s="1"/>
  <c r="EM101" i="14"/>
  <c r="EP101" i="14" s="1"/>
  <c r="EQ101" i="14" s="1"/>
  <c r="ER101" i="14" s="1"/>
  <c r="FC101" i="14"/>
  <c r="HE101" i="14"/>
  <c r="HM101" i="14"/>
  <c r="EU101" i="14"/>
  <c r="EJ101" i="14"/>
  <c r="HE97" i="14"/>
  <c r="EU97" i="14"/>
  <c r="GW97" i="14"/>
  <c r="GZ97" i="14" s="1"/>
  <c r="HA97" i="14" s="1"/>
  <c r="HB97" i="14" s="1"/>
  <c r="HC97" i="14" s="1"/>
  <c r="EM97" i="14"/>
  <c r="EP97" i="14" s="1"/>
  <c r="EQ97" i="14" s="1"/>
  <c r="ER97" i="14" s="1"/>
  <c r="HM97" i="14"/>
  <c r="FC97" i="14"/>
  <c r="EJ97" i="14"/>
  <c r="FJ125" i="14"/>
  <c r="GW137" i="14"/>
  <c r="GZ137" i="14" s="1"/>
  <c r="HA137" i="14" s="1"/>
  <c r="HB137" i="14" s="1"/>
  <c r="HC137" i="14" s="1"/>
  <c r="HM137" i="14"/>
  <c r="EM137" i="14"/>
  <c r="EP137" i="14" s="1"/>
  <c r="EQ137" i="14" s="1"/>
  <c r="ER137" i="14" s="1"/>
  <c r="FC137" i="14"/>
  <c r="HE137" i="14"/>
  <c r="EU137" i="14"/>
  <c r="EJ137" i="14"/>
  <c r="GW131" i="14"/>
  <c r="GZ131" i="14" s="1"/>
  <c r="HA131" i="14" s="1"/>
  <c r="HB131" i="14" s="1"/>
  <c r="HC131" i="14" s="1"/>
  <c r="EM131" i="14"/>
  <c r="EP131" i="14" s="1"/>
  <c r="EQ131" i="14" s="1"/>
  <c r="ER131" i="14" s="1"/>
  <c r="HM131" i="14"/>
  <c r="HE131" i="14"/>
  <c r="FC131" i="14"/>
  <c r="EU131" i="14"/>
  <c r="EJ131" i="14"/>
  <c r="EG61" i="14"/>
  <c r="EU61" i="14" s="1"/>
  <c r="FJ63" i="14"/>
  <c r="EG63" i="14"/>
  <c r="FJ65" i="14"/>
  <c r="FU65" i="14" s="1"/>
  <c r="EG65" i="14"/>
  <c r="EG66" i="14"/>
  <c r="FJ66" i="14"/>
  <c r="FU66" i="14" s="1"/>
  <c r="EG67" i="14"/>
  <c r="FJ67" i="14"/>
  <c r="FU67" i="14" s="1"/>
  <c r="HM76" i="14"/>
  <c r="EU76" i="14"/>
  <c r="FC76" i="14"/>
  <c r="HE76" i="14"/>
  <c r="GW76" i="14"/>
  <c r="GZ76" i="14" s="1"/>
  <c r="HA76" i="14" s="1"/>
  <c r="HB76" i="14" s="1"/>
  <c r="HC76" i="14" s="1"/>
  <c r="EJ76" i="14"/>
  <c r="EM76" i="14"/>
  <c r="EP76" i="14" s="1"/>
  <c r="EQ76" i="14" s="1"/>
  <c r="ER76" i="14" s="1"/>
  <c r="FJ64" i="14"/>
  <c r="EG64" i="14"/>
  <c r="FJ62" i="14"/>
  <c r="EG62" i="14"/>
  <c r="HE77" i="14"/>
  <c r="EJ77" i="14"/>
  <c r="FC77" i="14"/>
  <c r="EM77" i="14"/>
  <c r="EP77" i="14" s="1"/>
  <c r="EQ77" i="14" s="1"/>
  <c r="ER77" i="14" s="1"/>
  <c r="HM77" i="14"/>
  <c r="GW77" i="14"/>
  <c r="GZ77" i="14" s="1"/>
  <c r="HA77" i="14" s="1"/>
  <c r="HB77" i="14" s="1"/>
  <c r="HC77" i="14" s="1"/>
  <c r="EU77" i="14"/>
  <c r="EU72" i="14"/>
  <c r="HM72" i="14"/>
  <c r="EJ72" i="14"/>
  <c r="EM72" i="14"/>
  <c r="EP72" i="14" s="1"/>
  <c r="EQ72" i="14" s="1"/>
  <c r="ER72" i="14" s="1"/>
  <c r="HE72" i="14"/>
  <c r="FC72" i="14"/>
  <c r="GW72" i="14"/>
  <c r="GZ72" i="14" s="1"/>
  <c r="HA72" i="14" s="1"/>
  <c r="HB72" i="14" s="1"/>
  <c r="HC72" i="14" s="1"/>
  <c r="FJ69" i="14"/>
  <c r="FU69" i="14" s="1"/>
  <c r="EG69" i="14"/>
  <c r="FJ60" i="14"/>
  <c r="EG60" i="14"/>
  <c r="FJ68" i="14"/>
  <c r="FU68" i="14" s="1"/>
  <c r="EG68" i="14"/>
  <c r="GE143" i="14" l="1"/>
  <c r="GD143" i="14"/>
  <c r="GE144" i="14"/>
  <c r="GD144" i="14"/>
  <c r="GE140" i="14"/>
  <c r="GD140" i="14"/>
  <c r="GE142" i="14"/>
  <c r="GD142" i="14"/>
  <c r="GE121" i="14"/>
  <c r="GE123" i="14"/>
  <c r="FW134" i="14"/>
  <c r="AS128" i="38"/>
  <c r="AU128" i="38" s="1"/>
  <c r="AV128" i="38" s="1"/>
  <c r="H129" i="40" s="1"/>
  <c r="EF155" i="14"/>
  <c r="FK155" i="14" s="1"/>
  <c r="GE127" i="14"/>
  <c r="FW139" i="14"/>
  <c r="FV139" i="14"/>
  <c r="FW137" i="14"/>
  <c r="FV137" i="14"/>
  <c r="GE125" i="14"/>
  <c r="FU91" i="14"/>
  <c r="FV91" i="14"/>
  <c r="FU97" i="14"/>
  <c r="FV97" i="14"/>
  <c r="FU98" i="14"/>
  <c r="FV98" i="14"/>
  <c r="FU95" i="14"/>
  <c r="FV95" i="14"/>
  <c r="FU99" i="14"/>
  <c r="FV99" i="14"/>
  <c r="FU100" i="14"/>
  <c r="FV100" i="14"/>
  <c r="GC86" i="14"/>
  <c r="GB86" i="14"/>
  <c r="GC89" i="14"/>
  <c r="GB89" i="14"/>
  <c r="GC88" i="14"/>
  <c r="GB88" i="14"/>
  <c r="GC87" i="14"/>
  <c r="GB87" i="14"/>
  <c r="FT72" i="14"/>
  <c r="FU72" i="14"/>
  <c r="FT76" i="14"/>
  <c r="FU76" i="14"/>
  <c r="GB80" i="14"/>
  <c r="GC80" i="14"/>
  <c r="GB83" i="14"/>
  <c r="GC83" i="14"/>
  <c r="GB81" i="14"/>
  <c r="GC81" i="14"/>
  <c r="FT77" i="14"/>
  <c r="FU77" i="14"/>
  <c r="CW50" i="38"/>
  <c r="Z51" i="40"/>
  <c r="CW54" i="38"/>
  <c r="Z55" i="40"/>
  <c r="V28" i="46"/>
  <c r="EJ138" i="14"/>
  <c r="GW138" i="14"/>
  <c r="GZ138" i="14" s="1"/>
  <c r="HA138" i="14" s="1"/>
  <c r="HB138" i="14" s="1"/>
  <c r="HC138" i="14" s="1"/>
  <c r="HM138" i="14"/>
  <c r="AS125" i="38"/>
  <c r="AU125" i="38" s="1"/>
  <c r="AV125" i="38" s="1"/>
  <c r="H126" i="40" s="1"/>
  <c r="FC109" i="14"/>
  <c r="EM109" i="14"/>
  <c r="EP109" i="14" s="1"/>
  <c r="EQ109" i="14" s="1"/>
  <c r="ER109" i="14" s="1"/>
  <c r="FC138" i="14"/>
  <c r="HE138" i="14"/>
  <c r="HE109" i="14"/>
  <c r="HH109" i="14" s="1"/>
  <c r="HI109" i="14" s="1"/>
  <c r="HJ109" i="14" s="1"/>
  <c r="HK109" i="14" s="1"/>
  <c r="EU109" i="14"/>
  <c r="EJ109" i="14"/>
  <c r="HM109" i="14"/>
  <c r="EF159" i="14"/>
  <c r="FK159" i="14" s="1"/>
  <c r="GE159" i="14" s="1"/>
  <c r="EM138" i="14"/>
  <c r="EP138" i="14" s="1"/>
  <c r="EQ138" i="14" s="1"/>
  <c r="ER138" i="14" s="1"/>
  <c r="EM106" i="14"/>
  <c r="EP106" i="14" s="1"/>
  <c r="EQ106" i="14" s="1"/>
  <c r="ER106" i="14" s="1"/>
  <c r="EU102" i="14"/>
  <c r="FC102" i="14"/>
  <c r="EJ104" i="14"/>
  <c r="EM104" i="14"/>
  <c r="EP104" i="14" s="1"/>
  <c r="EQ104" i="14" s="1"/>
  <c r="ER104" i="14" s="1"/>
  <c r="HM104" i="14"/>
  <c r="GW104" i="14"/>
  <c r="GZ104" i="14" s="1"/>
  <c r="HA104" i="14" s="1"/>
  <c r="HB104" i="14" s="1"/>
  <c r="HC104" i="14" s="1"/>
  <c r="FC104" i="14"/>
  <c r="EJ102" i="14"/>
  <c r="HE104" i="14"/>
  <c r="GW102" i="14"/>
  <c r="GZ102" i="14" s="1"/>
  <c r="HA102" i="14" s="1"/>
  <c r="HB102" i="14" s="1"/>
  <c r="HC102" i="14" s="1"/>
  <c r="HH102" i="14" s="1"/>
  <c r="HI102" i="14" s="1"/>
  <c r="HJ102" i="14" s="1"/>
  <c r="HK102" i="14" s="1"/>
  <c r="EM102" i="14"/>
  <c r="EP102" i="14" s="1"/>
  <c r="EQ102" i="14" s="1"/>
  <c r="ER102" i="14" s="1"/>
  <c r="BR129" i="38"/>
  <c r="BV129" i="38" s="1"/>
  <c r="AN104" i="38"/>
  <c r="AP104" i="38" s="1"/>
  <c r="AQ104" i="38" s="1"/>
  <c r="G105" i="40" s="1"/>
  <c r="BB55" i="43"/>
  <c r="G23" i="45" s="1"/>
  <c r="BA65" i="43"/>
  <c r="F33" i="45" s="1"/>
  <c r="BB66" i="43"/>
  <c r="G34" i="45" s="1"/>
  <c r="BB58" i="43"/>
  <c r="G26" i="45" s="1"/>
  <c r="BA57" i="43"/>
  <c r="F25" i="45" s="1"/>
  <c r="BB70" i="43"/>
  <c r="G38" i="45" s="1"/>
  <c r="BA50" i="43"/>
  <c r="F18" i="45" s="1"/>
  <c r="BA59" i="43"/>
  <c r="F27" i="45" s="1"/>
  <c r="BA53" i="43"/>
  <c r="F21" i="45" s="1"/>
  <c r="BB65" i="43"/>
  <c r="G33" i="45" s="1"/>
  <c r="BB67" i="43"/>
  <c r="G35" i="45" s="1"/>
  <c r="BA66" i="43"/>
  <c r="F34" i="45" s="1"/>
  <c r="BB56" i="43"/>
  <c r="G24" i="45" s="1"/>
  <c r="BA62" i="43"/>
  <c r="F30" i="45" s="1"/>
  <c r="BB57" i="43"/>
  <c r="G25" i="45" s="1"/>
  <c r="BB62" i="43"/>
  <c r="G30" i="45" s="1"/>
  <c r="BB51" i="43"/>
  <c r="G19" i="45" s="1"/>
  <c r="BB69" i="43"/>
  <c r="G37" i="45" s="1"/>
  <c r="BB63" i="43"/>
  <c r="G31" i="45" s="1"/>
  <c r="BA58" i="43"/>
  <c r="F26" i="45" s="1"/>
  <c r="BA52" i="43"/>
  <c r="F20" i="45" s="1"/>
  <c r="BB60" i="43"/>
  <c r="G28" i="45" s="1"/>
  <c r="BB53" i="43"/>
  <c r="G21" i="45" s="1"/>
  <c r="BB71" i="43"/>
  <c r="G39" i="45" s="1"/>
  <c r="BA60" i="43"/>
  <c r="F28" i="45" s="1"/>
  <c r="BA61" i="43"/>
  <c r="F29" i="45" s="1"/>
  <c r="BB64" i="43"/>
  <c r="G32" i="45" s="1"/>
  <c r="BB50" i="43"/>
  <c r="G18" i="45" s="1"/>
  <c r="BA51" i="43"/>
  <c r="F19" i="45" s="1"/>
  <c r="W13" i="1"/>
  <c r="W12" i="1"/>
  <c r="CE72" i="38"/>
  <c r="CF72" i="38" s="1"/>
  <c r="CG72" i="38" s="1"/>
  <c r="CH72" i="38" s="1"/>
  <c r="CA103" i="38"/>
  <c r="CB103" i="38" s="1"/>
  <c r="CC103" i="38" s="1"/>
  <c r="CD103" i="38" s="1"/>
  <c r="CM122" i="38"/>
  <c r="CN122" i="38" s="1"/>
  <c r="CO122" i="38" s="1"/>
  <c r="CP122" i="38" s="1"/>
  <c r="CQ52" i="38"/>
  <c r="CR52" i="38" s="1"/>
  <c r="CS52" i="38" s="1"/>
  <c r="CT52" i="38" s="1"/>
  <c r="CU100" i="38"/>
  <c r="CV100" i="38" s="1"/>
  <c r="BW126" i="38"/>
  <c r="BX126" i="38" s="1"/>
  <c r="BY126" i="38" s="1"/>
  <c r="BZ126" i="38" s="1"/>
  <c r="CA126" i="38" s="1"/>
  <c r="CB126" i="38" s="1"/>
  <c r="CC126" i="38" s="1"/>
  <c r="CD126" i="38" s="1"/>
  <c r="CE120" i="38"/>
  <c r="CF120" i="38" s="1"/>
  <c r="CG120" i="38" s="1"/>
  <c r="CH120" i="38" s="1"/>
  <c r="CI120" i="38" s="1"/>
  <c r="CJ120" i="38" s="1"/>
  <c r="CK120" i="38" s="1"/>
  <c r="CL120" i="38" s="1"/>
  <c r="CE58" i="38"/>
  <c r="CF58" i="38" s="1"/>
  <c r="CG58" i="38" s="1"/>
  <c r="CH58" i="38" s="1"/>
  <c r="CA97" i="38"/>
  <c r="CB97" i="38" s="1"/>
  <c r="CC97" i="38" s="1"/>
  <c r="CD97" i="38" s="1"/>
  <c r="CE75" i="38"/>
  <c r="CF75" i="38" s="1"/>
  <c r="CG75" i="38" s="1"/>
  <c r="CH75" i="38" s="1"/>
  <c r="CE48" i="38"/>
  <c r="CF48" i="38" s="1"/>
  <c r="CG48" i="38" s="1"/>
  <c r="CH48" i="38" s="1"/>
  <c r="CU98" i="38"/>
  <c r="CV98" i="38" s="1"/>
  <c r="CE116" i="38"/>
  <c r="CF116" i="38" s="1"/>
  <c r="CG116" i="38" s="1"/>
  <c r="CH116" i="38" s="1"/>
  <c r="CI116" i="38" s="1"/>
  <c r="CJ116" i="38" s="1"/>
  <c r="CK116" i="38" s="1"/>
  <c r="CL116" i="38" s="1"/>
  <c r="CA95" i="38"/>
  <c r="CB95" i="38" s="1"/>
  <c r="CC95" i="38" s="1"/>
  <c r="CD95" i="38" s="1"/>
  <c r="CE95" i="38" s="1"/>
  <c r="CF95" i="38" s="1"/>
  <c r="CG95" i="38" s="1"/>
  <c r="CH95" i="38" s="1"/>
  <c r="CE85" i="38"/>
  <c r="CF85" i="38" s="1"/>
  <c r="CG85" i="38" s="1"/>
  <c r="CH85" i="38" s="1"/>
  <c r="CQ56" i="38"/>
  <c r="CR56" i="38" s="1"/>
  <c r="CS56" i="38" s="1"/>
  <c r="CT56" i="38" s="1"/>
  <c r="CE92" i="38"/>
  <c r="CF92" i="38" s="1"/>
  <c r="CG92" i="38" s="1"/>
  <c r="CH92" i="38" s="1"/>
  <c r="CI61" i="38"/>
  <c r="CJ61" i="38" s="1"/>
  <c r="CK61" i="38" s="1"/>
  <c r="CL61" i="38" s="1"/>
  <c r="CE53" i="38"/>
  <c r="CF53" i="38" s="1"/>
  <c r="CG53" i="38" s="1"/>
  <c r="CH53" i="38" s="1"/>
  <c r="CA91" i="38"/>
  <c r="CB91" i="38" s="1"/>
  <c r="CC91" i="38" s="1"/>
  <c r="CD91" i="38" s="1"/>
  <c r="CI87" i="38"/>
  <c r="CJ87" i="38" s="1"/>
  <c r="CK87" i="38" s="1"/>
  <c r="CL87" i="38" s="1"/>
  <c r="CI88" i="38"/>
  <c r="CJ88" i="38" s="1"/>
  <c r="CK88" i="38" s="1"/>
  <c r="CL88" i="38" s="1"/>
  <c r="BW71" i="38"/>
  <c r="BX71" i="38" s="1"/>
  <c r="BY71" i="38" s="1"/>
  <c r="BZ71" i="38" s="1"/>
  <c r="CA90" i="38"/>
  <c r="CB90" i="38" s="1"/>
  <c r="CC90" i="38" s="1"/>
  <c r="CD90" i="38" s="1"/>
  <c r="CE114" i="38"/>
  <c r="CF114" i="38" s="1"/>
  <c r="CG114" i="38" s="1"/>
  <c r="CH114" i="38" s="1"/>
  <c r="CI114" i="38" s="1"/>
  <c r="CJ114" i="38" s="1"/>
  <c r="CK114" i="38" s="1"/>
  <c r="CL114" i="38" s="1"/>
  <c r="CM114" i="38" s="1"/>
  <c r="CN114" i="38" s="1"/>
  <c r="CO114" i="38" s="1"/>
  <c r="CP114" i="38" s="1"/>
  <c r="CA63" i="38"/>
  <c r="CB63" i="38" s="1"/>
  <c r="CC63" i="38" s="1"/>
  <c r="CD63" i="38" s="1"/>
  <c r="CE63" i="38" s="1"/>
  <c r="CF63" i="38" s="1"/>
  <c r="CG63" i="38" s="1"/>
  <c r="CH63" i="38" s="1"/>
  <c r="CI63" i="38" s="1"/>
  <c r="CJ63" i="38" s="1"/>
  <c r="CK63" i="38" s="1"/>
  <c r="CL63" i="38" s="1"/>
  <c r="CM63" i="38" s="1"/>
  <c r="CN63" i="38" s="1"/>
  <c r="CO63" i="38" s="1"/>
  <c r="CP63" i="38" s="1"/>
  <c r="CQ63" i="38" s="1"/>
  <c r="CR63" i="38" s="1"/>
  <c r="CS63" i="38" s="1"/>
  <c r="CT63" i="38" s="1"/>
  <c r="CU63" i="38" s="1"/>
  <c r="CV63" i="38" s="1"/>
  <c r="CA51" i="38"/>
  <c r="CB51" i="38" s="1"/>
  <c r="CC51" i="38" s="1"/>
  <c r="CD51" i="38" s="1"/>
  <c r="CM86" i="38"/>
  <c r="CN86" i="38" s="1"/>
  <c r="CO86" i="38" s="1"/>
  <c r="CP86" i="38" s="1"/>
  <c r="CQ86" i="38" s="1"/>
  <c r="CR86" i="38" s="1"/>
  <c r="CS86" i="38" s="1"/>
  <c r="CT86" i="38" s="1"/>
  <c r="CA117" i="38"/>
  <c r="CB117" i="38" s="1"/>
  <c r="CC117" i="38" s="1"/>
  <c r="CD117" i="38" s="1"/>
  <c r="CE89" i="38"/>
  <c r="CF89" i="38" s="1"/>
  <c r="CG89" i="38" s="1"/>
  <c r="CH89" i="38" s="1"/>
  <c r="CI89" i="38" s="1"/>
  <c r="CJ89" i="38" s="1"/>
  <c r="CK89" i="38" s="1"/>
  <c r="CL89" i="38" s="1"/>
  <c r="BW143" i="38"/>
  <c r="BX143" i="38" s="1"/>
  <c r="BY143" i="38" s="1"/>
  <c r="BZ143" i="38" s="1"/>
  <c r="BW112" i="38"/>
  <c r="BX112" i="38" s="1"/>
  <c r="BY112" i="38" s="1"/>
  <c r="BZ112" i="38" s="1"/>
  <c r="CA112" i="38" s="1"/>
  <c r="CB112" i="38" s="1"/>
  <c r="CC112" i="38" s="1"/>
  <c r="CD112" i="38" s="1"/>
  <c r="CA68" i="38"/>
  <c r="CB68" i="38" s="1"/>
  <c r="CC68" i="38" s="1"/>
  <c r="CD68" i="38" s="1"/>
  <c r="CA65" i="38"/>
  <c r="CB65" i="38" s="1"/>
  <c r="CC65" i="38" s="1"/>
  <c r="CD65" i="38" s="1"/>
  <c r="CE65" i="38" s="1"/>
  <c r="CF65" i="38" s="1"/>
  <c r="CG65" i="38" s="1"/>
  <c r="CH65" i="38" s="1"/>
  <c r="CA47" i="38"/>
  <c r="CB47" i="38" s="1"/>
  <c r="CC47" i="38" s="1"/>
  <c r="CD47" i="38" s="1"/>
  <c r="CE47" i="38" s="1"/>
  <c r="CF47" i="38" s="1"/>
  <c r="CG47" i="38" s="1"/>
  <c r="CH47" i="38" s="1"/>
  <c r="CI47" i="38" s="1"/>
  <c r="CJ47" i="38" s="1"/>
  <c r="CK47" i="38" s="1"/>
  <c r="CL47" i="38" s="1"/>
  <c r="CA74" i="38"/>
  <c r="CB74" i="38" s="1"/>
  <c r="CC74" i="38" s="1"/>
  <c r="CD74" i="38" s="1"/>
  <c r="CE74" i="38" s="1"/>
  <c r="CF74" i="38" s="1"/>
  <c r="CG74" i="38" s="1"/>
  <c r="CH74" i="38" s="1"/>
  <c r="CI74" i="38" s="1"/>
  <c r="CJ74" i="38" s="1"/>
  <c r="CK74" i="38" s="1"/>
  <c r="CL74" i="38" s="1"/>
  <c r="CM74" i="38" s="1"/>
  <c r="CN74" i="38" s="1"/>
  <c r="CO74" i="38" s="1"/>
  <c r="CP74" i="38" s="1"/>
  <c r="CA64" i="38"/>
  <c r="CB64" i="38" s="1"/>
  <c r="CC64" i="38" s="1"/>
  <c r="CD64" i="38" s="1"/>
  <c r="CU118" i="38"/>
  <c r="CV118" i="38" s="1"/>
  <c r="CA49" i="38"/>
  <c r="CB49" i="38" s="1"/>
  <c r="CC49" i="38" s="1"/>
  <c r="CD49" i="38" s="1"/>
  <c r="CE49" i="38" s="1"/>
  <c r="CF49" i="38" s="1"/>
  <c r="CG49" i="38" s="1"/>
  <c r="CH49" i="38" s="1"/>
  <c r="CA57" i="38"/>
  <c r="CB57" i="38" s="1"/>
  <c r="CC57" i="38" s="1"/>
  <c r="CD57" i="38" s="1"/>
  <c r="CE57" i="38" s="1"/>
  <c r="CF57" i="38" s="1"/>
  <c r="CG57" i="38" s="1"/>
  <c r="CH57" i="38" s="1"/>
  <c r="CA96" i="38"/>
  <c r="CB96" i="38" s="1"/>
  <c r="CC96" i="38" s="1"/>
  <c r="CD96" i="38" s="1"/>
  <c r="CE96" i="38" s="1"/>
  <c r="CF96" i="38" s="1"/>
  <c r="CG96" i="38" s="1"/>
  <c r="CH96" i="38" s="1"/>
  <c r="CE119" i="38"/>
  <c r="CF119" i="38" s="1"/>
  <c r="CG119" i="38" s="1"/>
  <c r="CH119" i="38" s="1"/>
  <c r="CI119" i="38" s="1"/>
  <c r="CJ119" i="38" s="1"/>
  <c r="CK119" i="38" s="1"/>
  <c r="CL119" i="38" s="1"/>
  <c r="CM119" i="38" s="1"/>
  <c r="CN119" i="38" s="1"/>
  <c r="CO119" i="38" s="1"/>
  <c r="CP119" i="38" s="1"/>
  <c r="CQ119" i="38" s="1"/>
  <c r="CR119" i="38" s="1"/>
  <c r="CS119" i="38" s="1"/>
  <c r="CT119" i="38" s="1"/>
  <c r="CU119" i="38" s="1"/>
  <c r="CV119" i="38" s="1"/>
  <c r="CA55" i="38"/>
  <c r="CB55" i="38" s="1"/>
  <c r="CC55" i="38" s="1"/>
  <c r="CD55" i="38" s="1"/>
  <c r="CA121" i="38"/>
  <c r="CB121" i="38" s="1"/>
  <c r="CC121" i="38" s="1"/>
  <c r="CD121" i="38" s="1"/>
  <c r="CE121" i="38" s="1"/>
  <c r="CF121" i="38" s="1"/>
  <c r="CG121" i="38" s="1"/>
  <c r="CH121" i="38" s="1"/>
  <c r="CI121" i="38" s="1"/>
  <c r="CJ121" i="38" s="1"/>
  <c r="CK121" i="38" s="1"/>
  <c r="CL121" i="38" s="1"/>
  <c r="CM121" i="38" s="1"/>
  <c r="CN121" i="38" s="1"/>
  <c r="CO121" i="38" s="1"/>
  <c r="CP121" i="38" s="1"/>
  <c r="CQ121" i="38" s="1"/>
  <c r="CR121" i="38" s="1"/>
  <c r="CS121" i="38" s="1"/>
  <c r="CT121" i="38" s="1"/>
  <c r="CU121" i="38" s="1"/>
  <c r="CV121" i="38" s="1"/>
  <c r="CE84" i="38"/>
  <c r="CF84" i="38" s="1"/>
  <c r="CG84" i="38" s="1"/>
  <c r="CH84" i="38" s="1"/>
  <c r="CE83" i="38"/>
  <c r="CF83" i="38" s="1"/>
  <c r="CG83" i="38" s="1"/>
  <c r="CH83" i="38" s="1"/>
  <c r="CI83" i="38" s="1"/>
  <c r="CJ83" i="38" s="1"/>
  <c r="CK83" i="38" s="1"/>
  <c r="CL83" i="38" s="1"/>
  <c r="CM83" i="38" s="1"/>
  <c r="CN83" i="38" s="1"/>
  <c r="CO83" i="38" s="1"/>
  <c r="CP83" i="38" s="1"/>
  <c r="CI79" i="38"/>
  <c r="CJ79" i="38" s="1"/>
  <c r="CK79" i="38" s="1"/>
  <c r="CL79" i="38" s="1"/>
  <c r="BV136" i="38"/>
  <c r="CA66" i="38"/>
  <c r="CB66" i="38" s="1"/>
  <c r="CC66" i="38" s="1"/>
  <c r="CD66" i="38" s="1"/>
  <c r="CA67" i="38"/>
  <c r="CB67" i="38" s="1"/>
  <c r="CC67" i="38" s="1"/>
  <c r="CD67" i="38" s="1"/>
  <c r="CI101" i="38"/>
  <c r="CJ101" i="38" s="1"/>
  <c r="CK101" i="38" s="1"/>
  <c r="CL101" i="38" s="1"/>
  <c r="CM101" i="38" s="1"/>
  <c r="CN101" i="38" s="1"/>
  <c r="CO101" i="38" s="1"/>
  <c r="CP101" i="38" s="1"/>
  <c r="CQ101" i="38" s="1"/>
  <c r="CR101" i="38" s="1"/>
  <c r="CS101" i="38" s="1"/>
  <c r="CT101" i="38" s="1"/>
  <c r="CU101" i="38" s="1"/>
  <c r="CV101" i="38" s="1"/>
  <c r="CE81" i="38"/>
  <c r="CF81" i="38" s="1"/>
  <c r="CG81" i="38" s="1"/>
  <c r="CH81" i="38" s="1"/>
  <c r="CI81" i="38" s="1"/>
  <c r="CJ81" i="38" s="1"/>
  <c r="CK81" i="38" s="1"/>
  <c r="CL81" i="38" s="1"/>
  <c r="CM81" i="38" s="1"/>
  <c r="CN81" i="38" s="1"/>
  <c r="CO81" i="38" s="1"/>
  <c r="CP81" i="38" s="1"/>
  <c r="BW138" i="38"/>
  <c r="BX138" i="38" s="1"/>
  <c r="BY138" i="38" s="1"/>
  <c r="BZ138" i="38" s="1"/>
  <c r="CA138" i="38" s="1"/>
  <c r="CB138" i="38" s="1"/>
  <c r="CC138" i="38" s="1"/>
  <c r="CD138" i="38" s="1"/>
  <c r="CE138" i="38" s="1"/>
  <c r="CF138" i="38" s="1"/>
  <c r="CG138" i="38" s="1"/>
  <c r="CH138" i="38" s="1"/>
  <c r="CI138" i="38" s="1"/>
  <c r="CJ138" i="38" s="1"/>
  <c r="CK138" i="38" s="1"/>
  <c r="CL138" i="38" s="1"/>
  <c r="CM138" i="38" s="1"/>
  <c r="CN138" i="38" s="1"/>
  <c r="CO138" i="38" s="1"/>
  <c r="CP138" i="38" s="1"/>
  <c r="CA82" i="38"/>
  <c r="CB82" i="38" s="1"/>
  <c r="CC82" i="38" s="1"/>
  <c r="CD82" i="38" s="1"/>
  <c r="CE82" i="38" s="1"/>
  <c r="CF82" i="38" s="1"/>
  <c r="CG82" i="38" s="1"/>
  <c r="CH82" i="38" s="1"/>
  <c r="CI82" i="38" s="1"/>
  <c r="CJ82" i="38" s="1"/>
  <c r="CK82" i="38" s="1"/>
  <c r="CL82" i="38" s="1"/>
  <c r="CM82" i="38" s="1"/>
  <c r="CN82" i="38" s="1"/>
  <c r="CO82" i="38" s="1"/>
  <c r="CP82" i="38" s="1"/>
  <c r="CQ82" i="38" s="1"/>
  <c r="CR82" i="38" s="1"/>
  <c r="CS82" i="38" s="1"/>
  <c r="CT82" i="38" s="1"/>
  <c r="CU82" i="38" s="1"/>
  <c r="CV82" i="38" s="1"/>
  <c r="CA99" i="38"/>
  <c r="CB99" i="38" s="1"/>
  <c r="CC99" i="38" s="1"/>
  <c r="CD99" i="38" s="1"/>
  <c r="AS135" i="38"/>
  <c r="AU135" i="38" s="1"/>
  <c r="AV135" i="38" s="1"/>
  <c r="H136" i="40" s="1"/>
  <c r="BW69" i="38"/>
  <c r="BX69" i="38" s="1"/>
  <c r="BY69" i="38" s="1"/>
  <c r="BZ69" i="38" s="1"/>
  <c r="CA73" i="38"/>
  <c r="CB73" i="38" s="1"/>
  <c r="CC73" i="38" s="1"/>
  <c r="CD73" i="38" s="1"/>
  <c r="CE73" i="38" s="1"/>
  <c r="CF73" i="38" s="1"/>
  <c r="CG73" i="38" s="1"/>
  <c r="CH73" i="38" s="1"/>
  <c r="CI73" i="38" s="1"/>
  <c r="CJ73" i="38" s="1"/>
  <c r="CK73" i="38" s="1"/>
  <c r="CL73" i="38" s="1"/>
  <c r="CA115" i="38"/>
  <c r="CB115" i="38" s="1"/>
  <c r="CC115" i="38" s="1"/>
  <c r="CD115" i="38" s="1"/>
  <c r="CE115" i="38" s="1"/>
  <c r="CF115" i="38" s="1"/>
  <c r="CG115" i="38" s="1"/>
  <c r="CH115" i="38" s="1"/>
  <c r="CA77" i="38"/>
  <c r="CB77" i="38" s="1"/>
  <c r="CC77" i="38" s="1"/>
  <c r="CD77" i="38" s="1"/>
  <c r="CE77" i="38" s="1"/>
  <c r="CF77" i="38" s="1"/>
  <c r="CG77" i="38" s="1"/>
  <c r="CH77" i="38" s="1"/>
  <c r="CI77" i="38" s="1"/>
  <c r="CJ77" i="38" s="1"/>
  <c r="CK77" i="38" s="1"/>
  <c r="CL77" i="38" s="1"/>
  <c r="CA78" i="38"/>
  <c r="CB78" i="38" s="1"/>
  <c r="CC78" i="38" s="1"/>
  <c r="CD78" i="38" s="1"/>
  <c r="CA45" i="38"/>
  <c r="CB45" i="38" s="1"/>
  <c r="CC45" i="38" s="1"/>
  <c r="CD45" i="38" s="1"/>
  <c r="CE45" i="38" s="1"/>
  <c r="CF45" i="38" s="1"/>
  <c r="CG45" i="38" s="1"/>
  <c r="CH45" i="38" s="1"/>
  <c r="CA76" i="38"/>
  <c r="CB76" i="38" s="1"/>
  <c r="CC76" i="38" s="1"/>
  <c r="CD76" i="38" s="1"/>
  <c r="CI123" i="38"/>
  <c r="CJ123" i="38" s="1"/>
  <c r="CK123" i="38" s="1"/>
  <c r="CL123" i="38" s="1"/>
  <c r="CM123" i="38" s="1"/>
  <c r="CN123" i="38" s="1"/>
  <c r="CO123" i="38" s="1"/>
  <c r="CP123" i="38" s="1"/>
  <c r="CQ123" i="38" s="1"/>
  <c r="CR123" i="38" s="1"/>
  <c r="CS123" i="38" s="1"/>
  <c r="CT123" i="38" s="1"/>
  <c r="CE93" i="38"/>
  <c r="CF93" i="38" s="1"/>
  <c r="CG93" i="38" s="1"/>
  <c r="CH93" i="38" s="1"/>
  <c r="CI93" i="38" s="1"/>
  <c r="CJ93" i="38" s="1"/>
  <c r="CK93" i="38" s="1"/>
  <c r="CL93" i="38" s="1"/>
  <c r="CE102" i="38"/>
  <c r="CF102" i="38" s="1"/>
  <c r="CG102" i="38" s="1"/>
  <c r="CH102" i="38" s="1"/>
  <c r="CI102" i="38" s="1"/>
  <c r="CJ102" i="38" s="1"/>
  <c r="CK102" i="38" s="1"/>
  <c r="CL102" i="38" s="1"/>
  <c r="CM102" i="38" s="1"/>
  <c r="CN102" i="38" s="1"/>
  <c r="CO102" i="38" s="1"/>
  <c r="CP102" i="38" s="1"/>
  <c r="CQ102" i="38" s="1"/>
  <c r="CR102" i="38" s="1"/>
  <c r="CS102" i="38" s="1"/>
  <c r="CT102" i="38" s="1"/>
  <c r="CU94" i="38"/>
  <c r="CV94" i="38" s="1"/>
  <c r="CA46" i="38"/>
  <c r="CB46" i="38" s="1"/>
  <c r="CC46" i="38" s="1"/>
  <c r="CD46" i="38" s="1"/>
  <c r="CE60" i="38"/>
  <c r="CF60" i="38" s="1"/>
  <c r="CG60" i="38" s="1"/>
  <c r="CH60" i="38" s="1"/>
  <c r="BR140" i="38"/>
  <c r="BV140" i="38" s="1"/>
  <c r="BW140" i="38" s="1"/>
  <c r="BX140" i="38" s="1"/>
  <c r="BY140" i="38" s="1"/>
  <c r="BZ140" i="38" s="1"/>
  <c r="CA140" i="38" s="1"/>
  <c r="CB140" i="38" s="1"/>
  <c r="CC140" i="38" s="1"/>
  <c r="CD140" i="38" s="1"/>
  <c r="CE140" i="38" s="1"/>
  <c r="CF140" i="38" s="1"/>
  <c r="CG140" i="38" s="1"/>
  <c r="CH140" i="38" s="1"/>
  <c r="CI140" i="38" s="1"/>
  <c r="CJ140" i="38" s="1"/>
  <c r="CK140" i="38" s="1"/>
  <c r="CL140" i="38" s="1"/>
  <c r="CM140" i="38" s="1"/>
  <c r="CN140" i="38" s="1"/>
  <c r="CO140" i="38" s="1"/>
  <c r="CP140" i="38" s="1"/>
  <c r="BV139" i="38"/>
  <c r="CA62" i="38"/>
  <c r="CB62" i="38" s="1"/>
  <c r="CC62" i="38" s="1"/>
  <c r="CD62" i="38" s="1"/>
  <c r="CA59" i="38"/>
  <c r="CB59" i="38" s="1"/>
  <c r="CC59" i="38" s="1"/>
  <c r="CD59" i="38" s="1"/>
  <c r="CE59" i="38" s="1"/>
  <c r="CF59" i="38" s="1"/>
  <c r="CG59" i="38" s="1"/>
  <c r="CH59" i="38" s="1"/>
  <c r="CI59" i="38" s="1"/>
  <c r="CJ59" i="38" s="1"/>
  <c r="CK59" i="38" s="1"/>
  <c r="CL59" i="38" s="1"/>
  <c r="CQ80" i="38"/>
  <c r="CR80" i="38" s="1"/>
  <c r="CS80" i="38" s="1"/>
  <c r="CT80" i="38" s="1"/>
  <c r="CU80" i="38" s="1"/>
  <c r="CV80" i="38" s="1"/>
  <c r="CA70" i="38"/>
  <c r="CB70" i="38" s="1"/>
  <c r="CC70" i="38" s="1"/>
  <c r="CD70" i="38" s="1"/>
  <c r="EE156" i="14"/>
  <c r="FJ156" i="14" s="1"/>
  <c r="HE135" i="14"/>
  <c r="EM135" i="14"/>
  <c r="EP135" i="14" s="1"/>
  <c r="EQ135" i="14" s="1"/>
  <c r="ER135" i="14" s="1"/>
  <c r="GW90" i="14"/>
  <c r="GZ90" i="14" s="1"/>
  <c r="HA90" i="14" s="1"/>
  <c r="HB90" i="14" s="1"/>
  <c r="HC90" i="14" s="1"/>
  <c r="HH90" i="14" s="1"/>
  <c r="HI90" i="14" s="1"/>
  <c r="HJ90" i="14" s="1"/>
  <c r="HK90" i="14" s="1"/>
  <c r="EJ90" i="14"/>
  <c r="HE103" i="14"/>
  <c r="HM103" i="14"/>
  <c r="GW103" i="14"/>
  <c r="GZ103" i="14" s="1"/>
  <c r="HA103" i="14" s="1"/>
  <c r="HB103" i="14" s="1"/>
  <c r="HC103" i="14" s="1"/>
  <c r="FC93" i="14"/>
  <c r="BX44" i="38"/>
  <c r="BY44" i="38" s="1"/>
  <c r="EJ105" i="14"/>
  <c r="EU93" i="14"/>
  <c r="HM93" i="14"/>
  <c r="FC90" i="14"/>
  <c r="EM93" i="14"/>
  <c r="EP93" i="14" s="1"/>
  <c r="EQ93" i="14" s="1"/>
  <c r="ER93" i="14" s="1"/>
  <c r="HE105" i="14"/>
  <c r="HH105" i="14" s="1"/>
  <c r="HI105" i="14" s="1"/>
  <c r="HJ105" i="14" s="1"/>
  <c r="HK105" i="14" s="1"/>
  <c r="GW135" i="14"/>
  <c r="GZ135" i="14" s="1"/>
  <c r="HA135" i="14" s="1"/>
  <c r="HB135" i="14" s="1"/>
  <c r="HC135" i="14" s="1"/>
  <c r="EM90" i="14"/>
  <c r="EP90" i="14" s="1"/>
  <c r="EQ90" i="14" s="1"/>
  <c r="ER90" i="14" s="1"/>
  <c r="FC105" i="14"/>
  <c r="EU90" i="14"/>
  <c r="HE93" i="14"/>
  <c r="HH93" i="14" s="1"/>
  <c r="HI93" i="14" s="1"/>
  <c r="HJ93" i="14" s="1"/>
  <c r="HK93" i="14" s="1"/>
  <c r="HP93" i="14" s="1"/>
  <c r="HQ93" i="14" s="1"/>
  <c r="HR93" i="14" s="1"/>
  <c r="HS93" i="14" s="1"/>
  <c r="HX93" i="14" s="1"/>
  <c r="HM105" i="14"/>
  <c r="EJ135" i="14"/>
  <c r="HM135" i="14"/>
  <c r="HM90" i="14"/>
  <c r="EJ93" i="14"/>
  <c r="FC135" i="14"/>
  <c r="HE78" i="14"/>
  <c r="HH78" i="14" s="1"/>
  <c r="HI78" i="14" s="1"/>
  <c r="HJ78" i="14" s="1"/>
  <c r="HK78" i="14" s="1"/>
  <c r="EJ103" i="14"/>
  <c r="BR141" i="38"/>
  <c r="BV141" i="38" s="1"/>
  <c r="BR108" i="38"/>
  <c r="BV108" i="38" s="1"/>
  <c r="EU103" i="14"/>
  <c r="BR128" i="38"/>
  <c r="BV128" i="38" s="1"/>
  <c r="BR124" i="38"/>
  <c r="BV124" i="38" s="1"/>
  <c r="EM103" i="14"/>
  <c r="EP103" i="14" s="1"/>
  <c r="EQ103" i="14" s="1"/>
  <c r="ER103" i="14" s="1"/>
  <c r="HE73" i="14"/>
  <c r="HM73" i="14"/>
  <c r="EU73" i="14"/>
  <c r="EJ73" i="14"/>
  <c r="ES73" i="14" s="1"/>
  <c r="FC73" i="14"/>
  <c r="GW73" i="14"/>
  <c r="GZ73" i="14" s="1"/>
  <c r="HA73" i="14" s="1"/>
  <c r="HB73" i="14" s="1"/>
  <c r="HC73" i="14" s="1"/>
  <c r="EF145" i="14"/>
  <c r="FK145" i="14" s="1"/>
  <c r="AN140" i="38"/>
  <c r="AP140" i="38" s="1"/>
  <c r="AQ140" i="38" s="1"/>
  <c r="G141" i="40" s="1"/>
  <c r="HM102" i="14"/>
  <c r="EF146" i="14"/>
  <c r="FK146" i="14" s="1"/>
  <c r="EE143" i="14"/>
  <c r="EG143" i="14" s="1"/>
  <c r="AN134" i="38"/>
  <c r="AP134" i="38" s="1"/>
  <c r="AQ134" i="38" s="1"/>
  <c r="G135" i="40" s="1"/>
  <c r="GW132" i="14"/>
  <c r="GZ132" i="14" s="1"/>
  <c r="HA132" i="14" s="1"/>
  <c r="HB132" i="14" s="1"/>
  <c r="HC132" i="14" s="1"/>
  <c r="FC132" i="14"/>
  <c r="GW107" i="14"/>
  <c r="GZ107" i="14" s="1"/>
  <c r="HA107" i="14" s="1"/>
  <c r="HB107" i="14" s="1"/>
  <c r="HC107" i="14" s="1"/>
  <c r="EU107" i="14"/>
  <c r="EJ130" i="14"/>
  <c r="AS141" i="38"/>
  <c r="AU141" i="38" s="1"/>
  <c r="AV141" i="38" s="1"/>
  <c r="H142" i="40" s="1"/>
  <c r="EF153" i="14"/>
  <c r="FK153" i="14" s="1"/>
  <c r="GE153" i="14" s="1"/>
  <c r="EF124" i="14"/>
  <c r="FK124" i="14" s="1"/>
  <c r="EE147" i="14"/>
  <c r="EG147" i="14" s="1"/>
  <c r="EM82" i="14"/>
  <c r="EP82" i="14" s="1"/>
  <c r="EQ82" i="14" s="1"/>
  <c r="ER82" i="14" s="1"/>
  <c r="AN126" i="38"/>
  <c r="AP126" i="38" s="1"/>
  <c r="AQ126" i="38" s="1"/>
  <c r="G127" i="40" s="1"/>
  <c r="EU82" i="14"/>
  <c r="AS130" i="38"/>
  <c r="AU130" i="38" s="1"/>
  <c r="AV130" i="38" s="1"/>
  <c r="H131" i="40" s="1"/>
  <c r="HE82" i="14"/>
  <c r="EJ78" i="14"/>
  <c r="EJ82" i="14"/>
  <c r="HM78" i="14"/>
  <c r="GW82" i="14"/>
  <c r="GZ82" i="14" s="1"/>
  <c r="HA82" i="14" s="1"/>
  <c r="HB82" i="14" s="1"/>
  <c r="HC82" i="14" s="1"/>
  <c r="FC82" i="14"/>
  <c r="HE106" i="14"/>
  <c r="EJ106" i="14"/>
  <c r="EE149" i="14"/>
  <c r="FJ149" i="14" s="1"/>
  <c r="FV149" i="14" s="1"/>
  <c r="EG88" i="14"/>
  <c r="EJ88" i="14" s="1"/>
  <c r="EU106" i="14"/>
  <c r="GW106" i="14"/>
  <c r="GZ106" i="14" s="1"/>
  <c r="HA106" i="14" s="1"/>
  <c r="HB106" i="14" s="1"/>
  <c r="HC106" i="14" s="1"/>
  <c r="HM106" i="14"/>
  <c r="AN128" i="38"/>
  <c r="AP128" i="38" s="1"/>
  <c r="AQ128" i="38" s="1"/>
  <c r="G129" i="40" s="1"/>
  <c r="BR107" i="38"/>
  <c r="BV107" i="38" s="1"/>
  <c r="BR110" i="38"/>
  <c r="BV110" i="38" s="1"/>
  <c r="AN64" i="38"/>
  <c r="AP64" i="38" s="1"/>
  <c r="AQ64" i="38" s="1"/>
  <c r="G65" i="40" s="1"/>
  <c r="AS137" i="38"/>
  <c r="AU137" i="38" s="1"/>
  <c r="AV137" i="38" s="1"/>
  <c r="H138" i="40" s="1"/>
  <c r="BR127" i="38"/>
  <c r="BV127" i="38" s="1"/>
  <c r="BR130" i="38"/>
  <c r="BV130" i="38" s="1"/>
  <c r="BR111" i="38"/>
  <c r="BV111" i="38" s="1"/>
  <c r="BR106" i="38"/>
  <c r="BV106" i="38" s="1"/>
  <c r="BR133" i="38"/>
  <c r="BV133" i="38" s="1"/>
  <c r="BR134" i="38"/>
  <c r="BV134" i="38" s="1"/>
  <c r="BW134" i="38" s="1"/>
  <c r="BX134" i="38" s="1"/>
  <c r="BY134" i="38" s="1"/>
  <c r="BZ134" i="38" s="1"/>
  <c r="BR132" i="38"/>
  <c r="BV132" i="38" s="1"/>
  <c r="BR142" i="38"/>
  <c r="BV142" i="38" s="1"/>
  <c r="BR104" i="38"/>
  <c r="BV104" i="38" s="1"/>
  <c r="BW104" i="38" s="1"/>
  <c r="BX104" i="38" s="1"/>
  <c r="BY104" i="38" s="1"/>
  <c r="BZ104" i="38" s="1"/>
  <c r="CA104" i="38" s="1"/>
  <c r="CB104" i="38" s="1"/>
  <c r="CC104" i="38" s="1"/>
  <c r="CD104" i="38" s="1"/>
  <c r="CE104" i="38" s="1"/>
  <c r="CF104" i="38" s="1"/>
  <c r="CG104" i="38" s="1"/>
  <c r="CH104" i="38" s="1"/>
  <c r="CI104" i="38" s="1"/>
  <c r="CJ104" i="38" s="1"/>
  <c r="CK104" i="38" s="1"/>
  <c r="CL104" i="38" s="1"/>
  <c r="BR109" i="38"/>
  <c r="BV109" i="38" s="1"/>
  <c r="BR144" i="38"/>
  <c r="BV144" i="38" s="1"/>
  <c r="BR113" i="38"/>
  <c r="BV113" i="38" s="1"/>
  <c r="BR135" i="38"/>
  <c r="BV135" i="38" s="1"/>
  <c r="BR137" i="38"/>
  <c r="BV137" i="38" s="1"/>
  <c r="BW137" i="38" s="1"/>
  <c r="BX137" i="38" s="1"/>
  <c r="BY137" i="38" s="1"/>
  <c r="BZ137" i="38" s="1"/>
  <c r="GW136" i="14"/>
  <c r="GZ136" i="14" s="1"/>
  <c r="HA136" i="14" s="1"/>
  <c r="HB136" i="14" s="1"/>
  <c r="HC136" i="14" s="1"/>
  <c r="HM71" i="14"/>
  <c r="EJ96" i="14"/>
  <c r="ES96" i="14" s="1"/>
  <c r="HM133" i="14"/>
  <c r="AN70" i="38"/>
  <c r="AP70" i="38" s="1"/>
  <c r="AQ70" i="38" s="1"/>
  <c r="G71" i="40" s="1"/>
  <c r="GW96" i="14"/>
  <c r="GZ96" i="14" s="1"/>
  <c r="HA96" i="14" s="1"/>
  <c r="HB96" i="14" s="1"/>
  <c r="HC96" i="14" s="1"/>
  <c r="FC133" i="14"/>
  <c r="EE158" i="14"/>
  <c r="EG158" i="14" s="1"/>
  <c r="FC71" i="14"/>
  <c r="EU96" i="14"/>
  <c r="GW133" i="14"/>
  <c r="GZ133" i="14" s="1"/>
  <c r="HA133" i="14" s="1"/>
  <c r="HB133" i="14" s="1"/>
  <c r="HC133" i="14" s="1"/>
  <c r="EF141" i="14"/>
  <c r="FK141" i="14" s="1"/>
  <c r="HM96" i="14"/>
  <c r="AN73" i="38"/>
  <c r="AP73" i="38" s="1"/>
  <c r="AQ73" i="38" s="1"/>
  <c r="G74" i="40" s="1"/>
  <c r="AS143" i="38"/>
  <c r="AU143" i="38" s="1"/>
  <c r="AV143" i="38" s="1"/>
  <c r="H144" i="40" s="1"/>
  <c r="HE96" i="14"/>
  <c r="EJ133" i="14"/>
  <c r="ES133" i="14" s="1"/>
  <c r="EJ71" i="14"/>
  <c r="FC96" i="14"/>
  <c r="HE133" i="14"/>
  <c r="AO129" i="38"/>
  <c r="AP129" i="38" s="1"/>
  <c r="AQ129" i="38" s="1"/>
  <c r="G130" i="40" s="1"/>
  <c r="HE71" i="14"/>
  <c r="GW71" i="14"/>
  <c r="GZ71" i="14" s="1"/>
  <c r="HA71" i="14" s="1"/>
  <c r="HB71" i="14" s="1"/>
  <c r="HC71" i="14" s="1"/>
  <c r="EM71" i="14"/>
  <c r="EP71" i="14" s="1"/>
  <c r="EQ71" i="14" s="1"/>
  <c r="ER71" i="14" s="1"/>
  <c r="EU133" i="14"/>
  <c r="AN143" i="38"/>
  <c r="AP143" i="38" s="1"/>
  <c r="AQ143" i="38" s="1"/>
  <c r="G144" i="40" s="1"/>
  <c r="HE107" i="14"/>
  <c r="HE132" i="14"/>
  <c r="AN66" i="38"/>
  <c r="AP66" i="38" s="1"/>
  <c r="AQ66" i="38" s="1"/>
  <c r="G67" i="40" s="1"/>
  <c r="FC107" i="14"/>
  <c r="EJ132" i="14"/>
  <c r="AN109" i="38"/>
  <c r="AP109" i="38" s="1"/>
  <c r="AQ109" i="38" s="1"/>
  <c r="G110" i="40" s="1"/>
  <c r="EM132" i="14"/>
  <c r="EP132" i="14" s="1"/>
  <c r="EQ132" i="14" s="1"/>
  <c r="ER132" i="14" s="1"/>
  <c r="HM107" i="14"/>
  <c r="EU132" i="14"/>
  <c r="EJ107" i="14"/>
  <c r="ES107" i="14" s="1"/>
  <c r="EG128" i="14"/>
  <c r="GW128" i="14" s="1"/>
  <c r="GZ128" i="14" s="1"/>
  <c r="HA128" i="14" s="1"/>
  <c r="HB128" i="14" s="1"/>
  <c r="HC128" i="14" s="1"/>
  <c r="EJ92" i="14"/>
  <c r="BR131" i="38"/>
  <c r="BV131" i="38" s="1"/>
  <c r="BW131" i="38" s="1"/>
  <c r="BX131" i="38" s="1"/>
  <c r="BY131" i="38" s="1"/>
  <c r="BZ131" i="38" s="1"/>
  <c r="EE150" i="14"/>
  <c r="FJ150" i="14" s="1"/>
  <c r="AS136" i="38"/>
  <c r="AU136" i="38" s="1"/>
  <c r="AV136" i="38" s="1"/>
  <c r="H137" i="40" s="1"/>
  <c r="EM105" i="14"/>
  <c r="EP105" i="14" s="1"/>
  <c r="EQ105" i="14" s="1"/>
  <c r="ER105" i="14" s="1"/>
  <c r="EU105" i="14"/>
  <c r="EE144" i="14"/>
  <c r="FJ144" i="14" s="1"/>
  <c r="BR125" i="38"/>
  <c r="BV125" i="38" s="1"/>
  <c r="BW125" i="38" s="1"/>
  <c r="BX125" i="38" s="1"/>
  <c r="BY125" i="38" s="1"/>
  <c r="BZ125" i="38" s="1"/>
  <c r="AN110" i="38"/>
  <c r="AP110" i="38" s="1"/>
  <c r="AQ110" i="38" s="1"/>
  <c r="G111" i="40" s="1"/>
  <c r="AN68" i="38"/>
  <c r="AP68" i="38" s="1"/>
  <c r="AQ68" i="38" s="1"/>
  <c r="G69" i="40" s="1"/>
  <c r="EG89" i="14"/>
  <c r="FC89" i="14" s="1"/>
  <c r="EG80" i="14"/>
  <c r="EJ80" i="14" s="1"/>
  <c r="AN107" i="38"/>
  <c r="AP107" i="38" s="1"/>
  <c r="AQ107" i="38" s="1"/>
  <c r="G108" i="40" s="1"/>
  <c r="HM79" i="14"/>
  <c r="EJ84" i="14"/>
  <c r="EU74" i="14"/>
  <c r="EM74" i="14"/>
  <c r="EP74" i="14" s="1"/>
  <c r="EQ74" i="14" s="1"/>
  <c r="ER74" i="14" s="1"/>
  <c r="FC84" i="14"/>
  <c r="HE84" i="14"/>
  <c r="HH84" i="14" s="1"/>
  <c r="HI84" i="14" s="1"/>
  <c r="HJ84" i="14" s="1"/>
  <c r="HK84" i="14" s="1"/>
  <c r="HE136" i="14"/>
  <c r="AN131" i="38"/>
  <c r="AP131" i="38" s="1"/>
  <c r="AQ131" i="38" s="1"/>
  <c r="G132" i="40" s="1"/>
  <c r="EE157" i="14"/>
  <c r="EG157" i="14" s="1"/>
  <c r="EM84" i="14"/>
  <c r="EP84" i="14" s="1"/>
  <c r="EQ84" i="14" s="1"/>
  <c r="ER84" i="14" s="1"/>
  <c r="EU84" i="14"/>
  <c r="HM84" i="14"/>
  <c r="EF151" i="14"/>
  <c r="FK151" i="14" s="1"/>
  <c r="GE151" i="14" s="1"/>
  <c r="EG81" i="14"/>
  <c r="HM81" i="14" s="1"/>
  <c r="EF160" i="14"/>
  <c r="FK160" i="14" s="1"/>
  <c r="GE160" i="14" s="1"/>
  <c r="AS129" i="38"/>
  <c r="AU129" i="38" s="1"/>
  <c r="AV129" i="38" s="1"/>
  <c r="H130" i="40" s="1"/>
  <c r="FJ84" i="14"/>
  <c r="FV84" i="14" s="1"/>
  <c r="AO130" i="38"/>
  <c r="AP130" i="38" s="1"/>
  <c r="AQ130" i="38" s="1"/>
  <c r="G131" i="40" s="1"/>
  <c r="AN137" i="38"/>
  <c r="AP137" i="38" s="1"/>
  <c r="AQ137" i="38" s="1"/>
  <c r="G138" i="40" s="1"/>
  <c r="GW79" i="14"/>
  <c r="GZ79" i="14" s="1"/>
  <c r="HA79" i="14" s="1"/>
  <c r="HB79" i="14" s="1"/>
  <c r="HC79" i="14" s="1"/>
  <c r="AO135" i="38"/>
  <c r="AP135" i="38" s="1"/>
  <c r="AQ135" i="38" s="1"/>
  <c r="G136" i="40" s="1"/>
  <c r="AO124" i="38"/>
  <c r="AP124" i="38" s="1"/>
  <c r="AQ124" i="38" s="1"/>
  <c r="G125" i="40" s="1"/>
  <c r="HE79" i="14"/>
  <c r="AN111" i="38"/>
  <c r="AP111" i="38" s="1"/>
  <c r="AQ111" i="38" s="1"/>
  <c r="G112" i="40" s="1"/>
  <c r="EJ79" i="14"/>
  <c r="EM79" i="14"/>
  <c r="EP79" i="14" s="1"/>
  <c r="EQ79" i="14" s="1"/>
  <c r="ER79" i="14" s="1"/>
  <c r="FC79" i="14"/>
  <c r="AN72" i="38"/>
  <c r="AP72" i="38" s="1"/>
  <c r="AQ72" i="38" s="1"/>
  <c r="G73" i="40" s="1"/>
  <c r="EE148" i="14"/>
  <c r="EG148" i="14" s="1"/>
  <c r="AN113" i="38"/>
  <c r="AP113" i="38" s="1"/>
  <c r="AQ113" i="38" s="1"/>
  <c r="G114" i="40" s="1"/>
  <c r="AN67" i="38"/>
  <c r="AP67" i="38" s="1"/>
  <c r="AQ67" i="38" s="1"/>
  <c r="G68" i="40" s="1"/>
  <c r="EF120" i="14"/>
  <c r="FK120" i="14" s="1"/>
  <c r="EG86" i="14"/>
  <c r="EM86" i="14" s="1"/>
  <c r="EP86" i="14" s="1"/>
  <c r="EQ86" i="14" s="1"/>
  <c r="ER86" i="14" s="1"/>
  <c r="EU78" i="14"/>
  <c r="HM74" i="14"/>
  <c r="EJ136" i="14"/>
  <c r="AM127" i="38"/>
  <c r="AN127" i="38" s="1"/>
  <c r="EM78" i="14"/>
  <c r="EP78" i="14" s="1"/>
  <c r="EQ78" i="14" s="1"/>
  <c r="ER78" i="14" s="1"/>
  <c r="GW74" i="14"/>
  <c r="GZ74" i="14" s="1"/>
  <c r="HA74" i="14" s="1"/>
  <c r="HB74" i="14" s="1"/>
  <c r="HC74" i="14" s="1"/>
  <c r="EM136" i="14"/>
  <c r="EP136" i="14" s="1"/>
  <c r="EQ136" i="14" s="1"/>
  <c r="ER136" i="14" s="1"/>
  <c r="EF126" i="14"/>
  <c r="FC78" i="14"/>
  <c r="EU136" i="14"/>
  <c r="EJ74" i="14"/>
  <c r="FC136" i="14"/>
  <c r="HE74" i="14"/>
  <c r="AN125" i="38"/>
  <c r="AP125" i="38" s="1"/>
  <c r="AQ125" i="38" s="1"/>
  <c r="G126" i="40" s="1"/>
  <c r="FK85" i="14"/>
  <c r="GD85" i="14" s="1"/>
  <c r="EG85" i="14"/>
  <c r="EJ94" i="14"/>
  <c r="EM130" i="14"/>
  <c r="EP130" i="14" s="1"/>
  <c r="EQ130" i="14" s="1"/>
  <c r="ER130" i="14" s="1"/>
  <c r="EU92" i="14"/>
  <c r="EF152" i="14"/>
  <c r="FK152" i="14" s="1"/>
  <c r="GE152" i="14" s="1"/>
  <c r="EE123" i="14"/>
  <c r="FJ123" i="14" s="1"/>
  <c r="FV123" i="14" s="1"/>
  <c r="GW130" i="14"/>
  <c r="GZ130" i="14" s="1"/>
  <c r="HA130" i="14" s="1"/>
  <c r="HB130" i="14" s="1"/>
  <c r="HC130" i="14" s="1"/>
  <c r="HE130" i="14"/>
  <c r="HE92" i="14"/>
  <c r="HH92" i="14" s="1"/>
  <c r="HI92" i="14" s="1"/>
  <c r="HJ92" i="14" s="1"/>
  <c r="HK92" i="14" s="1"/>
  <c r="AN136" i="38"/>
  <c r="AP136" i="38" s="1"/>
  <c r="AQ136" i="38" s="1"/>
  <c r="G137" i="40" s="1"/>
  <c r="AO132" i="38"/>
  <c r="AP132" i="38" s="1"/>
  <c r="AQ132" i="38" s="1"/>
  <c r="G133" i="40" s="1"/>
  <c r="FC130" i="14"/>
  <c r="EM92" i="14"/>
  <c r="EP92" i="14" s="1"/>
  <c r="EQ92" i="14" s="1"/>
  <c r="ER92" i="14" s="1"/>
  <c r="EE140" i="14"/>
  <c r="EG140" i="14" s="1"/>
  <c r="AN141" i="38"/>
  <c r="AP141" i="38" s="1"/>
  <c r="AQ141" i="38" s="1"/>
  <c r="G142" i="40" s="1"/>
  <c r="EU130" i="14"/>
  <c r="FC92" i="14"/>
  <c r="HM92" i="14"/>
  <c r="AN105" i="38"/>
  <c r="AP105" i="38" s="1"/>
  <c r="AQ105" i="38" s="1"/>
  <c r="G106" i="40" s="1"/>
  <c r="AN138" i="38"/>
  <c r="AP138" i="38" s="1"/>
  <c r="AQ138" i="38" s="1"/>
  <c r="G139" i="40" s="1"/>
  <c r="AN71" i="38"/>
  <c r="AP71" i="38" s="1"/>
  <c r="AQ71" i="38" s="1"/>
  <c r="G72" i="40" s="1"/>
  <c r="EF122" i="14"/>
  <c r="FK122" i="14" s="1"/>
  <c r="AN112" i="38"/>
  <c r="AP112" i="38" s="1"/>
  <c r="AQ112" i="38" s="1"/>
  <c r="G113" i="40" s="1"/>
  <c r="V28" i="1"/>
  <c r="GW94" i="14"/>
  <c r="GZ94" i="14" s="1"/>
  <c r="HA94" i="14" s="1"/>
  <c r="HB94" i="14" s="1"/>
  <c r="HC94" i="14" s="1"/>
  <c r="EJ70" i="14"/>
  <c r="EU94" i="14"/>
  <c r="EG127" i="14"/>
  <c r="HE127" i="14" s="1"/>
  <c r="HM70" i="14"/>
  <c r="GW70" i="14"/>
  <c r="GZ70" i="14" s="1"/>
  <c r="HA70" i="14" s="1"/>
  <c r="HB70" i="14" s="1"/>
  <c r="HC70" i="14" s="1"/>
  <c r="HE94" i="14"/>
  <c r="BR105" i="38"/>
  <c r="BV105" i="38" s="1"/>
  <c r="EM70" i="14"/>
  <c r="EP70" i="14" s="1"/>
  <c r="EQ70" i="14" s="1"/>
  <c r="ER70" i="14" s="1"/>
  <c r="FC70" i="14"/>
  <c r="EM94" i="14"/>
  <c r="EP94" i="14" s="1"/>
  <c r="EQ94" i="14" s="1"/>
  <c r="ER94" i="14" s="1"/>
  <c r="HE70" i="14"/>
  <c r="HM94" i="14"/>
  <c r="AO142" i="38"/>
  <c r="AP142" i="38" s="1"/>
  <c r="AQ142" i="38" s="1"/>
  <c r="G143" i="40" s="1"/>
  <c r="EU75" i="14"/>
  <c r="HM75" i="14"/>
  <c r="EG129" i="14"/>
  <c r="HM129" i="14" s="1"/>
  <c r="EJ75" i="14"/>
  <c r="FJ83" i="14"/>
  <c r="FV83" i="14" s="1"/>
  <c r="EG83" i="14"/>
  <c r="EM75" i="14"/>
  <c r="EP75" i="14" s="1"/>
  <c r="EQ75" i="14" s="1"/>
  <c r="ER75" i="14" s="1"/>
  <c r="HE75" i="14"/>
  <c r="HH75" i="14" s="1"/>
  <c r="HI75" i="14" s="1"/>
  <c r="HJ75" i="14" s="1"/>
  <c r="HK75" i="14" s="1"/>
  <c r="FC75" i="14"/>
  <c r="AN108" i="38"/>
  <c r="AP108" i="38" s="1"/>
  <c r="AQ108" i="38" s="1"/>
  <c r="G109" i="40" s="1"/>
  <c r="EG125" i="14"/>
  <c r="EU125" i="14" s="1"/>
  <c r="EG87" i="14"/>
  <c r="FJ87" i="14"/>
  <c r="FV87" i="14" s="1"/>
  <c r="AO133" i="38"/>
  <c r="AP133" i="38" s="1"/>
  <c r="AQ133" i="38" s="1"/>
  <c r="G134" i="40" s="1"/>
  <c r="EG121" i="14"/>
  <c r="EU121" i="14" s="1"/>
  <c r="AO144" i="38"/>
  <c r="AP144" i="38" s="1"/>
  <c r="AQ144" i="38" s="1"/>
  <c r="G145" i="40" s="1"/>
  <c r="AO139" i="38"/>
  <c r="AP139" i="38" s="1"/>
  <c r="AQ139" i="38" s="1"/>
  <c r="G140" i="40" s="1"/>
  <c r="FV112" i="14"/>
  <c r="FW112" i="14"/>
  <c r="FV120" i="14"/>
  <c r="FW120" i="14"/>
  <c r="FT60" i="14"/>
  <c r="FW60" i="14"/>
  <c r="FV125" i="14"/>
  <c r="FW125" i="14"/>
  <c r="FV124" i="14"/>
  <c r="FW124" i="14"/>
  <c r="FT68" i="14"/>
  <c r="FW68" i="14"/>
  <c r="FT62" i="14"/>
  <c r="FW62" i="14"/>
  <c r="FT66" i="14"/>
  <c r="FW66" i="14"/>
  <c r="FV119" i="14"/>
  <c r="FW119" i="14"/>
  <c r="FV126" i="14"/>
  <c r="FW126" i="14"/>
  <c r="FV115" i="14"/>
  <c r="FW115" i="14"/>
  <c r="FV113" i="14"/>
  <c r="FW113" i="14"/>
  <c r="FV116" i="14"/>
  <c r="FW116" i="14"/>
  <c r="FV110" i="14"/>
  <c r="FW110" i="14"/>
  <c r="FV121" i="14"/>
  <c r="FW121" i="14"/>
  <c r="FV111" i="14"/>
  <c r="FW111" i="14"/>
  <c r="FT69" i="14"/>
  <c r="FW69" i="14"/>
  <c r="FT64" i="14"/>
  <c r="FW64" i="14"/>
  <c r="FV117" i="14"/>
  <c r="FW117" i="14"/>
  <c r="FV127" i="14"/>
  <c r="FW127" i="14"/>
  <c r="FT65" i="14"/>
  <c r="FW65" i="14"/>
  <c r="FV128" i="14"/>
  <c r="FW128" i="14"/>
  <c r="FV122" i="14"/>
  <c r="FW122" i="14"/>
  <c r="FV114" i="14"/>
  <c r="FW114" i="14"/>
  <c r="FT67" i="14"/>
  <c r="FW67" i="14"/>
  <c r="FT63" i="14"/>
  <c r="FW63" i="14"/>
  <c r="FV129" i="14"/>
  <c r="FW129" i="14"/>
  <c r="FV118" i="14"/>
  <c r="FW118" i="14"/>
  <c r="GE154" i="14"/>
  <c r="GE155" i="14"/>
  <c r="GE149" i="14"/>
  <c r="GE148" i="14"/>
  <c r="GE158" i="14"/>
  <c r="GE147" i="14"/>
  <c r="GE157" i="14"/>
  <c r="GE150" i="14"/>
  <c r="GE156" i="14"/>
  <c r="EG142" i="14"/>
  <c r="FJ142" i="14"/>
  <c r="FJ141" i="14"/>
  <c r="FJ145" i="14"/>
  <c r="FJ146" i="14"/>
  <c r="HE61" i="14"/>
  <c r="HM61" i="14"/>
  <c r="EM61" i="14"/>
  <c r="EP61" i="14" s="1"/>
  <c r="EQ61" i="14" s="1"/>
  <c r="ER61" i="14" s="1"/>
  <c r="EJ61" i="14"/>
  <c r="HH100" i="14"/>
  <c r="HI100" i="14" s="1"/>
  <c r="HJ100" i="14" s="1"/>
  <c r="HK100" i="14" s="1"/>
  <c r="HP100" i="14" s="1"/>
  <c r="HQ100" i="14" s="1"/>
  <c r="HR100" i="14" s="1"/>
  <c r="HS100" i="14" s="1"/>
  <c r="HX100" i="14" s="1"/>
  <c r="GW61" i="14"/>
  <c r="GZ61" i="14" s="1"/>
  <c r="HA61" i="14" s="1"/>
  <c r="HB61" i="14" s="1"/>
  <c r="HC61" i="14" s="1"/>
  <c r="ES97" i="14"/>
  <c r="EX97" i="14" s="1"/>
  <c r="EY97" i="14" s="1"/>
  <c r="EZ97" i="14" s="1"/>
  <c r="FA97" i="14" s="1"/>
  <c r="FF97" i="14" s="1"/>
  <c r="FG97" i="14" s="1"/>
  <c r="FH97" i="14" s="1"/>
  <c r="FI97" i="14" s="1"/>
  <c r="FN97" i="14" s="1"/>
  <c r="FC61" i="14"/>
  <c r="ES139" i="14"/>
  <c r="EX139" i="14" s="1"/>
  <c r="EY139" i="14" s="1"/>
  <c r="EZ139" i="14" s="1"/>
  <c r="FA139" i="14" s="1"/>
  <c r="FF139" i="14" s="1"/>
  <c r="FG139" i="14" s="1"/>
  <c r="FH139" i="14" s="1"/>
  <c r="FI139" i="14" s="1"/>
  <c r="ES101" i="14"/>
  <c r="EX101" i="14" s="1"/>
  <c r="EY101" i="14" s="1"/>
  <c r="EZ101" i="14" s="1"/>
  <c r="FA101" i="14" s="1"/>
  <c r="FF101" i="14" s="1"/>
  <c r="FG101" i="14" s="1"/>
  <c r="FH101" i="14" s="1"/>
  <c r="FI101" i="14" s="1"/>
  <c r="FN101" i="14" s="1"/>
  <c r="HH98" i="14"/>
  <c r="HI98" i="14" s="1"/>
  <c r="HJ98" i="14" s="1"/>
  <c r="HK98" i="14" s="1"/>
  <c r="HP98" i="14" s="1"/>
  <c r="HQ98" i="14" s="1"/>
  <c r="HR98" i="14" s="1"/>
  <c r="HS98" i="14" s="1"/>
  <c r="HX98" i="14" s="1"/>
  <c r="HH91" i="14"/>
  <c r="HI91" i="14" s="1"/>
  <c r="HJ91" i="14" s="1"/>
  <c r="HK91" i="14" s="1"/>
  <c r="HP91" i="14" s="1"/>
  <c r="HQ91" i="14" s="1"/>
  <c r="HR91" i="14" s="1"/>
  <c r="HS91" i="14" s="1"/>
  <c r="HX91" i="14" s="1"/>
  <c r="HH108" i="14"/>
  <c r="HI108" i="14" s="1"/>
  <c r="HJ108" i="14" s="1"/>
  <c r="HK108" i="14" s="1"/>
  <c r="HP108" i="14" s="1"/>
  <c r="HQ108" i="14" s="1"/>
  <c r="HR108" i="14" s="1"/>
  <c r="HS108" i="14" s="1"/>
  <c r="HX108" i="14" s="1"/>
  <c r="HH137" i="14"/>
  <c r="HI137" i="14" s="1"/>
  <c r="HJ137" i="14" s="1"/>
  <c r="HK137" i="14" s="1"/>
  <c r="HP137" i="14" s="1"/>
  <c r="HQ137" i="14" s="1"/>
  <c r="HR137" i="14" s="1"/>
  <c r="HS137" i="14" s="1"/>
  <c r="ES137" i="14"/>
  <c r="EX137" i="14" s="1"/>
  <c r="EY137" i="14" s="1"/>
  <c r="EZ137" i="14" s="1"/>
  <c r="FA137" i="14" s="1"/>
  <c r="FF137" i="14" s="1"/>
  <c r="FG137" i="14" s="1"/>
  <c r="FH137" i="14" s="1"/>
  <c r="FI137" i="14" s="1"/>
  <c r="HH95" i="14"/>
  <c r="HI95" i="14" s="1"/>
  <c r="HJ95" i="14" s="1"/>
  <c r="HK95" i="14" s="1"/>
  <c r="HP95" i="14" s="1"/>
  <c r="HQ95" i="14" s="1"/>
  <c r="HR95" i="14" s="1"/>
  <c r="HS95" i="14" s="1"/>
  <c r="HX95" i="14" s="1"/>
  <c r="ES100" i="14"/>
  <c r="EX100" i="14" s="1"/>
  <c r="EY100" i="14" s="1"/>
  <c r="EZ100" i="14" s="1"/>
  <c r="FA100" i="14" s="1"/>
  <c r="FF100" i="14" s="1"/>
  <c r="FG100" i="14" s="1"/>
  <c r="FH100" i="14" s="1"/>
  <c r="FI100" i="14" s="1"/>
  <c r="FN100" i="14" s="1"/>
  <c r="ES108" i="14"/>
  <c r="EX108" i="14" s="1"/>
  <c r="EY108" i="14" s="1"/>
  <c r="EZ108" i="14" s="1"/>
  <c r="FA108" i="14" s="1"/>
  <c r="FF108" i="14" s="1"/>
  <c r="FG108" i="14" s="1"/>
  <c r="FH108" i="14" s="1"/>
  <c r="FI108" i="14" s="1"/>
  <c r="FN108" i="14" s="1"/>
  <c r="HH131" i="14"/>
  <c r="HI131" i="14" s="1"/>
  <c r="HJ131" i="14" s="1"/>
  <c r="HK131" i="14" s="1"/>
  <c r="HP131" i="14" s="1"/>
  <c r="HQ131" i="14" s="1"/>
  <c r="HR131" i="14" s="1"/>
  <c r="HS131" i="14" s="1"/>
  <c r="ES95" i="14"/>
  <c r="EX95" i="14" s="1"/>
  <c r="EY95" i="14" s="1"/>
  <c r="EZ95" i="14" s="1"/>
  <c r="FA95" i="14" s="1"/>
  <c r="FF95" i="14" s="1"/>
  <c r="FG95" i="14" s="1"/>
  <c r="FH95" i="14" s="1"/>
  <c r="FI95" i="14" s="1"/>
  <c r="FN95" i="14" s="1"/>
  <c r="ES99" i="14"/>
  <c r="EX99" i="14" s="1"/>
  <c r="EY99" i="14" s="1"/>
  <c r="EZ99" i="14" s="1"/>
  <c r="FA99" i="14" s="1"/>
  <c r="FF99" i="14" s="1"/>
  <c r="FG99" i="14" s="1"/>
  <c r="FH99" i="14" s="1"/>
  <c r="FI99" i="14" s="1"/>
  <c r="FN99" i="14" s="1"/>
  <c r="HH97" i="14"/>
  <c r="HI97" i="14" s="1"/>
  <c r="HJ97" i="14" s="1"/>
  <c r="HK97" i="14" s="1"/>
  <c r="HP97" i="14" s="1"/>
  <c r="HQ97" i="14" s="1"/>
  <c r="HR97" i="14" s="1"/>
  <c r="HS97" i="14" s="1"/>
  <c r="HX97" i="14" s="1"/>
  <c r="HH134" i="14"/>
  <c r="HI134" i="14" s="1"/>
  <c r="HJ134" i="14" s="1"/>
  <c r="HK134" i="14" s="1"/>
  <c r="HP134" i="14" s="1"/>
  <c r="HQ134" i="14" s="1"/>
  <c r="HR134" i="14" s="1"/>
  <c r="HS134" i="14" s="1"/>
  <c r="HE119" i="14"/>
  <c r="HM119" i="14"/>
  <c r="EM119" i="14"/>
  <c r="EP119" i="14" s="1"/>
  <c r="EQ119" i="14" s="1"/>
  <c r="ER119" i="14" s="1"/>
  <c r="EU119" i="14"/>
  <c r="GW119" i="14"/>
  <c r="GZ119" i="14" s="1"/>
  <c r="HA119" i="14" s="1"/>
  <c r="HB119" i="14" s="1"/>
  <c r="HC119" i="14" s="1"/>
  <c r="FC119" i="14"/>
  <c r="EJ119" i="14"/>
  <c r="FC113" i="14"/>
  <c r="HM113" i="14"/>
  <c r="HE113" i="14"/>
  <c r="EU113" i="14"/>
  <c r="EM113" i="14"/>
  <c r="EP113" i="14" s="1"/>
  <c r="EQ113" i="14" s="1"/>
  <c r="ER113" i="14" s="1"/>
  <c r="GW113" i="14"/>
  <c r="GZ113" i="14" s="1"/>
  <c r="HA113" i="14" s="1"/>
  <c r="HB113" i="14" s="1"/>
  <c r="HC113" i="14" s="1"/>
  <c r="EJ113" i="14"/>
  <c r="FJ153" i="14"/>
  <c r="EM117" i="14"/>
  <c r="EP117" i="14" s="1"/>
  <c r="EQ117" i="14" s="1"/>
  <c r="ER117" i="14" s="1"/>
  <c r="EU117" i="14"/>
  <c r="GW117" i="14"/>
  <c r="GZ117" i="14" s="1"/>
  <c r="HA117" i="14" s="1"/>
  <c r="HB117" i="14" s="1"/>
  <c r="HC117" i="14" s="1"/>
  <c r="FC117" i="14"/>
  <c r="HM117" i="14"/>
  <c r="HE117" i="14"/>
  <c r="EJ117" i="14"/>
  <c r="HH101" i="14"/>
  <c r="HI101" i="14" s="1"/>
  <c r="HJ101" i="14" s="1"/>
  <c r="HK101" i="14" s="1"/>
  <c r="HP101" i="14" s="1"/>
  <c r="HQ101" i="14" s="1"/>
  <c r="HR101" i="14" s="1"/>
  <c r="HS101" i="14" s="1"/>
  <c r="HX101" i="14" s="1"/>
  <c r="EM112" i="14"/>
  <c r="EP112" i="14" s="1"/>
  <c r="EQ112" i="14" s="1"/>
  <c r="ER112" i="14" s="1"/>
  <c r="HE112" i="14"/>
  <c r="HM112" i="14"/>
  <c r="EU112" i="14"/>
  <c r="FC112" i="14"/>
  <c r="GW112" i="14"/>
  <c r="GZ112" i="14" s="1"/>
  <c r="HA112" i="14" s="1"/>
  <c r="HB112" i="14" s="1"/>
  <c r="HC112" i="14" s="1"/>
  <c r="EJ112" i="14"/>
  <c r="FJ160" i="14"/>
  <c r="HH139" i="14"/>
  <c r="HI139" i="14" s="1"/>
  <c r="HJ139" i="14" s="1"/>
  <c r="HK139" i="14" s="1"/>
  <c r="HP139" i="14" s="1"/>
  <c r="HQ139" i="14" s="1"/>
  <c r="HR139" i="14" s="1"/>
  <c r="HS139" i="14" s="1"/>
  <c r="HM118" i="14"/>
  <c r="EM118" i="14"/>
  <c r="EP118" i="14" s="1"/>
  <c r="EQ118" i="14" s="1"/>
  <c r="ER118" i="14" s="1"/>
  <c r="FC118" i="14"/>
  <c r="HE118" i="14"/>
  <c r="EU118" i="14"/>
  <c r="GW118" i="14"/>
  <c r="GZ118" i="14" s="1"/>
  <c r="HA118" i="14" s="1"/>
  <c r="HB118" i="14" s="1"/>
  <c r="HC118" i="14" s="1"/>
  <c r="EJ118" i="14"/>
  <c r="EU116" i="14"/>
  <c r="HM116" i="14"/>
  <c r="EM116" i="14"/>
  <c r="EP116" i="14" s="1"/>
  <c r="EQ116" i="14" s="1"/>
  <c r="ER116" i="14" s="1"/>
  <c r="HE116" i="14"/>
  <c r="FC116" i="14"/>
  <c r="GW116" i="14"/>
  <c r="GZ116" i="14" s="1"/>
  <c r="HA116" i="14" s="1"/>
  <c r="HB116" i="14" s="1"/>
  <c r="HC116" i="14" s="1"/>
  <c r="EJ116" i="14"/>
  <c r="FJ152" i="14"/>
  <c r="ES131" i="14"/>
  <c r="EX131" i="14" s="1"/>
  <c r="EY131" i="14" s="1"/>
  <c r="EZ131" i="14" s="1"/>
  <c r="FA131" i="14" s="1"/>
  <c r="FF131" i="14" s="1"/>
  <c r="FG131" i="14" s="1"/>
  <c r="FH131" i="14" s="1"/>
  <c r="FI131" i="14" s="1"/>
  <c r="ES134" i="14"/>
  <c r="EX134" i="14" s="1"/>
  <c r="EY134" i="14" s="1"/>
  <c r="EZ134" i="14" s="1"/>
  <c r="FA134" i="14" s="1"/>
  <c r="FF134" i="14" s="1"/>
  <c r="FG134" i="14" s="1"/>
  <c r="FH134" i="14" s="1"/>
  <c r="FI134" i="14" s="1"/>
  <c r="ES91" i="14"/>
  <c r="EX91" i="14" s="1"/>
  <c r="EY91" i="14" s="1"/>
  <c r="EZ91" i="14" s="1"/>
  <c r="FA91" i="14" s="1"/>
  <c r="FF91" i="14" s="1"/>
  <c r="FG91" i="14" s="1"/>
  <c r="FH91" i="14" s="1"/>
  <c r="FI91" i="14" s="1"/>
  <c r="FN91" i="14" s="1"/>
  <c r="HM110" i="14"/>
  <c r="HE110" i="14"/>
  <c r="EU110" i="14"/>
  <c r="FC110" i="14"/>
  <c r="EM110" i="14"/>
  <c r="EP110" i="14" s="1"/>
  <c r="EQ110" i="14" s="1"/>
  <c r="ER110" i="14" s="1"/>
  <c r="GW110" i="14"/>
  <c r="GZ110" i="14" s="1"/>
  <c r="HA110" i="14" s="1"/>
  <c r="HB110" i="14" s="1"/>
  <c r="HC110" i="14" s="1"/>
  <c r="EJ110" i="14"/>
  <c r="FJ155" i="14"/>
  <c r="FJ159" i="14"/>
  <c r="GW114" i="14"/>
  <c r="GZ114" i="14" s="1"/>
  <c r="HA114" i="14" s="1"/>
  <c r="HB114" i="14" s="1"/>
  <c r="HC114" i="14" s="1"/>
  <c r="FC114" i="14"/>
  <c r="EU114" i="14"/>
  <c r="HM114" i="14"/>
  <c r="HE114" i="14"/>
  <c r="EM114" i="14"/>
  <c r="EP114" i="14" s="1"/>
  <c r="EQ114" i="14" s="1"/>
  <c r="ER114" i="14" s="1"/>
  <c r="EJ114" i="14"/>
  <c r="GW115" i="14"/>
  <c r="GZ115" i="14" s="1"/>
  <c r="HA115" i="14" s="1"/>
  <c r="HB115" i="14" s="1"/>
  <c r="HC115" i="14" s="1"/>
  <c r="EU115" i="14"/>
  <c r="HM115" i="14"/>
  <c r="HE115" i="14"/>
  <c r="EM115" i="14"/>
  <c r="EP115" i="14" s="1"/>
  <c r="EQ115" i="14" s="1"/>
  <c r="ER115" i="14" s="1"/>
  <c r="FC115" i="14"/>
  <c r="EJ115" i="14"/>
  <c r="ES98" i="14"/>
  <c r="EX98" i="14" s="1"/>
  <c r="EY98" i="14" s="1"/>
  <c r="EZ98" i="14" s="1"/>
  <c r="FA98" i="14" s="1"/>
  <c r="FF98" i="14" s="1"/>
  <c r="FG98" i="14" s="1"/>
  <c r="FH98" i="14" s="1"/>
  <c r="FI98" i="14" s="1"/>
  <c r="FN98" i="14" s="1"/>
  <c r="HH99" i="14"/>
  <c r="HI99" i="14" s="1"/>
  <c r="HJ99" i="14" s="1"/>
  <c r="HK99" i="14" s="1"/>
  <c r="HP99" i="14" s="1"/>
  <c r="HQ99" i="14" s="1"/>
  <c r="HR99" i="14" s="1"/>
  <c r="HS99" i="14" s="1"/>
  <c r="HX99" i="14" s="1"/>
  <c r="FJ154" i="14"/>
  <c r="EG154" i="14"/>
  <c r="HE111" i="14"/>
  <c r="FC111" i="14"/>
  <c r="EU111" i="14"/>
  <c r="EM111" i="14"/>
  <c r="EP111" i="14" s="1"/>
  <c r="EQ111" i="14" s="1"/>
  <c r="ER111" i="14" s="1"/>
  <c r="HM111" i="14"/>
  <c r="GW111" i="14"/>
  <c r="GZ111" i="14" s="1"/>
  <c r="HA111" i="14" s="1"/>
  <c r="HB111" i="14" s="1"/>
  <c r="HC111" i="14" s="1"/>
  <c r="EJ111" i="14"/>
  <c r="FJ151" i="14"/>
  <c r="ES77" i="14"/>
  <c r="EX77" i="14" s="1"/>
  <c r="EY77" i="14" s="1"/>
  <c r="EZ77" i="14" s="1"/>
  <c r="FA77" i="14" s="1"/>
  <c r="FF77" i="14" s="1"/>
  <c r="FG77" i="14" s="1"/>
  <c r="FH77" i="14" s="1"/>
  <c r="FI77" i="14" s="1"/>
  <c r="FM77" i="14" s="1"/>
  <c r="HH76" i="14"/>
  <c r="HI76" i="14" s="1"/>
  <c r="HJ76" i="14" s="1"/>
  <c r="HK76" i="14" s="1"/>
  <c r="HP76" i="14" s="1"/>
  <c r="HQ76" i="14" s="1"/>
  <c r="HR76" i="14" s="1"/>
  <c r="HS76" i="14" s="1"/>
  <c r="HW76" i="14" s="1"/>
  <c r="HH72" i="14"/>
  <c r="HI72" i="14" s="1"/>
  <c r="HJ72" i="14" s="1"/>
  <c r="HK72" i="14" s="1"/>
  <c r="HP72" i="14" s="1"/>
  <c r="HQ72" i="14" s="1"/>
  <c r="HR72" i="14" s="1"/>
  <c r="HS72" i="14" s="1"/>
  <c r="HW72" i="14" s="1"/>
  <c r="ES72" i="14"/>
  <c r="EX72" i="14" s="1"/>
  <c r="EY72" i="14" s="1"/>
  <c r="EZ72" i="14" s="1"/>
  <c r="FA72" i="14" s="1"/>
  <c r="FF72" i="14" s="1"/>
  <c r="FG72" i="14" s="1"/>
  <c r="FH72" i="14" s="1"/>
  <c r="FI72" i="14" s="1"/>
  <c r="FM72" i="14" s="1"/>
  <c r="HH77" i="14"/>
  <c r="HI77" i="14" s="1"/>
  <c r="HJ77" i="14" s="1"/>
  <c r="HK77" i="14" s="1"/>
  <c r="HP77" i="14" s="1"/>
  <c r="HQ77" i="14" s="1"/>
  <c r="HR77" i="14" s="1"/>
  <c r="HS77" i="14" s="1"/>
  <c r="HW77" i="14" s="1"/>
  <c r="ES76" i="14"/>
  <c r="EX76" i="14" s="1"/>
  <c r="EY76" i="14" s="1"/>
  <c r="EZ76" i="14" s="1"/>
  <c r="FA76" i="14" s="1"/>
  <c r="FF76" i="14" s="1"/>
  <c r="FG76" i="14" s="1"/>
  <c r="FH76" i="14" s="1"/>
  <c r="FI76" i="14" s="1"/>
  <c r="FM76" i="14" s="1"/>
  <c r="HM60" i="14"/>
  <c r="GW60" i="14"/>
  <c r="GZ60" i="14" s="1"/>
  <c r="HA60" i="14" s="1"/>
  <c r="HB60" i="14" s="1"/>
  <c r="HC60" i="14" s="1"/>
  <c r="EM60" i="14"/>
  <c r="EP60" i="14" s="1"/>
  <c r="EQ60" i="14" s="1"/>
  <c r="ER60" i="14" s="1"/>
  <c r="EJ60" i="14"/>
  <c r="HE60" i="14"/>
  <c r="EU60" i="14"/>
  <c r="FC60" i="14"/>
  <c r="HE62" i="14"/>
  <c r="EM62" i="14"/>
  <c r="EP62" i="14" s="1"/>
  <c r="EQ62" i="14" s="1"/>
  <c r="ER62" i="14" s="1"/>
  <c r="EJ62" i="14"/>
  <c r="HM62" i="14"/>
  <c r="EU62" i="14"/>
  <c r="GW62" i="14"/>
  <c r="GZ62" i="14" s="1"/>
  <c r="HA62" i="14" s="1"/>
  <c r="HB62" i="14" s="1"/>
  <c r="HC62" i="14" s="1"/>
  <c r="FC62" i="14"/>
  <c r="EU64" i="14"/>
  <c r="HM64" i="14"/>
  <c r="FC64" i="14"/>
  <c r="GW64" i="14"/>
  <c r="GZ64" i="14" s="1"/>
  <c r="HA64" i="14" s="1"/>
  <c r="HB64" i="14" s="1"/>
  <c r="HC64" i="14" s="1"/>
  <c r="EM64" i="14"/>
  <c r="EP64" i="14" s="1"/>
  <c r="EQ64" i="14" s="1"/>
  <c r="ER64" i="14" s="1"/>
  <c r="EJ64" i="14"/>
  <c r="HE64" i="14"/>
  <c r="EM67" i="14"/>
  <c r="EP67" i="14" s="1"/>
  <c r="EQ67" i="14" s="1"/>
  <c r="ER67" i="14" s="1"/>
  <c r="GW67" i="14"/>
  <c r="GZ67" i="14" s="1"/>
  <c r="HA67" i="14" s="1"/>
  <c r="HB67" i="14" s="1"/>
  <c r="HC67" i="14" s="1"/>
  <c r="EU67" i="14"/>
  <c r="HM67" i="14"/>
  <c r="EJ67" i="14"/>
  <c r="HE67" i="14"/>
  <c r="FC67" i="14"/>
  <c r="EU65" i="14"/>
  <c r="HM65" i="14"/>
  <c r="HE65" i="14"/>
  <c r="GW65" i="14"/>
  <c r="GZ65" i="14" s="1"/>
  <c r="HA65" i="14" s="1"/>
  <c r="HB65" i="14" s="1"/>
  <c r="HC65" i="14" s="1"/>
  <c r="FC65" i="14"/>
  <c r="EM65" i="14"/>
  <c r="EP65" i="14" s="1"/>
  <c r="EQ65" i="14" s="1"/>
  <c r="ER65" i="14" s="1"/>
  <c r="EJ65" i="14"/>
  <c r="HM69" i="14"/>
  <c r="EM69" i="14"/>
  <c r="EP69" i="14" s="1"/>
  <c r="EQ69" i="14" s="1"/>
  <c r="ER69" i="14" s="1"/>
  <c r="GW69" i="14"/>
  <c r="GZ69" i="14" s="1"/>
  <c r="HA69" i="14" s="1"/>
  <c r="HB69" i="14" s="1"/>
  <c r="HC69" i="14" s="1"/>
  <c r="FC69" i="14"/>
  <c r="HE69" i="14"/>
  <c r="EU69" i="14"/>
  <c r="EJ69" i="14"/>
  <c r="HE68" i="14"/>
  <c r="FC68" i="14"/>
  <c r="HM68" i="14"/>
  <c r="EU68" i="14"/>
  <c r="GW68" i="14"/>
  <c r="GZ68" i="14" s="1"/>
  <c r="HA68" i="14" s="1"/>
  <c r="HB68" i="14" s="1"/>
  <c r="HC68" i="14" s="1"/>
  <c r="EM68" i="14"/>
  <c r="EP68" i="14" s="1"/>
  <c r="EQ68" i="14" s="1"/>
  <c r="ER68" i="14" s="1"/>
  <c r="EJ68" i="14"/>
  <c r="HM63" i="14"/>
  <c r="HE63" i="14"/>
  <c r="EM63" i="14"/>
  <c r="EP63" i="14" s="1"/>
  <c r="EQ63" i="14" s="1"/>
  <c r="ER63" i="14" s="1"/>
  <c r="EJ63" i="14"/>
  <c r="EU63" i="14"/>
  <c r="FC63" i="14"/>
  <c r="GW63" i="14"/>
  <c r="GZ63" i="14" s="1"/>
  <c r="HA63" i="14" s="1"/>
  <c r="HB63" i="14" s="1"/>
  <c r="HC63" i="14" s="1"/>
  <c r="HE66" i="14"/>
  <c r="EU66" i="14"/>
  <c r="FC66" i="14"/>
  <c r="GW66" i="14"/>
  <c r="GZ66" i="14" s="1"/>
  <c r="HA66" i="14" s="1"/>
  <c r="HB66" i="14" s="1"/>
  <c r="HC66" i="14" s="1"/>
  <c r="HM66" i="14"/>
  <c r="EM66" i="14"/>
  <c r="EP66" i="14" s="1"/>
  <c r="EQ66" i="14" s="1"/>
  <c r="ER66" i="14" s="1"/>
  <c r="EJ66" i="14"/>
  <c r="EG159" i="14" l="1"/>
  <c r="GE146" i="14"/>
  <c r="GD146" i="14"/>
  <c r="FW146" i="14"/>
  <c r="FV146" i="14"/>
  <c r="EG155" i="14"/>
  <c r="FC155" i="14" s="1"/>
  <c r="FW145" i="14"/>
  <c r="FV145" i="14"/>
  <c r="GE145" i="14"/>
  <c r="GD145" i="14"/>
  <c r="FW141" i="14"/>
  <c r="FV141" i="14"/>
  <c r="FW142" i="14"/>
  <c r="FV142" i="14"/>
  <c r="FW144" i="14"/>
  <c r="FV144" i="14"/>
  <c r="GE141" i="14"/>
  <c r="GD141" i="14"/>
  <c r="FW123" i="14"/>
  <c r="FO137" i="14"/>
  <c r="FN137" i="14"/>
  <c r="HY139" i="14"/>
  <c r="HX139" i="14"/>
  <c r="HY137" i="14"/>
  <c r="HX137" i="14"/>
  <c r="FO139" i="14"/>
  <c r="FN139" i="14"/>
  <c r="GD120" i="14"/>
  <c r="GE120" i="14"/>
  <c r="GD122" i="14"/>
  <c r="GE122" i="14"/>
  <c r="GD124" i="14"/>
  <c r="GE124" i="14"/>
  <c r="FU87" i="14"/>
  <c r="FT87" i="14"/>
  <c r="GC85" i="14"/>
  <c r="GG92" i="14" s="1"/>
  <c r="GB85" i="14"/>
  <c r="GF89" i="14"/>
  <c r="GG66" i="14"/>
  <c r="GG69" i="14"/>
  <c r="GG70" i="14"/>
  <c r="GG67" i="14"/>
  <c r="GG68" i="14"/>
  <c r="GG65" i="14"/>
  <c r="FT83" i="14"/>
  <c r="FU83" i="14"/>
  <c r="FT84" i="14"/>
  <c r="FU84" i="14"/>
  <c r="ES138" i="14"/>
  <c r="EX138" i="14" s="1"/>
  <c r="EY138" i="14" s="1"/>
  <c r="EZ138" i="14" s="1"/>
  <c r="FA138" i="14" s="1"/>
  <c r="FF138" i="14" s="1"/>
  <c r="FG138" i="14" s="1"/>
  <c r="FH138" i="14" s="1"/>
  <c r="FI138" i="14" s="1"/>
  <c r="ES109" i="14"/>
  <c r="EX109" i="14" s="1"/>
  <c r="EY109" i="14" s="1"/>
  <c r="EZ109" i="14" s="1"/>
  <c r="FA109" i="14" s="1"/>
  <c r="FF109" i="14" s="1"/>
  <c r="FG109" i="14" s="1"/>
  <c r="FH109" i="14" s="1"/>
  <c r="FI109" i="14" s="1"/>
  <c r="HH138" i="14"/>
  <c r="HI138" i="14" s="1"/>
  <c r="HJ138" i="14" s="1"/>
  <c r="HK138" i="14" s="1"/>
  <c r="HP138" i="14" s="1"/>
  <c r="HQ138" i="14" s="1"/>
  <c r="HR138" i="14" s="1"/>
  <c r="HS138" i="14" s="1"/>
  <c r="CW82" i="38"/>
  <c r="Z83" i="40"/>
  <c r="CW118" i="38"/>
  <c r="Z119" i="40"/>
  <c r="CW100" i="38"/>
  <c r="Z101" i="40"/>
  <c r="CW121" i="38"/>
  <c r="Z122" i="40"/>
  <c r="CW98" i="38"/>
  <c r="Z99" i="40"/>
  <c r="CW94" i="38"/>
  <c r="Z95" i="40"/>
  <c r="CW101" i="38"/>
  <c r="Z102" i="40"/>
  <c r="CW80" i="38"/>
  <c r="Z81" i="40"/>
  <c r="CW119" i="38"/>
  <c r="Z120" i="40"/>
  <c r="CW63" i="38"/>
  <c r="Z64" i="40"/>
  <c r="EG156" i="14"/>
  <c r="EJ156" i="14" s="1"/>
  <c r="HH104" i="14"/>
  <c r="HI104" i="14" s="1"/>
  <c r="HJ104" i="14" s="1"/>
  <c r="HK104" i="14" s="1"/>
  <c r="HP104" i="14" s="1"/>
  <c r="HQ104" i="14" s="1"/>
  <c r="HR104" i="14" s="1"/>
  <c r="HS104" i="14" s="1"/>
  <c r="F25" i="43"/>
  <c r="F24" i="43"/>
  <c r="ES106" i="14"/>
  <c r="EX106" i="14" s="1"/>
  <c r="EY106" i="14" s="1"/>
  <c r="EZ106" i="14" s="1"/>
  <c r="FA106" i="14" s="1"/>
  <c r="FF106" i="14" s="1"/>
  <c r="FG106" i="14" s="1"/>
  <c r="FH106" i="14" s="1"/>
  <c r="FI106" i="14" s="1"/>
  <c r="HP109" i="14"/>
  <c r="HQ109" i="14" s="1"/>
  <c r="HR109" i="14" s="1"/>
  <c r="HS109" i="14" s="1"/>
  <c r="HX109" i="14" s="1"/>
  <c r="ES104" i="14"/>
  <c r="EX104" i="14" s="1"/>
  <c r="EY104" i="14" s="1"/>
  <c r="EZ104" i="14" s="1"/>
  <c r="FA104" i="14" s="1"/>
  <c r="FF104" i="14" s="1"/>
  <c r="FG104" i="14" s="1"/>
  <c r="FH104" i="14" s="1"/>
  <c r="FI104" i="14" s="1"/>
  <c r="ES102" i="14"/>
  <c r="EX102" i="14" s="1"/>
  <c r="EY102" i="14" s="1"/>
  <c r="EZ102" i="14" s="1"/>
  <c r="FA102" i="14" s="1"/>
  <c r="FF102" i="14" s="1"/>
  <c r="FG102" i="14" s="1"/>
  <c r="FH102" i="14" s="1"/>
  <c r="FI102" i="14" s="1"/>
  <c r="HH73" i="14"/>
  <c r="HI73" i="14" s="1"/>
  <c r="HJ73" i="14" s="1"/>
  <c r="HK73" i="14" s="1"/>
  <c r="HP73" i="14" s="1"/>
  <c r="HQ73" i="14" s="1"/>
  <c r="HR73" i="14" s="1"/>
  <c r="HS73" i="14" s="1"/>
  <c r="ES90" i="14"/>
  <c r="EX90" i="14" s="1"/>
  <c r="EY90" i="14" s="1"/>
  <c r="EZ90" i="14" s="1"/>
  <c r="FA90" i="14" s="1"/>
  <c r="FF90" i="14" s="1"/>
  <c r="FG90" i="14" s="1"/>
  <c r="FH90" i="14" s="1"/>
  <c r="FI90" i="14" s="1"/>
  <c r="HP90" i="14"/>
  <c r="HQ90" i="14" s="1"/>
  <c r="HR90" i="14" s="1"/>
  <c r="HS90" i="14" s="1"/>
  <c r="EG149" i="14"/>
  <c r="HE149" i="14" s="1"/>
  <c r="EG146" i="14"/>
  <c r="FC146" i="14" s="1"/>
  <c r="HH103" i="14"/>
  <c r="HI103" i="14" s="1"/>
  <c r="HJ103" i="14" s="1"/>
  <c r="HK103" i="14" s="1"/>
  <c r="HP103" i="14" s="1"/>
  <c r="HQ103" i="14" s="1"/>
  <c r="HR103" i="14" s="1"/>
  <c r="HS103" i="14" s="1"/>
  <c r="BA56" i="43"/>
  <c r="F24" i="45" s="1"/>
  <c r="BA64" i="43"/>
  <c r="F32" i="45" s="1"/>
  <c r="BA63" i="43"/>
  <c r="F31" i="45" s="1"/>
  <c r="BA68" i="43"/>
  <c r="F36" i="45" s="1"/>
  <c r="BB68" i="43"/>
  <c r="G36" i="45" s="1"/>
  <c r="BA67" i="43"/>
  <c r="F35" i="45" s="1"/>
  <c r="BA71" i="43"/>
  <c r="F39" i="45" s="1"/>
  <c r="BA69" i="43"/>
  <c r="F37" i="45" s="1"/>
  <c r="BA70" i="43"/>
  <c r="F38" i="45" s="1"/>
  <c r="BA55" i="43"/>
  <c r="F23" i="45" s="1"/>
  <c r="CM47" i="38"/>
  <c r="CN47" i="38" s="1"/>
  <c r="CO47" i="38" s="1"/>
  <c r="CP47" i="38" s="1"/>
  <c r="CA125" i="38"/>
  <c r="CB125" i="38" s="1"/>
  <c r="CC125" i="38" s="1"/>
  <c r="CD125" i="38" s="1"/>
  <c r="BW111" i="38"/>
  <c r="BX111" i="38" s="1"/>
  <c r="BY111" i="38" s="1"/>
  <c r="BZ111" i="38" s="1"/>
  <c r="CA111" i="38" s="1"/>
  <c r="CB111" i="38" s="1"/>
  <c r="CC111" i="38" s="1"/>
  <c r="CD111" i="38" s="1"/>
  <c r="BW128" i="38"/>
  <c r="BX128" i="38" s="1"/>
  <c r="BY128" i="38" s="1"/>
  <c r="BZ128" i="38" s="1"/>
  <c r="CA128" i="38" s="1"/>
  <c r="CB128" i="38" s="1"/>
  <c r="CC128" i="38" s="1"/>
  <c r="CD128" i="38" s="1"/>
  <c r="CI45" i="38"/>
  <c r="CJ45" i="38" s="1"/>
  <c r="CK45" i="38" s="1"/>
  <c r="CL45" i="38" s="1"/>
  <c r="CM45" i="38" s="1"/>
  <c r="CN45" i="38" s="1"/>
  <c r="CO45" i="38" s="1"/>
  <c r="CP45" i="38" s="1"/>
  <c r="CI65" i="38"/>
  <c r="CJ65" i="38" s="1"/>
  <c r="CK65" i="38" s="1"/>
  <c r="CL65" i="38" s="1"/>
  <c r="CE90" i="38"/>
  <c r="CF90" i="38" s="1"/>
  <c r="CG90" i="38" s="1"/>
  <c r="CH90" i="38" s="1"/>
  <c r="CI90" i="38" s="1"/>
  <c r="CJ90" i="38" s="1"/>
  <c r="CK90" i="38" s="1"/>
  <c r="CL90" i="38" s="1"/>
  <c r="CM90" i="38" s="1"/>
  <c r="CN90" i="38" s="1"/>
  <c r="CO90" i="38" s="1"/>
  <c r="CP90" i="38" s="1"/>
  <c r="CI53" i="38"/>
  <c r="CJ53" i="38" s="1"/>
  <c r="CK53" i="38" s="1"/>
  <c r="CL53" i="38" s="1"/>
  <c r="CM53" i="38" s="1"/>
  <c r="CN53" i="38" s="1"/>
  <c r="CO53" i="38" s="1"/>
  <c r="CP53" i="38" s="1"/>
  <c r="CQ53" i="38" s="1"/>
  <c r="CR53" i="38" s="1"/>
  <c r="CS53" i="38" s="1"/>
  <c r="CT53" i="38" s="1"/>
  <c r="CI58" i="38"/>
  <c r="CJ58" i="38" s="1"/>
  <c r="CK58" i="38" s="1"/>
  <c r="CL58" i="38" s="1"/>
  <c r="CM58" i="38" s="1"/>
  <c r="CN58" i="38" s="1"/>
  <c r="CO58" i="38" s="1"/>
  <c r="CP58" i="38" s="1"/>
  <c r="BW144" i="38"/>
  <c r="BX144" i="38" s="1"/>
  <c r="BY144" i="38" s="1"/>
  <c r="BZ144" i="38" s="1"/>
  <c r="CA144" i="38" s="1"/>
  <c r="CB144" i="38" s="1"/>
  <c r="CC144" i="38" s="1"/>
  <c r="CD144" i="38" s="1"/>
  <c r="CE144" i="38" s="1"/>
  <c r="CF144" i="38" s="1"/>
  <c r="CG144" i="38" s="1"/>
  <c r="CH144" i="38" s="1"/>
  <c r="CI144" i="38" s="1"/>
  <c r="CJ144" i="38" s="1"/>
  <c r="CK144" i="38" s="1"/>
  <c r="CL144" i="38" s="1"/>
  <c r="BW109" i="38"/>
  <c r="BX109" i="38" s="1"/>
  <c r="BY109" i="38" s="1"/>
  <c r="BZ109" i="38" s="1"/>
  <c r="BW130" i="38"/>
  <c r="BX130" i="38" s="1"/>
  <c r="BY130" i="38" s="1"/>
  <c r="BZ130" i="38" s="1"/>
  <c r="CA130" i="38" s="1"/>
  <c r="CB130" i="38" s="1"/>
  <c r="CC130" i="38" s="1"/>
  <c r="CD130" i="38" s="1"/>
  <c r="CE70" i="38"/>
  <c r="CF70" i="38" s="1"/>
  <c r="CG70" i="38" s="1"/>
  <c r="CH70" i="38" s="1"/>
  <c r="CI70" i="38" s="1"/>
  <c r="CJ70" i="38" s="1"/>
  <c r="CK70" i="38" s="1"/>
  <c r="CL70" i="38" s="1"/>
  <c r="CE78" i="38"/>
  <c r="CF78" i="38" s="1"/>
  <c r="CG78" i="38" s="1"/>
  <c r="CH78" i="38" s="1"/>
  <c r="CI78" i="38" s="1"/>
  <c r="CJ78" i="38" s="1"/>
  <c r="CK78" i="38" s="1"/>
  <c r="CL78" i="38" s="1"/>
  <c r="CM78" i="38" s="1"/>
  <c r="CN78" i="38" s="1"/>
  <c r="CO78" i="38" s="1"/>
  <c r="CP78" i="38" s="1"/>
  <c r="CQ78" i="38" s="1"/>
  <c r="CR78" i="38" s="1"/>
  <c r="CS78" i="38" s="1"/>
  <c r="CT78" i="38" s="1"/>
  <c r="CE99" i="38"/>
  <c r="CF99" i="38" s="1"/>
  <c r="CG99" i="38" s="1"/>
  <c r="CH99" i="38" s="1"/>
  <c r="CE55" i="38"/>
  <c r="CF55" i="38" s="1"/>
  <c r="CG55" i="38" s="1"/>
  <c r="CH55" i="38" s="1"/>
  <c r="CI55" i="38" s="1"/>
  <c r="CJ55" i="38" s="1"/>
  <c r="CK55" i="38" s="1"/>
  <c r="CL55" i="38" s="1"/>
  <c r="CM55" i="38" s="1"/>
  <c r="CN55" i="38" s="1"/>
  <c r="CO55" i="38" s="1"/>
  <c r="CP55" i="38" s="1"/>
  <c r="CE68" i="38"/>
  <c r="CF68" i="38" s="1"/>
  <c r="CG68" i="38" s="1"/>
  <c r="CH68" i="38" s="1"/>
  <c r="CA71" i="38"/>
  <c r="CB71" i="38" s="1"/>
  <c r="CC71" i="38" s="1"/>
  <c r="CD71" i="38" s="1"/>
  <c r="CE71" i="38" s="1"/>
  <c r="CF71" i="38" s="1"/>
  <c r="CG71" i="38" s="1"/>
  <c r="CH71" i="38" s="1"/>
  <c r="CM61" i="38"/>
  <c r="CN61" i="38" s="1"/>
  <c r="CO61" i="38" s="1"/>
  <c r="CP61" i="38" s="1"/>
  <c r="CM120" i="38"/>
  <c r="CN120" i="38" s="1"/>
  <c r="CO120" i="38" s="1"/>
  <c r="CP120" i="38" s="1"/>
  <c r="CQ120" i="38" s="1"/>
  <c r="CR120" i="38" s="1"/>
  <c r="CS120" i="38" s="1"/>
  <c r="CT120" i="38" s="1"/>
  <c r="CU120" i="38" s="1"/>
  <c r="CV120" i="38" s="1"/>
  <c r="CQ122" i="38"/>
  <c r="CR122" i="38" s="1"/>
  <c r="CS122" i="38" s="1"/>
  <c r="CT122" i="38" s="1"/>
  <c r="CI84" i="38"/>
  <c r="CJ84" i="38" s="1"/>
  <c r="CK84" i="38" s="1"/>
  <c r="CL84" i="38" s="1"/>
  <c r="CM104" i="38"/>
  <c r="CN104" i="38" s="1"/>
  <c r="CO104" i="38" s="1"/>
  <c r="CP104" i="38" s="1"/>
  <c r="CQ104" i="38" s="1"/>
  <c r="CR104" i="38" s="1"/>
  <c r="CS104" i="38" s="1"/>
  <c r="CT104" i="38" s="1"/>
  <c r="CU104" i="38" s="1"/>
  <c r="CV104" i="38" s="1"/>
  <c r="BW127" i="38"/>
  <c r="BX127" i="38" s="1"/>
  <c r="BY127" i="38" s="1"/>
  <c r="BZ127" i="38" s="1"/>
  <c r="CM77" i="38"/>
  <c r="CN77" i="38" s="1"/>
  <c r="CO77" i="38" s="1"/>
  <c r="CP77" i="38" s="1"/>
  <c r="CE112" i="38"/>
  <c r="CF112" i="38" s="1"/>
  <c r="CG112" i="38" s="1"/>
  <c r="CH112" i="38" s="1"/>
  <c r="CI112" i="38" s="1"/>
  <c r="CJ112" i="38" s="1"/>
  <c r="CK112" i="38" s="1"/>
  <c r="CL112" i="38" s="1"/>
  <c r="CE51" i="38"/>
  <c r="CF51" i="38" s="1"/>
  <c r="CG51" i="38" s="1"/>
  <c r="CH51" i="38" s="1"/>
  <c r="CI51" i="38" s="1"/>
  <c r="CJ51" i="38" s="1"/>
  <c r="CK51" i="38" s="1"/>
  <c r="CL51" i="38" s="1"/>
  <c r="CI92" i="38"/>
  <c r="CJ92" i="38" s="1"/>
  <c r="CK92" i="38" s="1"/>
  <c r="CL92" i="38" s="1"/>
  <c r="CI48" i="38"/>
  <c r="CJ48" i="38" s="1"/>
  <c r="CK48" i="38" s="1"/>
  <c r="CL48" i="38" s="1"/>
  <c r="CM48" i="38" s="1"/>
  <c r="CN48" i="38" s="1"/>
  <c r="CO48" i="38" s="1"/>
  <c r="CP48" i="38" s="1"/>
  <c r="CQ140" i="38"/>
  <c r="CR140" i="38" s="1"/>
  <c r="CS140" i="38" s="1"/>
  <c r="CT140" i="38" s="1"/>
  <c r="CM93" i="38"/>
  <c r="CN93" i="38" s="1"/>
  <c r="CO93" i="38" s="1"/>
  <c r="CP93" i="38" s="1"/>
  <c r="CQ93" i="38" s="1"/>
  <c r="CR93" i="38" s="1"/>
  <c r="CS93" i="38" s="1"/>
  <c r="CT93" i="38" s="1"/>
  <c r="CU93" i="38" s="1"/>
  <c r="CV93" i="38" s="1"/>
  <c r="CI96" i="38"/>
  <c r="CJ96" i="38" s="1"/>
  <c r="CK96" i="38" s="1"/>
  <c r="CL96" i="38" s="1"/>
  <c r="CM96" i="38" s="1"/>
  <c r="CN96" i="38" s="1"/>
  <c r="CO96" i="38" s="1"/>
  <c r="CP96" i="38" s="1"/>
  <c r="CA143" i="38"/>
  <c r="CB143" i="38" s="1"/>
  <c r="CC143" i="38" s="1"/>
  <c r="CD143" i="38" s="1"/>
  <c r="CE143" i="38" s="1"/>
  <c r="CF143" i="38" s="1"/>
  <c r="CG143" i="38" s="1"/>
  <c r="CH143" i="38" s="1"/>
  <c r="CM88" i="38"/>
  <c r="CN88" i="38" s="1"/>
  <c r="CO88" i="38" s="1"/>
  <c r="CP88" i="38" s="1"/>
  <c r="CQ88" i="38" s="1"/>
  <c r="CR88" i="38" s="1"/>
  <c r="CS88" i="38" s="1"/>
  <c r="CT88" i="38" s="1"/>
  <c r="CE103" i="38"/>
  <c r="CF103" i="38" s="1"/>
  <c r="CG103" i="38" s="1"/>
  <c r="CH103" i="38" s="1"/>
  <c r="CI103" i="38" s="1"/>
  <c r="CJ103" i="38" s="1"/>
  <c r="CK103" i="38" s="1"/>
  <c r="CL103" i="38" s="1"/>
  <c r="CM103" i="38" s="1"/>
  <c r="CN103" i="38" s="1"/>
  <c r="CO103" i="38" s="1"/>
  <c r="CP103" i="38" s="1"/>
  <c r="BW106" i="38"/>
  <c r="BX106" i="38" s="1"/>
  <c r="BY106" i="38" s="1"/>
  <c r="BZ106" i="38" s="1"/>
  <c r="CA106" i="38" s="1"/>
  <c r="CB106" i="38" s="1"/>
  <c r="CC106" i="38" s="1"/>
  <c r="CD106" i="38" s="1"/>
  <c r="CA69" i="38"/>
  <c r="CB69" i="38" s="1"/>
  <c r="CC69" i="38" s="1"/>
  <c r="CD69" i="38" s="1"/>
  <c r="BW105" i="38"/>
  <c r="BX105" i="38" s="1"/>
  <c r="BY105" i="38" s="1"/>
  <c r="BZ105" i="38" s="1"/>
  <c r="BW142" i="38"/>
  <c r="BX142" i="38" s="1"/>
  <c r="BY142" i="38" s="1"/>
  <c r="BZ142" i="38" s="1"/>
  <c r="CA142" i="38" s="1"/>
  <c r="CB142" i="38" s="1"/>
  <c r="CC142" i="38" s="1"/>
  <c r="CD142" i="38" s="1"/>
  <c r="CE142" i="38" s="1"/>
  <c r="CF142" i="38" s="1"/>
  <c r="CG142" i="38" s="1"/>
  <c r="CH142" i="38" s="1"/>
  <c r="CI142" i="38" s="1"/>
  <c r="CJ142" i="38" s="1"/>
  <c r="CK142" i="38" s="1"/>
  <c r="CL142" i="38" s="1"/>
  <c r="CM142" i="38" s="1"/>
  <c r="CN142" i="38" s="1"/>
  <c r="CO142" i="38" s="1"/>
  <c r="CP142" i="38" s="1"/>
  <c r="BW132" i="38"/>
  <c r="BX132" i="38" s="1"/>
  <c r="BY132" i="38" s="1"/>
  <c r="BZ132" i="38" s="1"/>
  <c r="CA132" i="38" s="1"/>
  <c r="CB132" i="38" s="1"/>
  <c r="CC132" i="38" s="1"/>
  <c r="CD132" i="38" s="1"/>
  <c r="CE132" i="38" s="1"/>
  <c r="CF132" i="38" s="1"/>
  <c r="CG132" i="38" s="1"/>
  <c r="CH132" i="38" s="1"/>
  <c r="CI132" i="38" s="1"/>
  <c r="CJ132" i="38" s="1"/>
  <c r="CK132" i="38" s="1"/>
  <c r="CL132" i="38" s="1"/>
  <c r="CM132" i="38" s="1"/>
  <c r="CN132" i="38" s="1"/>
  <c r="CO132" i="38" s="1"/>
  <c r="CP132" i="38" s="1"/>
  <c r="CQ132" i="38" s="1"/>
  <c r="CR132" i="38" s="1"/>
  <c r="CS132" i="38" s="1"/>
  <c r="CT132" i="38" s="1"/>
  <c r="CQ138" i="38"/>
  <c r="CR138" i="38" s="1"/>
  <c r="CS138" i="38" s="1"/>
  <c r="CT138" i="38" s="1"/>
  <c r="CM79" i="38"/>
  <c r="CN79" i="38" s="1"/>
  <c r="CO79" i="38" s="1"/>
  <c r="CP79" i="38" s="1"/>
  <c r="BW124" i="38"/>
  <c r="BX124" i="38" s="1"/>
  <c r="BY124" i="38" s="1"/>
  <c r="BZ124" i="38" s="1"/>
  <c r="CA124" i="38" s="1"/>
  <c r="CB124" i="38" s="1"/>
  <c r="CC124" i="38" s="1"/>
  <c r="CD124" i="38" s="1"/>
  <c r="CA137" i="38"/>
  <c r="CB137" i="38" s="1"/>
  <c r="CC137" i="38" s="1"/>
  <c r="CD137" i="38" s="1"/>
  <c r="CM59" i="38"/>
  <c r="CN59" i="38" s="1"/>
  <c r="CO59" i="38" s="1"/>
  <c r="CP59" i="38" s="1"/>
  <c r="CI115" i="38"/>
  <c r="CJ115" i="38" s="1"/>
  <c r="CK115" i="38" s="1"/>
  <c r="CL115" i="38" s="1"/>
  <c r="CM115" i="38" s="1"/>
  <c r="CN115" i="38" s="1"/>
  <c r="CO115" i="38" s="1"/>
  <c r="CP115" i="38" s="1"/>
  <c r="CQ115" i="38" s="1"/>
  <c r="CR115" i="38" s="1"/>
  <c r="CS115" i="38" s="1"/>
  <c r="CT115" i="38" s="1"/>
  <c r="CQ81" i="38"/>
  <c r="CR81" i="38" s="1"/>
  <c r="CS81" i="38" s="1"/>
  <c r="CT81" i="38" s="1"/>
  <c r="CI85" i="38"/>
  <c r="CJ85" i="38" s="1"/>
  <c r="CK85" i="38" s="1"/>
  <c r="CL85" i="38" s="1"/>
  <c r="CA131" i="38"/>
  <c r="CB131" i="38" s="1"/>
  <c r="CC131" i="38" s="1"/>
  <c r="CD131" i="38" s="1"/>
  <c r="BW135" i="38"/>
  <c r="BX135" i="38" s="1"/>
  <c r="BY135" i="38" s="1"/>
  <c r="BZ135" i="38" s="1"/>
  <c r="BW133" i="38"/>
  <c r="BX133" i="38" s="1"/>
  <c r="BY133" i="38" s="1"/>
  <c r="BZ133" i="38" s="1"/>
  <c r="CA133" i="38" s="1"/>
  <c r="CB133" i="38" s="1"/>
  <c r="CC133" i="38" s="1"/>
  <c r="CD133" i="38" s="1"/>
  <c r="CE133" i="38" s="1"/>
  <c r="CF133" i="38" s="1"/>
  <c r="CG133" i="38" s="1"/>
  <c r="CH133" i="38" s="1"/>
  <c r="BW107" i="38"/>
  <c r="BX107" i="38" s="1"/>
  <c r="BY107" i="38" s="1"/>
  <c r="BZ107" i="38" s="1"/>
  <c r="CE46" i="38"/>
  <c r="CF46" i="38" s="1"/>
  <c r="CG46" i="38" s="1"/>
  <c r="CH46" i="38" s="1"/>
  <c r="CI46" i="38" s="1"/>
  <c r="CJ46" i="38" s="1"/>
  <c r="CK46" i="38" s="1"/>
  <c r="CL46" i="38" s="1"/>
  <c r="CM73" i="38"/>
  <c r="CN73" i="38" s="1"/>
  <c r="CO73" i="38" s="1"/>
  <c r="CP73" i="38" s="1"/>
  <c r="CQ73" i="38" s="1"/>
  <c r="CR73" i="38" s="1"/>
  <c r="CS73" i="38" s="1"/>
  <c r="CT73" i="38" s="1"/>
  <c r="CU73" i="38" s="1"/>
  <c r="CV73" i="38" s="1"/>
  <c r="CQ83" i="38"/>
  <c r="CR83" i="38" s="1"/>
  <c r="CS83" i="38" s="1"/>
  <c r="CT83" i="38" s="1"/>
  <c r="CU83" i="38" s="1"/>
  <c r="CV83" i="38" s="1"/>
  <c r="CQ74" i="38"/>
  <c r="CR74" i="38" s="1"/>
  <c r="CS74" i="38" s="1"/>
  <c r="CT74" i="38" s="1"/>
  <c r="CI95" i="38"/>
  <c r="CJ95" i="38" s="1"/>
  <c r="CK95" i="38" s="1"/>
  <c r="CL95" i="38" s="1"/>
  <c r="CM95" i="38" s="1"/>
  <c r="CN95" i="38" s="1"/>
  <c r="CO95" i="38" s="1"/>
  <c r="CP95" i="38" s="1"/>
  <c r="CE97" i="38"/>
  <c r="CF97" i="38" s="1"/>
  <c r="CG97" i="38" s="1"/>
  <c r="CH97" i="38" s="1"/>
  <c r="CI97" i="38" s="1"/>
  <c r="CJ97" i="38" s="1"/>
  <c r="CK97" i="38" s="1"/>
  <c r="CL97" i="38" s="1"/>
  <c r="ES105" i="14"/>
  <c r="EX105" i="14" s="1"/>
  <c r="EY105" i="14" s="1"/>
  <c r="EZ105" i="14" s="1"/>
  <c r="FA105" i="14" s="1"/>
  <c r="FF105" i="14" s="1"/>
  <c r="FG105" i="14" s="1"/>
  <c r="FH105" i="14" s="1"/>
  <c r="FI105" i="14" s="1"/>
  <c r="CU123" i="38"/>
  <c r="CV123" i="38" s="1"/>
  <c r="CE67" i="38"/>
  <c r="CF67" i="38" s="1"/>
  <c r="CG67" i="38" s="1"/>
  <c r="CH67" i="38" s="1"/>
  <c r="CA134" i="38"/>
  <c r="CB134" i="38" s="1"/>
  <c r="CC134" i="38" s="1"/>
  <c r="CD134" i="38" s="1"/>
  <c r="CM89" i="38"/>
  <c r="CN89" i="38" s="1"/>
  <c r="CO89" i="38" s="1"/>
  <c r="CP89" i="38" s="1"/>
  <c r="CQ89" i="38" s="1"/>
  <c r="CR89" i="38" s="1"/>
  <c r="CS89" i="38" s="1"/>
  <c r="CT89" i="38" s="1"/>
  <c r="CU56" i="38"/>
  <c r="CV56" i="38" s="1"/>
  <c r="CE126" i="38"/>
  <c r="CF126" i="38" s="1"/>
  <c r="CG126" i="38" s="1"/>
  <c r="CH126" i="38" s="1"/>
  <c r="CI126" i="38" s="1"/>
  <c r="CJ126" i="38" s="1"/>
  <c r="CK126" i="38" s="1"/>
  <c r="CL126" i="38" s="1"/>
  <c r="BW113" i="38"/>
  <c r="BX113" i="38" s="1"/>
  <c r="BY113" i="38" s="1"/>
  <c r="BZ113" i="38" s="1"/>
  <c r="BW141" i="38"/>
  <c r="BX141" i="38" s="1"/>
  <c r="BY141" i="38" s="1"/>
  <c r="BZ141" i="38" s="1"/>
  <c r="CE76" i="38"/>
  <c r="CF76" i="38" s="1"/>
  <c r="CG76" i="38" s="1"/>
  <c r="CH76" i="38" s="1"/>
  <c r="CE66" i="38"/>
  <c r="CF66" i="38" s="1"/>
  <c r="CG66" i="38" s="1"/>
  <c r="CH66" i="38" s="1"/>
  <c r="CI57" i="38"/>
  <c r="CJ57" i="38" s="1"/>
  <c r="CK57" i="38" s="1"/>
  <c r="CL57" i="38" s="1"/>
  <c r="CM57" i="38" s="1"/>
  <c r="CN57" i="38" s="1"/>
  <c r="CO57" i="38" s="1"/>
  <c r="CP57" i="38" s="1"/>
  <c r="CE64" i="38"/>
  <c r="CF64" i="38" s="1"/>
  <c r="CG64" i="38" s="1"/>
  <c r="CH64" i="38" s="1"/>
  <c r="CE117" i="38"/>
  <c r="CF117" i="38" s="1"/>
  <c r="CG117" i="38" s="1"/>
  <c r="CH117" i="38" s="1"/>
  <c r="BW108" i="38"/>
  <c r="BX108" i="38" s="1"/>
  <c r="BY108" i="38" s="1"/>
  <c r="BZ108" i="38" s="1"/>
  <c r="CA108" i="38" s="1"/>
  <c r="CB108" i="38" s="1"/>
  <c r="CC108" i="38" s="1"/>
  <c r="CD108" i="38" s="1"/>
  <c r="CU102" i="38"/>
  <c r="CV102" i="38" s="1"/>
  <c r="CI49" i="38"/>
  <c r="CJ49" i="38" s="1"/>
  <c r="CK49" i="38" s="1"/>
  <c r="CL49" i="38" s="1"/>
  <c r="CM49" i="38" s="1"/>
  <c r="CN49" i="38" s="1"/>
  <c r="CO49" i="38" s="1"/>
  <c r="CP49" i="38" s="1"/>
  <c r="BW110" i="38"/>
  <c r="BX110" i="38" s="1"/>
  <c r="BY110" i="38" s="1"/>
  <c r="BZ110" i="38" s="1"/>
  <c r="CA110" i="38" s="1"/>
  <c r="CB110" i="38" s="1"/>
  <c r="CC110" i="38" s="1"/>
  <c r="CD110" i="38" s="1"/>
  <c r="CE110" i="38" s="1"/>
  <c r="CF110" i="38" s="1"/>
  <c r="CG110" i="38" s="1"/>
  <c r="CH110" i="38" s="1"/>
  <c r="CI110" i="38" s="1"/>
  <c r="CJ110" i="38" s="1"/>
  <c r="CK110" i="38" s="1"/>
  <c r="CL110" i="38" s="1"/>
  <c r="CQ114" i="38"/>
  <c r="CR114" i="38" s="1"/>
  <c r="CS114" i="38" s="1"/>
  <c r="CT114" i="38" s="1"/>
  <c r="CU114" i="38" s="1"/>
  <c r="CV114" i="38" s="1"/>
  <c r="CE62" i="38"/>
  <c r="CF62" i="38" s="1"/>
  <c r="CG62" i="38" s="1"/>
  <c r="CH62" i="38" s="1"/>
  <c r="CI62" i="38" s="1"/>
  <c r="CJ62" i="38" s="1"/>
  <c r="CK62" i="38" s="1"/>
  <c r="CL62" i="38" s="1"/>
  <c r="CI60" i="38"/>
  <c r="CJ60" i="38" s="1"/>
  <c r="CK60" i="38" s="1"/>
  <c r="CL60" i="38" s="1"/>
  <c r="CM60" i="38" s="1"/>
  <c r="CN60" i="38" s="1"/>
  <c r="CO60" i="38" s="1"/>
  <c r="CP60" i="38" s="1"/>
  <c r="BW136" i="38"/>
  <c r="BX136" i="38" s="1"/>
  <c r="BY136" i="38" s="1"/>
  <c r="BZ136" i="38" s="1"/>
  <c r="CU86" i="38"/>
  <c r="CV86" i="38" s="1"/>
  <c r="CM87" i="38"/>
  <c r="CN87" i="38" s="1"/>
  <c r="CO87" i="38" s="1"/>
  <c r="CP87" i="38" s="1"/>
  <c r="CQ87" i="38" s="1"/>
  <c r="CR87" i="38" s="1"/>
  <c r="CS87" i="38" s="1"/>
  <c r="CT87" i="38" s="1"/>
  <c r="CU52" i="38"/>
  <c r="CV52" i="38" s="1"/>
  <c r="BW139" i="38"/>
  <c r="BX139" i="38" s="1"/>
  <c r="BY139" i="38" s="1"/>
  <c r="BZ139" i="38" s="1"/>
  <c r="CA139" i="38" s="1"/>
  <c r="CB139" i="38" s="1"/>
  <c r="CC139" i="38" s="1"/>
  <c r="CD139" i="38" s="1"/>
  <c r="CE139" i="38" s="1"/>
  <c r="CF139" i="38" s="1"/>
  <c r="CG139" i="38" s="1"/>
  <c r="CH139" i="38" s="1"/>
  <c r="CI75" i="38"/>
  <c r="CJ75" i="38" s="1"/>
  <c r="CK75" i="38" s="1"/>
  <c r="CL75" i="38" s="1"/>
  <c r="CM75" i="38" s="1"/>
  <c r="CN75" i="38" s="1"/>
  <c r="CO75" i="38" s="1"/>
  <c r="CP75" i="38" s="1"/>
  <c r="CQ75" i="38" s="1"/>
  <c r="CR75" i="38" s="1"/>
  <c r="CS75" i="38" s="1"/>
  <c r="CT75" i="38" s="1"/>
  <c r="BW129" i="38"/>
  <c r="BX129" i="38" s="1"/>
  <c r="BY129" i="38" s="1"/>
  <c r="BZ129" i="38" s="1"/>
  <c r="CE91" i="38"/>
  <c r="CF91" i="38" s="1"/>
  <c r="CG91" i="38" s="1"/>
  <c r="CH91" i="38" s="1"/>
  <c r="CM116" i="38"/>
  <c r="CN116" i="38" s="1"/>
  <c r="CO116" i="38" s="1"/>
  <c r="CP116" i="38" s="1"/>
  <c r="CQ116" i="38" s="1"/>
  <c r="CR116" i="38" s="1"/>
  <c r="CS116" i="38" s="1"/>
  <c r="CT116" i="38" s="1"/>
  <c r="CU116" i="38" s="1"/>
  <c r="CV116" i="38" s="1"/>
  <c r="CI72" i="38"/>
  <c r="CJ72" i="38" s="1"/>
  <c r="CK72" i="38" s="1"/>
  <c r="CL72" i="38" s="1"/>
  <c r="ES135" i="14"/>
  <c r="EX135" i="14" s="1"/>
  <c r="EY135" i="14" s="1"/>
  <c r="EZ135" i="14" s="1"/>
  <c r="FA135" i="14" s="1"/>
  <c r="FF135" i="14" s="1"/>
  <c r="FG135" i="14" s="1"/>
  <c r="FH135" i="14" s="1"/>
  <c r="FI135" i="14" s="1"/>
  <c r="ES93" i="14"/>
  <c r="EX93" i="14" s="1"/>
  <c r="EY93" i="14" s="1"/>
  <c r="EZ93" i="14" s="1"/>
  <c r="FA93" i="14" s="1"/>
  <c r="FF93" i="14" s="1"/>
  <c r="FG93" i="14" s="1"/>
  <c r="FH93" i="14" s="1"/>
  <c r="FI93" i="14" s="1"/>
  <c r="FO93" i="14" s="1"/>
  <c r="HH135" i="14"/>
  <c r="HI135" i="14" s="1"/>
  <c r="HJ135" i="14" s="1"/>
  <c r="HK135" i="14" s="1"/>
  <c r="HP135" i="14" s="1"/>
  <c r="HQ135" i="14" s="1"/>
  <c r="HR135" i="14" s="1"/>
  <c r="HS135" i="14" s="1"/>
  <c r="HH106" i="14"/>
  <c r="HI106" i="14" s="1"/>
  <c r="HJ106" i="14" s="1"/>
  <c r="HK106" i="14" s="1"/>
  <c r="HP106" i="14" s="1"/>
  <c r="HQ106" i="14" s="1"/>
  <c r="HR106" i="14" s="1"/>
  <c r="HS106" i="14" s="1"/>
  <c r="BZ40" i="38"/>
  <c r="ES78" i="14"/>
  <c r="EX78" i="14" s="1"/>
  <c r="EY78" i="14" s="1"/>
  <c r="EZ78" i="14" s="1"/>
  <c r="FA78" i="14" s="1"/>
  <c r="FF78" i="14" s="1"/>
  <c r="FG78" i="14" s="1"/>
  <c r="FH78" i="14" s="1"/>
  <c r="FI78" i="14" s="1"/>
  <c r="FC88" i="14"/>
  <c r="EG153" i="14"/>
  <c r="HM153" i="14" s="1"/>
  <c r="ES130" i="14"/>
  <c r="EX130" i="14" s="1"/>
  <c r="EY130" i="14" s="1"/>
  <c r="EZ130" i="14" s="1"/>
  <c r="FA130" i="14" s="1"/>
  <c r="FF130" i="14" s="1"/>
  <c r="FG130" i="14" s="1"/>
  <c r="FH130" i="14" s="1"/>
  <c r="FI130" i="14" s="1"/>
  <c r="FN130" i="14" s="1"/>
  <c r="HP102" i="14"/>
  <c r="HQ102" i="14" s="1"/>
  <c r="HR102" i="14" s="1"/>
  <c r="HS102" i="14" s="1"/>
  <c r="HY102" i="14" s="1"/>
  <c r="FJ143" i="14"/>
  <c r="HE88" i="14"/>
  <c r="BZ39" i="38"/>
  <c r="HP105" i="14"/>
  <c r="HQ105" i="14" s="1"/>
  <c r="HR105" i="14" s="1"/>
  <c r="HS105" i="14" s="1"/>
  <c r="GW88" i="14"/>
  <c r="GZ88" i="14" s="1"/>
  <c r="HA88" i="14" s="1"/>
  <c r="HB88" i="14" s="1"/>
  <c r="HC88" i="14" s="1"/>
  <c r="EM88" i="14"/>
  <c r="EP88" i="14" s="1"/>
  <c r="EQ88" i="14" s="1"/>
  <c r="ER88" i="14" s="1"/>
  <c r="ES88" i="14" s="1"/>
  <c r="EU88" i="14"/>
  <c r="ES103" i="14"/>
  <c r="EX103" i="14" s="1"/>
  <c r="EY103" i="14" s="1"/>
  <c r="EZ103" i="14" s="1"/>
  <c r="FA103" i="14" s="1"/>
  <c r="FF103" i="14" s="1"/>
  <c r="FG103" i="14" s="1"/>
  <c r="FH103" i="14" s="1"/>
  <c r="FI103" i="14" s="1"/>
  <c r="FO103" i="14" s="1"/>
  <c r="BZ38" i="38"/>
  <c r="EX73" i="14"/>
  <c r="EY73" i="14" s="1"/>
  <c r="EZ73" i="14" s="1"/>
  <c r="FA73" i="14" s="1"/>
  <c r="FF73" i="14" s="1"/>
  <c r="FG73" i="14" s="1"/>
  <c r="FH73" i="14" s="1"/>
  <c r="FI73" i="14" s="1"/>
  <c r="FJ147" i="14"/>
  <c r="GW89" i="14"/>
  <c r="GZ89" i="14" s="1"/>
  <c r="HA89" i="14" s="1"/>
  <c r="HB89" i="14" s="1"/>
  <c r="HC89" i="14" s="1"/>
  <c r="EG145" i="14"/>
  <c r="FC145" i="14" s="1"/>
  <c r="HP78" i="14"/>
  <c r="HQ78" i="14" s="1"/>
  <c r="HR78" i="14" s="1"/>
  <c r="HS78" i="14" s="1"/>
  <c r="HH132" i="14"/>
  <c r="HI132" i="14" s="1"/>
  <c r="HJ132" i="14" s="1"/>
  <c r="HK132" i="14" s="1"/>
  <c r="HP132" i="14" s="1"/>
  <c r="HQ132" i="14" s="1"/>
  <c r="HR132" i="14" s="1"/>
  <c r="HS132" i="14" s="1"/>
  <c r="HX132" i="14" s="1"/>
  <c r="HM88" i="14"/>
  <c r="EX96" i="14"/>
  <c r="EY96" i="14" s="1"/>
  <c r="EZ96" i="14" s="1"/>
  <c r="FA96" i="14" s="1"/>
  <c r="FF96" i="14" s="1"/>
  <c r="FG96" i="14" s="1"/>
  <c r="FH96" i="14" s="1"/>
  <c r="FI96" i="14" s="1"/>
  <c r="FC128" i="14"/>
  <c r="EX107" i="14"/>
  <c r="EY107" i="14" s="1"/>
  <c r="EZ107" i="14" s="1"/>
  <c r="FA107" i="14" s="1"/>
  <c r="FF107" i="14" s="1"/>
  <c r="FG107" i="14" s="1"/>
  <c r="FH107" i="14" s="1"/>
  <c r="FI107" i="14" s="1"/>
  <c r="HH107" i="14"/>
  <c r="HI107" i="14" s="1"/>
  <c r="HJ107" i="14" s="1"/>
  <c r="HK107" i="14" s="1"/>
  <c r="HP107" i="14" s="1"/>
  <c r="HQ107" i="14" s="1"/>
  <c r="HR107" i="14" s="1"/>
  <c r="HS107" i="14" s="1"/>
  <c r="ES82" i="14"/>
  <c r="EX82" i="14" s="1"/>
  <c r="EY82" i="14" s="1"/>
  <c r="EZ82" i="14" s="1"/>
  <c r="FA82" i="14" s="1"/>
  <c r="FF82" i="14" s="1"/>
  <c r="FG82" i="14" s="1"/>
  <c r="FH82" i="14" s="1"/>
  <c r="FI82" i="14" s="1"/>
  <c r="FN82" i="14" s="1"/>
  <c r="EG120" i="14"/>
  <c r="FC120" i="14" s="1"/>
  <c r="EG150" i="14"/>
  <c r="EU150" i="14" s="1"/>
  <c r="EG124" i="14"/>
  <c r="EU124" i="14" s="1"/>
  <c r="HM89" i="14"/>
  <c r="HH82" i="14"/>
  <c r="HI82" i="14" s="1"/>
  <c r="HJ82" i="14" s="1"/>
  <c r="HK82" i="14" s="1"/>
  <c r="HP82" i="14" s="1"/>
  <c r="HQ82" i="14" s="1"/>
  <c r="HR82" i="14" s="1"/>
  <c r="HS82" i="14" s="1"/>
  <c r="HX82" i="14" s="1"/>
  <c r="ES132" i="14"/>
  <c r="EX132" i="14" s="1"/>
  <c r="EY132" i="14" s="1"/>
  <c r="EZ132" i="14" s="1"/>
  <c r="FA132" i="14" s="1"/>
  <c r="FF132" i="14" s="1"/>
  <c r="FG132" i="14" s="1"/>
  <c r="FH132" i="14" s="1"/>
  <c r="FI132" i="14" s="1"/>
  <c r="FN132" i="14" s="1"/>
  <c r="EX133" i="14"/>
  <c r="EY133" i="14" s="1"/>
  <c r="EZ133" i="14" s="1"/>
  <c r="FA133" i="14" s="1"/>
  <c r="FF133" i="14" s="1"/>
  <c r="FG133" i="14" s="1"/>
  <c r="FH133" i="14" s="1"/>
  <c r="FI133" i="14" s="1"/>
  <c r="FN133" i="14" s="1"/>
  <c r="HE80" i="14"/>
  <c r="ES136" i="14"/>
  <c r="EX136" i="14" s="1"/>
  <c r="EY136" i="14" s="1"/>
  <c r="EZ136" i="14" s="1"/>
  <c r="FA136" i="14" s="1"/>
  <c r="FF136" i="14" s="1"/>
  <c r="FG136" i="14" s="1"/>
  <c r="FH136" i="14" s="1"/>
  <c r="FI136" i="14" s="1"/>
  <c r="EG152" i="14"/>
  <c r="FC152" i="14" s="1"/>
  <c r="ES92" i="14"/>
  <c r="EX92" i="14" s="1"/>
  <c r="EY92" i="14" s="1"/>
  <c r="EZ92" i="14" s="1"/>
  <c r="FA92" i="14" s="1"/>
  <c r="FF92" i="14" s="1"/>
  <c r="FG92" i="14" s="1"/>
  <c r="FH92" i="14" s="1"/>
  <c r="FI92" i="14" s="1"/>
  <c r="EU81" i="14"/>
  <c r="HH133" i="14"/>
  <c r="HI133" i="14" s="1"/>
  <c r="HJ133" i="14" s="1"/>
  <c r="HK133" i="14" s="1"/>
  <c r="HP133" i="14" s="1"/>
  <c r="HQ133" i="14" s="1"/>
  <c r="HR133" i="14" s="1"/>
  <c r="HS133" i="14" s="1"/>
  <c r="HX133" i="14" s="1"/>
  <c r="ES71" i="14"/>
  <c r="EX71" i="14" s="1"/>
  <c r="EY71" i="14" s="1"/>
  <c r="EZ71" i="14" s="1"/>
  <c r="FA71" i="14" s="1"/>
  <c r="FF71" i="14" s="1"/>
  <c r="FG71" i="14" s="1"/>
  <c r="FH71" i="14" s="1"/>
  <c r="FI71" i="14" s="1"/>
  <c r="HH96" i="14"/>
  <c r="HI96" i="14" s="1"/>
  <c r="HJ96" i="14" s="1"/>
  <c r="HK96" i="14" s="1"/>
  <c r="HP96" i="14" s="1"/>
  <c r="HQ96" i="14" s="1"/>
  <c r="HR96" i="14" s="1"/>
  <c r="HS96" i="14" s="1"/>
  <c r="ES74" i="14"/>
  <c r="EX74" i="14" s="1"/>
  <c r="EY74" i="14" s="1"/>
  <c r="EZ74" i="14" s="1"/>
  <c r="FA74" i="14" s="1"/>
  <c r="FF74" i="14" s="1"/>
  <c r="FG74" i="14" s="1"/>
  <c r="FH74" i="14" s="1"/>
  <c r="FI74" i="14" s="1"/>
  <c r="HH71" i="14"/>
  <c r="HI71" i="14" s="1"/>
  <c r="HJ71" i="14" s="1"/>
  <c r="HK71" i="14" s="1"/>
  <c r="HP71" i="14" s="1"/>
  <c r="HQ71" i="14" s="1"/>
  <c r="HR71" i="14" s="1"/>
  <c r="HS71" i="14" s="1"/>
  <c r="HP84" i="14"/>
  <c r="HQ84" i="14" s="1"/>
  <c r="HR84" i="14" s="1"/>
  <c r="HS84" i="14" s="1"/>
  <c r="HX84" i="14" s="1"/>
  <c r="EG151" i="14"/>
  <c r="HM151" i="14" s="1"/>
  <c r="FJ158" i="14"/>
  <c r="FW158" i="14" s="1"/>
  <c r="EG144" i="14"/>
  <c r="HM144" i="14" s="1"/>
  <c r="HH136" i="14"/>
  <c r="HI136" i="14" s="1"/>
  <c r="HJ136" i="14" s="1"/>
  <c r="HK136" i="14" s="1"/>
  <c r="HP136" i="14" s="1"/>
  <c r="HQ136" i="14" s="1"/>
  <c r="HR136" i="14" s="1"/>
  <c r="HS136" i="14" s="1"/>
  <c r="EG122" i="14"/>
  <c r="FC122" i="14" s="1"/>
  <c r="FC80" i="14"/>
  <c r="EG141" i="14"/>
  <c r="HE141" i="14" s="1"/>
  <c r="BZ44" i="38"/>
  <c r="HE81" i="14"/>
  <c r="HM80" i="14"/>
  <c r="EM80" i="14"/>
  <c r="EP80" i="14" s="1"/>
  <c r="EQ80" i="14" s="1"/>
  <c r="ER80" i="14" s="1"/>
  <c r="ES80" i="14" s="1"/>
  <c r="HE128" i="14"/>
  <c r="HH128" i="14" s="1"/>
  <c r="HI128" i="14" s="1"/>
  <c r="HJ128" i="14" s="1"/>
  <c r="HK128" i="14" s="1"/>
  <c r="EM128" i="14"/>
  <c r="EP128" i="14" s="1"/>
  <c r="EQ128" i="14" s="1"/>
  <c r="ER128" i="14" s="1"/>
  <c r="ES84" i="14"/>
  <c r="EX84" i="14" s="1"/>
  <c r="EY84" i="14" s="1"/>
  <c r="EZ84" i="14" s="1"/>
  <c r="FA84" i="14" s="1"/>
  <c r="FF84" i="14" s="1"/>
  <c r="FG84" i="14" s="1"/>
  <c r="FH84" i="14" s="1"/>
  <c r="FI84" i="14" s="1"/>
  <c r="FN84" i="14" s="1"/>
  <c r="HM128" i="14"/>
  <c r="FC127" i="14"/>
  <c r="EJ128" i="14"/>
  <c r="HM127" i="14"/>
  <c r="EU128" i="14"/>
  <c r="ES94" i="14"/>
  <c r="EX94" i="14" s="1"/>
  <c r="EY94" i="14" s="1"/>
  <c r="EZ94" i="14" s="1"/>
  <c r="FA94" i="14" s="1"/>
  <c r="FF94" i="14" s="1"/>
  <c r="FG94" i="14" s="1"/>
  <c r="FH94" i="14" s="1"/>
  <c r="FI94" i="14" s="1"/>
  <c r="EM127" i="14"/>
  <c r="EP127" i="14" s="1"/>
  <c r="EQ127" i="14" s="1"/>
  <c r="ER127" i="14" s="1"/>
  <c r="EJ86" i="14"/>
  <c r="ES86" i="14" s="1"/>
  <c r="EM89" i="14"/>
  <c r="EP89" i="14" s="1"/>
  <c r="EQ89" i="14" s="1"/>
  <c r="ER89" i="14" s="1"/>
  <c r="EU89" i="14"/>
  <c r="EJ89" i="14"/>
  <c r="HE89" i="14"/>
  <c r="EJ81" i="14"/>
  <c r="GW80" i="14"/>
  <c r="GZ80" i="14" s="1"/>
  <c r="HA80" i="14" s="1"/>
  <c r="HB80" i="14" s="1"/>
  <c r="HC80" i="14" s="1"/>
  <c r="FC81" i="14"/>
  <c r="EU80" i="14"/>
  <c r="HH74" i="14"/>
  <c r="HI74" i="14" s="1"/>
  <c r="HJ74" i="14" s="1"/>
  <c r="HK74" i="14" s="1"/>
  <c r="HP74" i="14" s="1"/>
  <c r="HQ74" i="14" s="1"/>
  <c r="HR74" i="14" s="1"/>
  <c r="HS74" i="14" s="1"/>
  <c r="HH79" i="14"/>
  <c r="HI79" i="14" s="1"/>
  <c r="HJ79" i="14" s="1"/>
  <c r="HK79" i="14" s="1"/>
  <c r="HP79" i="14" s="1"/>
  <c r="HQ79" i="14" s="1"/>
  <c r="HR79" i="14" s="1"/>
  <c r="HS79" i="14" s="1"/>
  <c r="EM81" i="14"/>
  <c r="EP81" i="14" s="1"/>
  <c r="EQ81" i="14" s="1"/>
  <c r="ER81" i="14" s="1"/>
  <c r="GW81" i="14"/>
  <c r="GZ81" i="14" s="1"/>
  <c r="HA81" i="14" s="1"/>
  <c r="HB81" i="14" s="1"/>
  <c r="HC81" i="14" s="1"/>
  <c r="FJ157" i="14"/>
  <c r="FW157" i="14" s="1"/>
  <c r="GW125" i="14"/>
  <c r="GZ125" i="14" s="1"/>
  <c r="HA125" i="14" s="1"/>
  <c r="HB125" i="14" s="1"/>
  <c r="HC125" i="14" s="1"/>
  <c r="FJ148" i="14"/>
  <c r="HE86" i="14"/>
  <c r="FC86" i="14"/>
  <c r="GW86" i="14"/>
  <c r="GZ86" i="14" s="1"/>
  <c r="HA86" i="14" s="1"/>
  <c r="HB86" i="14" s="1"/>
  <c r="HC86" i="14" s="1"/>
  <c r="ES79" i="14"/>
  <c r="EX79" i="14" s="1"/>
  <c r="EY79" i="14" s="1"/>
  <c r="EZ79" i="14" s="1"/>
  <c r="FA79" i="14" s="1"/>
  <c r="FF79" i="14" s="1"/>
  <c r="FG79" i="14" s="1"/>
  <c r="FH79" i="14" s="1"/>
  <c r="FI79" i="14" s="1"/>
  <c r="GG109" i="14"/>
  <c r="GG105" i="14"/>
  <c r="HP92" i="14"/>
  <c r="HQ92" i="14" s="1"/>
  <c r="HR92" i="14" s="1"/>
  <c r="HS92" i="14" s="1"/>
  <c r="EG123" i="14"/>
  <c r="FC123" i="14" s="1"/>
  <c r="EG160" i="14"/>
  <c r="FC160" i="14" s="1"/>
  <c r="EJ127" i="14"/>
  <c r="GG98" i="14"/>
  <c r="EU127" i="14"/>
  <c r="GG107" i="14"/>
  <c r="GW127" i="14"/>
  <c r="GZ127" i="14" s="1"/>
  <c r="HA127" i="14" s="1"/>
  <c r="HB127" i="14" s="1"/>
  <c r="HC127" i="14" s="1"/>
  <c r="HH127" i="14" s="1"/>
  <c r="HI127" i="14" s="1"/>
  <c r="HJ127" i="14" s="1"/>
  <c r="HK127" i="14" s="1"/>
  <c r="HM86" i="14"/>
  <c r="GG95" i="14"/>
  <c r="GG94" i="14"/>
  <c r="HH70" i="14"/>
  <c r="HI70" i="14" s="1"/>
  <c r="HJ70" i="14" s="1"/>
  <c r="HK70" i="14" s="1"/>
  <c r="HP70" i="14" s="1"/>
  <c r="HQ70" i="14" s="1"/>
  <c r="HR70" i="14" s="1"/>
  <c r="HS70" i="14" s="1"/>
  <c r="GG108" i="14"/>
  <c r="GG102" i="14"/>
  <c r="GG106" i="14"/>
  <c r="EU86" i="14"/>
  <c r="GG96" i="14"/>
  <c r="ES70" i="14"/>
  <c r="EX70" i="14" s="1"/>
  <c r="EY70" i="14" s="1"/>
  <c r="EZ70" i="14" s="1"/>
  <c r="FA70" i="14" s="1"/>
  <c r="FF70" i="14" s="1"/>
  <c r="FG70" i="14" s="1"/>
  <c r="FH70" i="14" s="1"/>
  <c r="FI70" i="14" s="1"/>
  <c r="FK126" i="14"/>
  <c r="EG126" i="14"/>
  <c r="AO127" i="38"/>
  <c r="AP127" i="38" s="1"/>
  <c r="AQ127" i="38" s="1"/>
  <c r="G128" i="40" s="1"/>
  <c r="GG100" i="14"/>
  <c r="HH130" i="14"/>
  <c r="HI130" i="14" s="1"/>
  <c r="HJ130" i="14" s="1"/>
  <c r="HK130" i="14" s="1"/>
  <c r="HP130" i="14" s="1"/>
  <c r="HQ130" i="14" s="1"/>
  <c r="HR130" i="14" s="1"/>
  <c r="HS130" i="14" s="1"/>
  <c r="HX130" i="14" s="1"/>
  <c r="HM85" i="14"/>
  <c r="EM85" i="14"/>
  <c r="EP85" i="14" s="1"/>
  <c r="EQ85" i="14" s="1"/>
  <c r="ER85" i="14" s="1"/>
  <c r="HE85" i="14"/>
  <c r="FC85" i="14"/>
  <c r="EU85" i="14"/>
  <c r="GW85" i="14"/>
  <c r="GZ85" i="14" s="1"/>
  <c r="HA85" i="14" s="1"/>
  <c r="HB85" i="14" s="1"/>
  <c r="HC85" i="14" s="1"/>
  <c r="EJ85" i="14"/>
  <c r="GG99" i="14"/>
  <c r="GG90" i="14"/>
  <c r="GG103" i="14"/>
  <c r="GG91" i="14"/>
  <c r="GG93" i="14"/>
  <c r="GG104" i="14"/>
  <c r="GG97" i="14"/>
  <c r="GG101" i="14"/>
  <c r="EM125" i="14"/>
  <c r="EP125" i="14" s="1"/>
  <c r="EQ125" i="14" s="1"/>
  <c r="ER125" i="14" s="1"/>
  <c r="FC125" i="14"/>
  <c r="HM125" i="14"/>
  <c r="EM121" i="14"/>
  <c r="EP121" i="14" s="1"/>
  <c r="EQ121" i="14" s="1"/>
  <c r="ER121" i="14" s="1"/>
  <c r="HE125" i="14"/>
  <c r="FJ140" i="14"/>
  <c r="EM129" i="14"/>
  <c r="EP129" i="14" s="1"/>
  <c r="EQ129" i="14" s="1"/>
  <c r="ER129" i="14" s="1"/>
  <c r="EJ125" i="14"/>
  <c r="HP75" i="14"/>
  <c r="HQ75" i="14" s="1"/>
  <c r="HR75" i="14" s="1"/>
  <c r="HS75" i="14" s="1"/>
  <c r="HH94" i="14"/>
  <c r="HI94" i="14" s="1"/>
  <c r="HJ94" i="14" s="1"/>
  <c r="HK94" i="14" s="1"/>
  <c r="HP94" i="14" s="1"/>
  <c r="HQ94" i="14" s="1"/>
  <c r="HR94" i="14" s="1"/>
  <c r="HS94" i="14" s="1"/>
  <c r="HM121" i="14"/>
  <c r="HE129" i="14"/>
  <c r="GW121" i="14"/>
  <c r="GZ121" i="14" s="1"/>
  <c r="HA121" i="14" s="1"/>
  <c r="HB121" i="14" s="1"/>
  <c r="HC121" i="14" s="1"/>
  <c r="EU129" i="14"/>
  <c r="HE121" i="14"/>
  <c r="GW129" i="14"/>
  <c r="GZ129" i="14" s="1"/>
  <c r="HA129" i="14" s="1"/>
  <c r="HB129" i="14" s="1"/>
  <c r="HC129" i="14" s="1"/>
  <c r="EJ129" i="14"/>
  <c r="EJ121" i="14"/>
  <c r="FC129" i="14"/>
  <c r="FC121" i="14"/>
  <c r="ES75" i="14"/>
  <c r="EX75" i="14" s="1"/>
  <c r="EY75" i="14" s="1"/>
  <c r="EZ75" i="14" s="1"/>
  <c r="FA75" i="14" s="1"/>
  <c r="FF75" i="14" s="1"/>
  <c r="FG75" i="14" s="1"/>
  <c r="FH75" i="14" s="1"/>
  <c r="FI75" i="14" s="1"/>
  <c r="HM83" i="14"/>
  <c r="EJ83" i="14"/>
  <c r="HE83" i="14"/>
  <c r="EU83" i="14"/>
  <c r="GW83" i="14"/>
  <c r="GZ83" i="14" s="1"/>
  <c r="HA83" i="14" s="1"/>
  <c r="HB83" i="14" s="1"/>
  <c r="HC83" i="14" s="1"/>
  <c r="FC83" i="14"/>
  <c r="EM83" i="14"/>
  <c r="EP83" i="14" s="1"/>
  <c r="EQ83" i="14" s="1"/>
  <c r="ER83" i="14" s="1"/>
  <c r="EU87" i="14"/>
  <c r="HE87" i="14"/>
  <c r="GW87" i="14"/>
  <c r="GZ87" i="14" s="1"/>
  <c r="HA87" i="14" s="1"/>
  <c r="HB87" i="14" s="1"/>
  <c r="HC87" i="14" s="1"/>
  <c r="HM87" i="14"/>
  <c r="EJ87" i="14"/>
  <c r="FC87" i="14"/>
  <c r="EM87" i="14"/>
  <c r="EP87" i="14" s="1"/>
  <c r="EQ87" i="14" s="1"/>
  <c r="ER87" i="14" s="1"/>
  <c r="ES61" i="14"/>
  <c r="EX61" i="14" s="1"/>
  <c r="EY61" i="14" s="1"/>
  <c r="EZ61" i="14" s="1"/>
  <c r="FA61" i="14" s="1"/>
  <c r="FF61" i="14" s="1"/>
  <c r="FG61" i="14" s="1"/>
  <c r="FH61" i="14" s="1"/>
  <c r="FI61" i="14" s="1"/>
  <c r="HY81" i="14"/>
  <c r="HV72" i="14"/>
  <c r="HY72" i="14"/>
  <c r="HY87" i="14"/>
  <c r="FM97" i="14"/>
  <c r="FO97" i="14"/>
  <c r="HY92" i="14"/>
  <c r="FO104" i="14"/>
  <c r="FM95" i="14"/>
  <c r="FO95" i="14"/>
  <c r="HY106" i="14"/>
  <c r="GI70" i="14"/>
  <c r="FO83" i="14"/>
  <c r="HY89" i="14"/>
  <c r="HV76" i="14"/>
  <c r="HY76" i="14"/>
  <c r="FL77" i="14"/>
  <c r="FO77" i="14"/>
  <c r="FN134" i="14"/>
  <c r="FO134" i="14"/>
  <c r="FO94" i="14"/>
  <c r="FO92" i="14"/>
  <c r="HY94" i="14"/>
  <c r="FO106" i="14"/>
  <c r="HX131" i="14"/>
  <c r="HY131" i="14"/>
  <c r="FM101" i="14"/>
  <c r="FO101" i="14"/>
  <c r="HW100" i="14"/>
  <c r="HY100" i="14"/>
  <c r="GI68" i="14"/>
  <c r="GI65" i="14"/>
  <c r="GI60" i="14"/>
  <c r="GI61" i="14"/>
  <c r="GI66" i="14"/>
  <c r="GI62" i="14"/>
  <c r="GI64" i="14"/>
  <c r="GI63" i="14"/>
  <c r="GI69" i="14"/>
  <c r="GI83" i="14"/>
  <c r="GI86" i="14"/>
  <c r="GI89" i="14"/>
  <c r="HY78" i="14"/>
  <c r="FO78" i="14"/>
  <c r="FL76" i="14"/>
  <c r="FO76" i="14"/>
  <c r="FO75" i="14"/>
  <c r="FO70" i="14"/>
  <c r="HY96" i="14"/>
  <c r="FO96" i="14"/>
  <c r="HY104" i="14"/>
  <c r="GI85" i="14"/>
  <c r="GI73" i="14"/>
  <c r="GI71" i="14"/>
  <c r="HY75" i="14"/>
  <c r="HY88" i="14"/>
  <c r="FO80" i="14"/>
  <c r="FO89" i="14"/>
  <c r="HV77" i="14"/>
  <c r="HY77" i="14"/>
  <c r="HY86" i="14"/>
  <c r="HY70" i="14"/>
  <c r="FO107" i="14"/>
  <c r="FO132" i="14"/>
  <c r="HY103" i="14"/>
  <c r="FM108" i="14"/>
  <c r="FO108" i="14"/>
  <c r="GI81" i="14"/>
  <c r="GI80" i="14"/>
  <c r="GI75" i="14"/>
  <c r="FO84" i="14"/>
  <c r="FO82" i="14"/>
  <c r="FL72" i="14"/>
  <c r="FO72" i="14"/>
  <c r="HY83" i="14"/>
  <c r="FO79" i="14"/>
  <c r="FN131" i="14"/>
  <c r="FO131" i="14"/>
  <c r="HY107" i="14"/>
  <c r="HW101" i="14"/>
  <c r="HY101" i="14"/>
  <c r="FO102" i="14"/>
  <c r="HW97" i="14"/>
  <c r="HY97" i="14"/>
  <c r="FM100" i="14"/>
  <c r="FO100" i="14"/>
  <c r="GI76" i="14"/>
  <c r="FO81" i="14"/>
  <c r="FO74" i="14"/>
  <c r="HY82" i="14"/>
  <c r="FM98" i="14"/>
  <c r="FO98" i="14"/>
  <c r="HW93" i="14"/>
  <c r="HY93" i="14"/>
  <c r="HX134" i="14"/>
  <c r="HY134" i="14"/>
  <c r="FM99" i="14"/>
  <c r="FO99" i="14"/>
  <c r="FO109" i="14"/>
  <c r="HW108" i="14"/>
  <c r="HY108" i="14"/>
  <c r="GI74" i="14"/>
  <c r="GI87" i="14"/>
  <c r="GI88" i="14"/>
  <c r="FO88" i="14"/>
  <c r="HY84" i="14"/>
  <c r="FO85" i="14"/>
  <c r="HY80" i="14"/>
  <c r="HY71" i="14"/>
  <c r="HW99" i="14"/>
  <c r="HY99" i="14"/>
  <c r="HY130" i="14"/>
  <c r="HY109" i="14"/>
  <c r="HW95" i="14"/>
  <c r="HY95" i="14"/>
  <c r="HW91" i="14"/>
  <c r="HY91" i="14"/>
  <c r="HY90" i="14"/>
  <c r="GI78" i="14"/>
  <c r="HY79" i="14"/>
  <c r="HY73" i="14"/>
  <c r="FO87" i="14"/>
  <c r="FO86" i="14"/>
  <c r="FO71" i="14"/>
  <c r="FO73" i="14"/>
  <c r="HY74" i="14"/>
  <c r="FM91" i="14"/>
  <c r="FO91" i="14"/>
  <c r="FO90" i="14"/>
  <c r="HY105" i="14"/>
  <c r="FO105" i="14"/>
  <c r="HW98" i="14"/>
  <c r="HY98" i="14"/>
  <c r="GI82" i="14"/>
  <c r="GI72" i="14"/>
  <c r="GI79" i="14"/>
  <c r="GI84" i="14"/>
  <c r="GI77" i="14"/>
  <c r="GI67" i="14"/>
  <c r="FW159" i="14"/>
  <c r="FW155" i="14"/>
  <c r="FW154" i="14"/>
  <c r="FW160" i="14"/>
  <c r="FW152" i="14"/>
  <c r="FW151" i="14"/>
  <c r="FW150" i="14"/>
  <c r="FW149" i="14"/>
  <c r="FW153" i="14"/>
  <c r="FW156" i="14"/>
  <c r="FC140" i="14"/>
  <c r="EM140" i="14"/>
  <c r="EP140" i="14" s="1"/>
  <c r="EQ140" i="14" s="1"/>
  <c r="ER140" i="14" s="1"/>
  <c r="GW140" i="14"/>
  <c r="GZ140" i="14" s="1"/>
  <c r="HA140" i="14" s="1"/>
  <c r="HB140" i="14" s="1"/>
  <c r="HC140" i="14" s="1"/>
  <c r="EU140" i="14"/>
  <c r="HM140" i="14"/>
  <c r="EJ140" i="14"/>
  <c r="HE140" i="14"/>
  <c r="HM147" i="14"/>
  <c r="EM147" i="14"/>
  <c r="EP147" i="14" s="1"/>
  <c r="EQ147" i="14" s="1"/>
  <c r="ER147" i="14" s="1"/>
  <c r="FC147" i="14"/>
  <c r="EU147" i="14"/>
  <c r="HE147" i="14"/>
  <c r="EJ147" i="14"/>
  <c r="GW147" i="14"/>
  <c r="GZ147" i="14" s="1"/>
  <c r="HA147" i="14" s="1"/>
  <c r="HB147" i="14" s="1"/>
  <c r="HC147" i="14" s="1"/>
  <c r="EJ142" i="14"/>
  <c r="FC142" i="14"/>
  <c r="HM142" i="14"/>
  <c r="EU142" i="14"/>
  <c r="HE142" i="14"/>
  <c r="EM142" i="14"/>
  <c r="EP142" i="14" s="1"/>
  <c r="EQ142" i="14" s="1"/>
  <c r="ER142" i="14" s="1"/>
  <c r="GW142" i="14"/>
  <c r="GZ142" i="14" s="1"/>
  <c r="HA142" i="14" s="1"/>
  <c r="HB142" i="14" s="1"/>
  <c r="HC142" i="14" s="1"/>
  <c r="EU148" i="14"/>
  <c r="EM148" i="14"/>
  <c r="EP148" i="14" s="1"/>
  <c r="EQ148" i="14" s="1"/>
  <c r="ER148" i="14" s="1"/>
  <c r="HE148" i="14"/>
  <c r="GW148" i="14"/>
  <c r="GZ148" i="14" s="1"/>
  <c r="HA148" i="14" s="1"/>
  <c r="HB148" i="14" s="1"/>
  <c r="HC148" i="14" s="1"/>
  <c r="EJ148" i="14"/>
  <c r="FC148" i="14"/>
  <c r="HM148" i="14"/>
  <c r="HE143" i="14"/>
  <c r="EU143" i="14"/>
  <c r="EJ143" i="14"/>
  <c r="HM143" i="14"/>
  <c r="EM143" i="14"/>
  <c r="EP143" i="14" s="1"/>
  <c r="EQ143" i="14" s="1"/>
  <c r="ER143" i="14" s="1"/>
  <c r="FC143" i="14"/>
  <c r="GW143" i="14"/>
  <c r="GZ143" i="14" s="1"/>
  <c r="HA143" i="14" s="1"/>
  <c r="HB143" i="14" s="1"/>
  <c r="HC143" i="14" s="1"/>
  <c r="HH61" i="14"/>
  <c r="HI61" i="14" s="1"/>
  <c r="HJ61" i="14" s="1"/>
  <c r="HK61" i="14" s="1"/>
  <c r="HP61" i="14" s="1"/>
  <c r="HQ61" i="14" s="1"/>
  <c r="HR61" i="14" s="1"/>
  <c r="HS61" i="14" s="1"/>
  <c r="HH117" i="14"/>
  <c r="HI117" i="14" s="1"/>
  <c r="HJ117" i="14" s="1"/>
  <c r="HK117" i="14" s="1"/>
  <c r="HP117" i="14" s="1"/>
  <c r="HQ117" i="14" s="1"/>
  <c r="HR117" i="14" s="1"/>
  <c r="HS117" i="14" s="1"/>
  <c r="HW117" i="14" s="1"/>
  <c r="HH112" i="14"/>
  <c r="HI112" i="14" s="1"/>
  <c r="HJ112" i="14" s="1"/>
  <c r="HK112" i="14" s="1"/>
  <c r="HP112" i="14" s="1"/>
  <c r="HQ112" i="14" s="1"/>
  <c r="HR112" i="14" s="1"/>
  <c r="HS112" i="14" s="1"/>
  <c r="HW112" i="14" s="1"/>
  <c r="HH118" i="14"/>
  <c r="HI118" i="14" s="1"/>
  <c r="HJ118" i="14" s="1"/>
  <c r="HK118" i="14" s="1"/>
  <c r="HP118" i="14" s="1"/>
  <c r="HQ118" i="14" s="1"/>
  <c r="HR118" i="14" s="1"/>
  <c r="HS118" i="14" s="1"/>
  <c r="HW118" i="14" s="1"/>
  <c r="ES112" i="14"/>
  <c r="EX112" i="14" s="1"/>
  <c r="EY112" i="14" s="1"/>
  <c r="EZ112" i="14" s="1"/>
  <c r="FA112" i="14" s="1"/>
  <c r="FF112" i="14" s="1"/>
  <c r="FG112" i="14" s="1"/>
  <c r="FH112" i="14" s="1"/>
  <c r="FI112" i="14" s="1"/>
  <c r="FM112" i="14" s="1"/>
  <c r="ES115" i="14"/>
  <c r="EX115" i="14" s="1"/>
  <c r="EY115" i="14" s="1"/>
  <c r="EZ115" i="14" s="1"/>
  <c r="FA115" i="14" s="1"/>
  <c r="FF115" i="14" s="1"/>
  <c r="FG115" i="14" s="1"/>
  <c r="FH115" i="14" s="1"/>
  <c r="FI115" i="14" s="1"/>
  <c r="FM115" i="14" s="1"/>
  <c r="HH119" i="14"/>
  <c r="HI119" i="14" s="1"/>
  <c r="HJ119" i="14" s="1"/>
  <c r="HK119" i="14" s="1"/>
  <c r="HP119" i="14" s="1"/>
  <c r="HQ119" i="14" s="1"/>
  <c r="HR119" i="14" s="1"/>
  <c r="HS119" i="14" s="1"/>
  <c r="HW119" i="14" s="1"/>
  <c r="ES118" i="14"/>
  <c r="EX118" i="14" s="1"/>
  <c r="EY118" i="14" s="1"/>
  <c r="EZ118" i="14" s="1"/>
  <c r="FA118" i="14" s="1"/>
  <c r="FF118" i="14" s="1"/>
  <c r="FG118" i="14" s="1"/>
  <c r="FH118" i="14" s="1"/>
  <c r="FI118" i="14" s="1"/>
  <c r="FM118" i="14" s="1"/>
  <c r="ES116" i="14"/>
  <c r="EX116" i="14" s="1"/>
  <c r="EY116" i="14" s="1"/>
  <c r="EZ116" i="14" s="1"/>
  <c r="FA116" i="14" s="1"/>
  <c r="FF116" i="14" s="1"/>
  <c r="FG116" i="14" s="1"/>
  <c r="FH116" i="14" s="1"/>
  <c r="FI116" i="14" s="1"/>
  <c r="FM116" i="14" s="1"/>
  <c r="HH110" i="14"/>
  <c r="HI110" i="14" s="1"/>
  <c r="HJ110" i="14" s="1"/>
  <c r="HK110" i="14" s="1"/>
  <c r="HP110" i="14" s="1"/>
  <c r="HQ110" i="14" s="1"/>
  <c r="HR110" i="14" s="1"/>
  <c r="HS110" i="14" s="1"/>
  <c r="HW110" i="14" s="1"/>
  <c r="HH111" i="14"/>
  <c r="HI111" i="14" s="1"/>
  <c r="HJ111" i="14" s="1"/>
  <c r="HK111" i="14" s="1"/>
  <c r="HP111" i="14" s="1"/>
  <c r="HQ111" i="14" s="1"/>
  <c r="HR111" i="14" s="1"/>
  <c r="HS111" i="14" s="1"/>
  <c r="HW111" i="14" s="1"/>
  <c r="ES119" i="14"/>
  <c r="EX119" i="14" s="1"/>
  <c r="EY119" i="14" s="1"/>
  <c r="EZ119" i="14" s="1"/>
  <c r="FA119" i="14" s="1"/>
  <c r="FF119" i="14" s="1"/>
  <c r="FG119" i="14" s="1"/>
  <c r="FH119" i="14" s="1"/>
  <c r="FI119" i="14" s="1"/>
  <c r="FM119" i="14" s="1"/>
  <c r="HH113" i="14"/>
  <c r="HI113" i="14" s="1"/>
  <c r="HJ113" i="14" s="1"/>
  <c r="HK113" i="14" s="1"/>
  <c r="HP113" i="14" s="1"/>
  <c r="HQ113" i="14" s="1"/>
  <c r="HR113" i="14" s="1"/>
  <c r="HS113" i="14" s="1"/>
  <c r="HW113" i="14" s="1"/>
  <c r="ES111" i="14"/>
  <c r="EX111" i="14" s="1"/>
  <c r="EY111" i="14" s="1"/>
  <c r="EZ111" i="14" s="1"/>
  <c r="FA111" i="14" s="1"/>
  <c r="FF111" i="14" s="1"/>
  <c r="FG111" i="14" s="1"/>
  <c r="FH111" i="14" s="1"/>
  <c r="FI111" i="14" s="1"/>
  <c r="FM111" i="14" s="1"/>
  <c r="HH115" i="14"/>
  <c r="HI115" i="14" s="1"/>
  <c r="HJ115" i="14" s="1"/>
  <c r="HK115" i="14" s="1"/>
  <c r="HP115" i="14" s="1"/>
  <c r="HQ115" i="14" s="1"/>
  <c r="HR115" i="14" s="1"/>
  <c r="HS115" i="14" s="1"/>
  <c r="HW115" i="14" s="1"/>
  <c r="ES114" i="14"/>
  <c r="EX114" i="14" s="1"/>
  <c r="EY114" i="14" s="1"/>
  <c r="EZ114" i="14" s="1"/>
  <c r="FA114" i="14" s="1"/>
  <c r="FF114" i="14" s="1"/>
  <c r="FG114" i="14" s="1"/>
  <c r="FH114" i="14" s="1"/>
  <c r="FI114" i="14" s="1"/>
  <c r="FM114" i="14" s="1"/>
  <c r="HE158" i="14"/>
  <c r="GW158" i="14"/>
  <c r="GZ158" i="14" s="1"/>
  <c r="HA158" i="14" s="1"/>
  <c r="HB158" i="14" s="1"/>
  <c r="HC158" i="14" s="1"/>
  <c r="HM158" i="14"/>
  <c r="EU158" i="14"/>
  <c r="EM158" i="14"/>
  <c r="EP158" i="14" s="1"/>
  <c r="EQ158" i="14" s="1"/>
  <c r="ER158" i="14" s="1"/>
  <c r="FC158" i="14"/>
  <c r="EJ158" i="14"/>
  <c r="FC159" i="14"/>
  <c r="HE159" i="14"/>
  <c r="EU159" i="14"/>
  <c r="GW159" i="14"/>
  <c r="GZ159" i="14" s="1"/>
  <c r="HA159" i="14" s="1"/>
  <c r="HB159" i="14" s="1"/>
  <c r="HC159" i="14" s="1"/>
  <c r="HM159" i="14"/>
  <c r="EM159" i="14"/>
  <c r="EP159" i="14" s="1"/>
  <c r="EQ159" i="14" s="1"/>
  <c r="ER159" i="14" s="1"/>
  <c r="EJ159" i="14"/>
  <c r="HH114" i="14"/>
  <c r="HI114" i="14" s="1"/>
  <c r="HJ114" i="14" s="1"/>
  <c r="HK114" i="14" s="1"/>
  <c r="HP114" i="14" s="1"/>
  <c r="HQ114" i="14" s="1"/>
  <c r="HR114" i="14" s="1"/>
  <c r="HS114" i="14" s="1"/>
  <c r="HW114" i="14" s="1"/>
  <c r="HM157" i="14"/>
  <c r="FC157" i="14"/>
  <c r="HE157" i="14"/>
  <c r="EU157" i="14"/>
  <c r="GW157" i="14"/>
  <c r="GZ157" i="14" s="1"/>
  <c r="HA157" i="14" s="1"/>
  <c r="HB157" i="14" s="1"/>
  <c r="HC157" i="14" s="1"/>
  <c r="EM157" i="14"/>
  <c r="EP157" i="14" s="1"/>
  <c r="EQ157" i="14" s="1"/>
  <c r="ER157" i="14" s="1"/>
  <c r="EJ157" i="14"/>
  <c r="ES113" i="14"/>
  <c r="EX113" i="14" s="1"/>
  <c r="EY113" i="14" s="1"/>
  <c r="EZ113" i="14" s="1"/>
  <c r="FA113" i="14" s="1"/>
  <c r="FF113" i="14" s="1"/>
  <c r="FG113" i="14" s="1"/>
  <c r="FH113" i="14" s="1"/>
  <c r="FI113" i="14" s="1"/>
  <c r="FM113" i="14" s="1"/>
  <c r="GW154" i="14"/>
  <c r="GZ154" i="14" s="1"/>
  <c r="HA154" i="14" s="1"/>
  <c r="HB154" i="14" s="1"/>
  <c r="HC154" i="14" s="1"/>
  <c r="EU154" i="14"/>
  <c r="EM154" i="14"/>
  <c r="EP154" i="14" s="1"/>
  <c r="EQ154" i="14" s="1"/>
  <c r="ER154" i="14" s="1"/>
  <c r="HE154" i="14"/>
  <c r="FC154" i="14"/>
  <c r="HM154" i="14"/>
  <c r="EJ154" i="14"/>
  <c r="HH116" i="14"/>
  <c r="HI116" i="14" s="1"/>
  <c r="HJ116" i="14" s="1"/>
  <c r="HK116" i="14" s="1"/>
  <c r="HP116" i="14" s="1"/>
  <c r="HQ116" i="14" s="1"/>
  <c r="HR116" i="14" s="1"/>
  <c r="HS116" i="14" s="1"/>
  <c r="HW116" i="14" s="1"/>
  <c r="ES110" i="14"/>
  <c r="EX110" i="14" s="1"/>
  <c r="EY110" i="14" s="1"/>
  <c r="EZ110" i="14" s="1"/>
  <c r="FA110" i="14" s="1"/>
  <c r="FF110" i="14" s="1"/>
  <c r="FG110" i="14" s="1"/>
  <c r="FH110" i="14" s="1"/>
  <c r="FI110" i="14" s="1"/>
  <c r="FM110" i="14" s="1"/>
  <c r="ES117" i="14"/>
  <c r="EX117" i="14" s="1"/>
  <c r="EY117" i="14" s="1"/>
  <c r="EZ117" i="14" s="1"/>
  <c r="FA117" i="14" s="1"/>
  <c r="FF117" i="14" s="1"/>
  <c r="FG117" i="14" s="1"/>
  <c r="FH117" i="14" s="1"/>
  <c r="FI117" i="14" s="1"/>
  <c r="HH63" i="14"/>
  <c r="HI63" i="14" s="1"/>
  <c r="HJ63" i="14" s="1"/>
  <c r="HK63" i="14" s="1"/>
  <c r="HP63" i="14" s="1"/>
  <c r="HQ63" i="14" s="1"/>
  <c r="HR63" i="14" s="1"/>
  <c r="HS63" i="14" s="1"/>
  <c r="ES63" i="14"/>
  <c r="EX63" i="14" s="1"/>
  <c r="EY63" i="14" s="1"/>
  <c r="EZ63" i="14" s="1"/>
  <c r="FA63" i="14" s="1"/>
  <c r="FF63" i="14" s="1"/>
  <c r="FG63" i="14" s="1"/>
  <c r="FH63" i="14" s="1"/>
  <c r="FI63" i="14" s="1"/>
  <c r="HH68" i="14"/>
  <c r="HI68" i="14" s="1"/>
  <c r="HJ68" i="14" s="1"/>
  <c r="HK68" i="14" s="1"/>
  <c r="HP68" i="14" s="1"/>
  <c r="HQ68" i="14" s="1"/>
  <c r="HR68" i="14" s="1"/>
  <c r="HS68" i="14" s="1"/>
  <c r="HW68" i="14" s="1"/>
  <c r="HH60" i="14"/>
  <c r="HI60" i="14" s="1"/>
  <c r="HJ60" i="14" s="1"/>
  <c r="HK60" i="14" s="1"/>
  <c r="HP60" i="14" s="1"/>
  <c r="HQ60" i="14" s="1"/>
  <c r="HR60" i="14" s="1"/>
  <c r="HS60" i="14" s="1"/>
  <c r="ES62" i="14"/>
  <c r="EX62" i="14" s="1"/>
  <c r="EY62" i="14" s="1"/>
  <c r="EZ62" i="14" s="1"/>
  <c r="FA62" i="14" s="1"/>
  <c r="FF62" i="14" s="1"/>
  <c r="FG62" i="14" s="1"/>
  <c r="FH62" i="14" s="1"/>
  <c r="FI62" i="14" s="1"/>
  <c r="HH62" i="14"/>
  <c r="HI62" i="14" s="1"/>
  <c r="HJ62" i="14" s="1"/>
  <c r="HK62" i="14" s="1"/>
  <c r="HP62" i="14" s="1"/>
  <c r="HQ62" i="14" s="1"/>
  <c r="HR62" i="14" s="1"/>
  <c r="HS62" i="14" s="1"/>
  <c r="ES68" i="14"/>
  <c r="EX68" i="14" s="1"/>
  <c r="EY68" i="14" s="1"/>
  <c r="EZ68" i="14" s="1"/>
  <c r="FA68" i="14" s="1"/>
  <c r="FF68" i="14" s="1"/>
  <c r="FG68" i="14" s="1"/>
  <c r="FH68" i="14" s="1"/>
  <c r="FI68" i="14" s="1"/>
  <c r="FM68" i="14" s="1"/>
  <c r="ES66" i="14"/>
  <c r="EX66" i="14" s="1"/>
  <c r="EY66" i="14" s="1"/>
  <c r="EZ66" i="14" s="1"/>
  <c r="FA66" i="14" s="1"/>
  <c r="FF66" i="14" s="1"/>
  <c r="FG66" i="14" s="1"/>
  <c r="FH66" i="14" s="1"/>
  <c r="FI66" i="14" s="1"/>
  <c r="FM66" i="14" s="1"/>
  <c r="HH65" i="14"/>
  <c r="HI65" i="14" s="1"/>
  <c r="HJ65" i="14" s="1"/>
  <c r="HK65" i="14" s="1"/>
  <c r="HP65" i="14" s="1"/>
  <c r="HQ65" i="14" s="1"/>
  <c r="HR65" i="14" s="1"/>
  <c r="HS65" i="14" s="1"/>
  <c r="HW65" i="14" s="1"/>
  <c r="ES67" i="14"/>
  <c r="EX67" i="14" s="1"/>
  <c r="EY67" i="14" s="1"/>
  <c r="EZ67" i="14" s="1"/>
  <c r="FA67" i="14" s="1"/>
  <c r="FF67" i="14" s="1"/>
  <c r="FG67" i="14" s="1"/>
  <c r="FH67" i="14" s="1"/>
  <c r="FI67" i="14" s="1"/>
  <c r="FM67" i="14" s="1"/>
  <c r="HH66" i="14"/>
  <c r="HI66" i="14" s="1"/>
  <c r="HJ66" i="14" s="1"/>
  <c r="HK66" i="14" s="1"/>
  <c r="HP66" i="14" s="1"/>
  <c r="HQ66" i="14" s="1"/>
  <c r="HR66" i="14" s="1"/>
  <c r="HS66" i="14" s="1"/>
  <c r="HW66" i="14" s="1"/>
  <c r="ES60" i="14"/>
  <c r="EX60" i="14" s="1"/>
  <c r="EY60" i="14" s="1"/>
  <c r="EZ60" i="14" s="1"/>
  <c r="FA60" i="14" s="1"/>
  <c r="FF60" i="14" s="1"/>
  <c r="FG60" i="14" s="1"/>
  <c r="FH60" i="14" s="1"/>
  <c r="FI60" i="14" s="1"/>
  <c r="HH69" i="14"/>
  <c r="HI69" i="14" s="1"/>
  <c r="HJ69" i="14" s="1"/>
  <c r="HK69" i="14" s="1"/>
  <c r="HP69" i="14" s="1"/>
  <c r="HQ69" i="14" s="1"/>
  <c r="HR69" i="14" s="1"/>
  <c r="HS69" i="14" s="1"/>
  <c r="HW69" i="14" s="1"/>
  <c r="ES65" i="14"/>
  <c r="EX65" i="14" s="1"/>
  <c r="EY65" i="14" s="1"/>
  <c r="EZ65" i="14" s="1"/>
  <c r="FA65" i="14" s="1"/>
  <c r="FF65" i="14" s="1"/>
  <c r="FG65" i="14" s="1"/>
  <c r="FH65" i="14" s="1"/>
  <c r="FI65" i="14" s="1"/>
  <c r="FM65" i="14" s="1"/>
  <c r="ES64" i="14"/>
  <c r="EX64" i="14" s="1"/>
  <c r="EY64" i="14" s="1"/>
  <c r="EZ64" i="14" s="1"/>
  <c r="FA64" i="14" s="1"/>
  <c r="FF64" i="14" s="1"/>
  <c r="FG64" i="14" s="1"/>
  <c r="FH64" i="14" s="1"/>
  <c r="FI64" i="14" s="1"/>
  <c r="ES69" i="14"/>
  <c r="EX69" i="14" s="1"/>
  <c r="EY69" i="14" s="1"/>
  <c r="EZ69" i="14" s="1"/>
  <c r="FA69" i="14" s="1"/>
  <c r="FF69" i="14" s="1"/>
  <c r="FG69" i="14" s="1"/>
  <c r="FH69" i="14" s="1"/>
  <c r="FI69" i="14" s="1"/>
  <c r="FM69" i="14" s="1"/>
  <c r="HH67" i="14"/>
  <c r="HI67" i="14" s="1"/>
  <c r="HJ67" i="14" s="1"/>
  <c r="HK67" i="14" s="1"/>
  <c r="HP67" i="14" s="1"/>
  <c r="HQ67" i="14" s="1"/>
  <c r="HR67" i="14" s="1"/>
  <c r="HS67" i="14" s="1"/>
  <c r="HW67" i="14" s="1"/>
  <c r="HH64" i="14"/>
  <c r="HI64" i="14" s="1"/>
  <c r="HJ64" i="14" s="1"/>
  <c r="HK64" i="14" s="1"/>
  <c r="HP64" i="14" s="1"/>
  <c r="HQ64" i="14" s="1"/>
  <c r="HR64" i="14" s="1"/>
  <c r="HS64" i="14" s="1"/>
  <c r="FY87" i="14" l="1"/>
  <c r="FX88" i="14"/>
  <c r="GG112" i="14"/>
  <c r="GG110" i="14"/>
  <c r="GG78" i="14"/>
  <c r="GG77" i="14"/>
  <c r="GG79" i="14"/>
  <c r="GG76" i="14"/>
  <c r="FY104" i="14"/>
  <c r="FY100" i="14"/>
  <c r="FY86" i="14"/>
  <c r="FX87" i="14"/>
  <c r="FX86" i="14"/>
  <c r="GG83" i="14"/>
  <c r="GG82" i="14"/>
  <c r="FY74" i="14"/>
  <c r="GG73" i="14"/>
  <c r="GG75" i="14"/>
  <c r="GG72" i="14"/>
  <c r="GG74" i="14"/>
  <c r="GG84" i="14"/>
  <c r="GG71" i="14"/>
  <c r="FY91" i="14"/>
  <c r="FY108" i="14"/>
  <c r="FY103" i="14"/>
  <c r="FY107" i="14"/>
  <c r="FY98" i="14"/>
  <c r="FY99" i="14"/>
  <c r="FY95" i="14"/>
  <c r="FY94" i="14"/>
  <c r="FY92" i="14"/>
  <c r="FY93" i="14"/>
  <c r="FY106" i="14"/>
  <c r="FY101" i="14"/>
  <c r="FY90" i="14"/>
  <c r="FY97" i="14"/>
  <c r="FY89" i="14"/>
  <c r="FY88" i="14"/>
  <c r="FY109" i="14"/>
  <c r="FY85" i="14"/>
  <c r="FY102" i="14"/>
  <c r="FY105" i="14"/>
  <c r="GI90" i="14"/>
  <c r="GI91" i="14"/>
  <c r="GI103" i="14"/>
  <c r="HY132" i="14"/>
  <c r="GG87" i="14"/>
  <c r="GG85" i="14"/>
  <c r="GG89" i="14"/>
  <c r="GG86" i="14"/>
  <c r="GG88" i="14"/>
  <c r="HE155" i="14"/>
  <c r="HM155" i="14"/>
  <c r="EM155" i="14"/>
  <c r="EP155" i="14" s="1"/>
  <c r="EQ155" i="14" s="1"/>
  <c r="ER155" i="14" s="1"/>
  <c r="GW155" i="14"/>
  <c r="GZ155" i="14" s="1"/>
  <c r="HA155" i="14" s="1"/>
  <c r="HB155" i="14" s="1"/>
  <c r="HC155" i="14" s="1"/>
  <c r="EU155" i="14"/>
  <c r="EJ155" i="14"/>
  <c r="EJ149" i="14"/>
  <c r="GG116" i="14"/>
  <c r="EU149" i="14"/>
  <c r="GG113" i="14"/>
  <c r="FO117" i="14"/>
  <c r="FM117" i="14"/>
  <c r="EM149" i="14"/>
  <c r="EP149" i="14" s="1"/>
  <c r="EQ149" i="14" s="1"/>
  <c r="ER149" i="14" s="1"/>
  <c r="GG114" i="14"/>
  <c r="GG118" i="14"/>
  <c r="GG117" i="14"/>
  <c r="FC149" i="14"/>
  <c r="FY65" i="14"/>
  <c r="FY113" i="14"/>
  <c r="FY114" i="14"/>
  <c r="FY115" i="14"/>
  <c r="FY110" i="14"/>
  <c r="FY116" i="14"/>
  <c r="FY111" i="14"/>
  <c r="FY112" i="14"/>
  <c r="FY117" i="14"/>
  <c r="GG115" i="14"/>
  <c r="FY119" i="14"/>
  <c r="GW149" i="14"/>
  <c r="GZ149" i="14" s="1"/>
  <c r="HA149" i="14" s="1"/>
  <c r="HB149" i="14" s="1"/>
  <c r="HC149" i="14" s="1"/>
  <c r="HH149" i="14" s="1"/>
  <c r="HI149" i="14" s="1"/>
  <c r="HJ149" i="14" s="1"/>
  <c r="HK149" i="14" s="1"/>
  <c r="HM149" i="14"/>
  <c r="GG111" i="14"/>
  <c r="FY118" i="14"/>
  <c r="GG119" i="14"/>
  <c r="FX61" i="14"/>
  <c r="FX68" i="14"/>
  <c r="FX76" i="14"/>
  <c r="FX75" i="14"/>
  <c r="FW147" i="14"/>
  <c r="FV147" i="14"/>
  <c r="FX81" i="14"/>
  <c r="FX70" i="14"/>
  <c r="FZ146" i="14"/>
  <c r="FX84" i="14"/>
  <c r="FX82" i="14"/>
  <c r="FX64" i="14"/>
  <c r="FX73" i="14"/>
  <c r="FW140" i="14"/>
  <c r="GA105" i="14" s="1"/>
  <c r="FV140" i="14"/>
  <c r="FW143" i="14"/>
  <c r="FV143" i="14"/>
  <c r="FZ143" i="14" s="1"/>
  <c r="GH148" i="14"/>
  <c r="FX63" i="14"/>
  <c r="FX65" i="14"/>
  <c r="FX79" i="14"/>
  <c r="FZ144" i="14"/>
  <c r="GH145" i="14"/>
  <c r="HW109" i="14"/>
  <c r="FX62" i="14"/>
  <c r="FX60" i="14"/>
  <c r="FX77" i="14"/>
  <c r="FX80" i="14"/>
  <c r="FX67" i="14"/>
  <c r="FX83" i="14"/>
  <c r="FX72" i="14"/>
  <c r="FX71" i="14"/>
  <c r="FX66" i="14"/>
  <c r="GH140" i="14"/>
  <c r="FX69" i="14"/>
  <c r="FX74" i="14"/>
  <c r="FX78" i="14"/>
  <c r="FW148" i="14"/>
  <c r="FV148" i="14"/>
  <c r="GH143" i="14"/>
  <c r="FO130" i="14"/>
  <c r="FO133" i="14"/>
  <c r="HM146" i="14"/>
  <c r="HE146" i="14"/>
  <c r="EU146" i="14"/>
  <c r="HY136" i="14"/>
  <c r="HX136" i="14"/>
  <c r="HY135" i="14"/>
  <c r="HX135" i="14"/>
  <c r="HY138" i="14"/>
  <c r="HX138" i="14"/>
  <c r="GH139" i="14"/>
  <c r="FO135" i="14"/>
  <c r="FN135" i="14"/>
  <c r="FO138" i="14"/>
  <c r="FN138" i="14"/>
  <c r="FO136" i="14"/>
  <c r="FN136" i="14"/>
  <c r="GG80" i="14"/>
  <c r="HY133" i="14"/>
  <c r="GG81" i="14"/>
  <c r="GD126" i="14"/>
  <c r="GH82" i="14" s="1"/>
  <c r="GE126" i="14"/>
  <c r="GI109" i="14" s="1"/>
  <c r="HW92" i="14"/>
  <c r="HX92" i="14"/>
  <c r="FM94" i="14"/>
  <c r="FN94" i="14"/>
  <c r="FM92" i="14"/>
  <c r="FN92" i="14"/>
  <c r="FM93" i="14"/>
  <c r="FN93" i="14"/>
  <c r="HW90" i="14"/>
  <c r="HX90" i="14"/>
  <c r="HW94" i="14"/>
  <c r="HX94" i="14"/>
  <c r="FM90" i="14"/>
  <c r="FN90" i="14"/>
  <c r="HW96" i="14"/>
  <c r="HX96" i="14"/>
  <c r="FM96" i="14"/>
  <c r="FN96" i="14"/>
  <c r="FM102" i="14"/>
  <c r="FN102" i="14"/>
  <c r="FM104" i="14"/>
  <c r="FN104" i="14"/>
  <c r="HW103" i="14"/>
  <c r="HX103" i="14"/>
  <c r="FM103" i="14"/>
  <c r="FN103" i="14"/>
  <c r="HW102" i="14"/>
  <c r="HX102" i="14"/>
  <c r="HW104" i="14"/>
  <c r="HX104" i="14"/>
  <c r="GF85" i="14"/>
  <c r="GF75" i="14"/>
  <c r="GF64" i="14"/>
  <c r="GL64" i="14" s="1"/>
  <c r="AL50" i="15" s="1"/>
  <c r="GF63" i="14"/>
  <c r="GL63" i="14" s="1"/>
  <c r="GF80" i="14"/>
  <c r="GF67" i="14"/>
  <c r="GL67" i="14" s="1"/>
  <c r="GF65" i="14"/>
  <c r="GL65" i="14" s="1"/>
  <c r="GF74" i="14"/>
  <c r="GF77" i="14"/>
  <c r="GL77" i="14" s="1"/>
  <c r="GF66" i="14"/>
  <c r="GL66" i="14" s="1"/>
  <c r="GF73" i="14"/>
  <c r="GF83" i="14"/>
  <c r="GF79" i="14"/>
  <c r="GF61" i="14"/>
  <c r="GL61" i="14" s="1"/>
  <c r="GF71" i="14"/>
  <c r="GF72" i="14"/>
  <c r="GF68" i="14"/>
  <c r="GL68" i="14" s="1"/>
  <c r="GF82" i="14"/>
  <c r="GF78" i="14"/>
  <c r="GL78" i="14" s="1"/>
  <c r="GF84" i="14"/>
  <c r="GF60" i="14"/>
  <c r="GL60" i="14" s="1"/>
  <c r="GF81" i="14"/>
  <c r="GF70" i="14"/>
  <c r="GL70" i="14" s="1"/>
  <c r="GF69" i="14"/>
  <c r="GL69" i="14" s="1"/>
  <c r="GF76" i="14"/>
  <c r="GF62" i="14"/>
  <c r="GL62" i="14" s="1"/>
  <c r="GF88" i="14"/>
  <c r="FX85" i="14"/>
  <c r="GF86" i="14"/>
  <c r="GF87" i="14"/>
  <c r="FX89" i="14"/>
  <c r="FY72" i="14"/>
  <c r="FY66" i="14"/>
  <c r="FY67" i="14"/>
  <c r="FY68" i="14"/>
  <c r="FY69" i="14"/>
  <c r="FL70" i="14"/>
  <c r="FM70" i="14"/>
  <c r="FY73" i="14"/>
  <c r="FY70" i="14"/>
  <c r="FY71" i="14"/>
  <c r="HV74" i="14"/>
  <c r="HW74" i="14"/>
  <c r="HV71" i="14"/>
  <c r="HW71" i="14"/>
  <c r="HV73" i="14"/>
  <c r="HW73" i="14"/>
  <c r="FL74" i="14"/>
  <c r="FM74" i="14"/>
  <c r="HV70" i="14"/>
  <c r="HW70" i="14"/>
  <c r="FL71" i="14"/>
  <c r="FM71" i="14"/>
  <c r="FL73" i="14"/>
  <c r="FM73" i="14"/>
  <c r="FY82" i="14"/>
  <c r="FY84" i="14"/>
  <c r="FY78" i="14"/>
  <c r="HW107" i="14"/>
  <c r="HX107" i="14"/>
  <c r="HW105" i="14"/>
  <c r="HX105" i="14"/>
  <c r="FY80" i="14"/>
  <c r="FM107" i="14"/>
  <c r="FN107" i="14"/>
  <c r="FY81" i="14"/>
  <c r="HW106" i="14"/>
  <c r="HX106" i="14"/>
  <c r="FM106" i="14"/>
  <c r="FN106" i="14"/>
  <c r="FY75" i="14"/>
  <c r="FY96" i="14"/>
  <c r="FY76" i="14"/>
  <c r="FM105" i="14"/>
  <c r="FN105" i="14"/>
  <c r="FM109" i="14"/>
  <c r="FN109" i="14"/>
  <c r="GH107" i="14"/>
  <c r="FL75" i="14"/>
  <c r="FM75" i="14"/>
  <c r="HV82" i="14"/>
  <c r="HW82" i="14"/>
  <c r="FL79" i="14"/>
  <c r="FM79" i="14"/>
  <c r="HV79" i="14"/>
  <c r="HW79" i="14"/>
  <c r="HV84" i="14"/>
  <c r="HW84" i="14"/>
  <c r="FY83" i="14"/>
  <c r="HV78" i="14"/>
  <c r="HW78" i="14"/>
  <c r="FY77" i="14"/>
  <c r="HV75" i="14"/>
  <c r="HW75" i="14"/>
  <c r="FL84" i="14"/>
  <c r="FM84" i="14"/>
  <c r="FL82" i="14"/>
  <c r="FM82" i="14"/>
  <c r="FL78" i="14"/>
  <c r="FM78" i="14"/>
  <c r="FY79" i="14"/>
  <c r="EU156" i="14"/>
  <c r="GW156" i="14"/>
  <c r="GZ156" i="14" s="1"/>
  <c r="HA156" i="14" s="1"/>
  <c r="HB156" i="14" s="1"/>
  <c r="HC156" i="14" s="1"/>
  <c r="EM156" i="14"/>
  <c r="EP156" i="14" s="1"/>
  <c r="EQ156" i="14" s="1"/>
  <c r="ER156" i="14" s="1"/>
  <c r="ES156" i="14" s="1"/>
  <c r="HM156" i="14"/>
  <c r="HE156" i="14"/>
  <c r="FC156" i="14"/>
  <c r="EM145" i="14"/>
  <c r="EP145" i="14" s="1"/>
  <c r="EQ145" i="14" s="1"/>
  <c r="ER145" i="14" s="1"/>
  <c r="GW153" i="14"/>
  <c r="GZ153" i="14" s="1"/>
  <c r="HA153" i="14" s="1"/>
  <c r="HB153" i="14" s="1"/>
  <c r="HC153" i="14" s="1"/>
  <c r="CW52" i="38"/>
  <c r="Z53" i="40"/>
  <c r="CW102" i="38"/>
  <c r="Z103" i="40"/>
  <c r="CW86" i="38"/>
  <c r="Z87" i="40"/>
  <c r="CW116" i="38"/>
  <c r="Z117" i="40"/>
  <c r="CW56" i="38"/>
  <c r="Z57" i="40"/>
  <c r="CW83" i="38"/>
  <c r="Z84" i="40"/>
  <c r="CW93" i="38"/>
  <c r="Z94" i="40"/>
  <c r="CW104" i="38"/>
  <c r="Z105" i="40"/>
  <c r="CW73" i="38"/>
  <c r="Z74" i="40"/>
  <c r="CW114" i="38"/>
  <c r="Z115" i="40"/>
  <c r="CW123" i="38"/>
  <c r="Z124" i="40"/>
  <c r="CW120" i="38"/>
  <c r="Z121" i="40"/>
  <c r="HE153" i="14"/>
  <c r="FC153" i="14"/>
  <c r="EU153" i="14"/>
  <c r="EM153" i="14"/>
  <c r="EP153" i="14" s="1"/>
  <c r="EQ153" i="14" s="1"/>
  <c r="ER153" i="14" s="1"/>
  <c r="EJ153" i="14"/>
  <c r="EJ120" i="14"/>
  <c r="HH80" i="14"/>
  <c r="HI80" i="14" s="1"/>
  <c r="HJ80" i="14" s="1"/>
  <c r="HK80" i="14" s="1"/>
  <c r="HP80" i="14" s="1"/>
  <c r="HQ80" i="14" s="1"/>
  <c r="HR80" i="14" s="1"/>
  <c r="HS80" i="14" s="1"/>
  <c r="HX80" i="14" s="1"/>
  <c r="GW146" i="14"/>
  <c r="GZ146" i="14" s="1"/>
  <c r="HA146" i="14" s="1"/>
  <c r="HB146" i="14" s="1"/>
  <c r="HC146" i="14" s="1"/>
  <c r="GW145" i="14"/>
  <c r="GZ145" i="14" s="1"/>
  <c r="HA145" i="14" s="1"/>
  <c r="HB145" i="14" s="1"/>
  <c r="HC145" i="14" s="1"/>
  <c r="EM146" i="14"/>
  <c r="EP146" i="14" s="1"/>
  <c r="EQ146" i="14" s="1"/>
  <c r="ER146" i="14" s="1"/>
  <c r="EJ146" i="14"/>
  <c r="EJ160" i="14"/>
  <c r="HM124" i="14"/>
  <c r="EJ150" i="14"/>
  <c r="EJ152" i="14"/>
  <c r="EU152" i="14"/>
  <c r="FC150" i="14"/>
  <c r="EM160" i="14"/>
  <c r="EP160" i="14" s="1"/>
  <c r="EQ160" i="14" s="1"/>
  <c r="ER160" i="14" s="1"/>
  <c r="EJ151" i="14"/>
  <c r="GW160" i="14"/>
  <c r="GZ160" i="14" s="1"/>
  <c r="HA160" i="14" s="1"/>
  <c r="HB160" i="14" s="1"/>
  <c r="HC160" i="14" s="1"/>
  <c r="EU151" i="14"/>
  <c r="EM151" i="14"/>
  <c r="EP151" i="14" s="1"/>
  <c r="EQ151" i="14" s="1"/>
  <c r="ER151" i="14" s="1"/>
  <c r="GW151" i="14"/>
  <c r="GZ151" i="14" s="1"/>
  <c r="HA151" i="14" s="1"/>
  <c r="HB151" i="14" s="1"/>
  <c r="HC151" i="14" s="1"/>
  <c r="HE151" i="14"/>
  <c r="CI76" i="38"/>
  <c r="CJ76" i="38" s="1"/>
  <c r="CK76" i="38" s="1"/>
  <c r="CL76" i="38" s="1"/>
  <c r="CE131" i="38"/>
  <c r="CF131" i="38" s="1"/>
  <c r="CG131" i="38" s="1"/>
  <c r="CH131" i="38" s="1"/>
  <c r="CE137" i="38"/>
  <c r="CF137" i="38" s="1"/>
  <c r="CG137" i="38" s="1"/>
  <c r="CH137" i="38" s="1"/>
  <c r="CA105" i="38"/>
  <c r="CB105" i="38" s="1"/>
  <c r="CC105" i="38" s="1"/>
  <c r="CD105" i="38" s="1"/>
  <c r="CE105" i="38" s="1"/>
  <c r="CF105" i="38" s="1"/>
  <c r="CG105" i="38" s="1"/>
  <c r="CH105" i="38" s="1"/>
  <c r="CQ55" i="38"/>
  <c r="CR55" i="38" s="1"/>
  <c r="CS55" i="38" s="1"/>
  <c r="CT55" i="38" s="1"/>
  <c r="CM72" i="38"/>
  <c r="CN72" i="38" s="1"/>
  <c r="CO72" i="38" s="1"/>
  <c r="CP72" i="38" s="1"/>
  <c r="CQ72" i="38" s="1"/>
  <c r="CR72" i="38" s="1"/>
  <c r="CS72" i="38" s="1"/>
  <c r="CT72" i="38" s="1"/>
  <c r="CU72" i="38" s="1"/>
  <c r="CV72" i="38" s="1"/>
  <c r="CE124" i="38"/>
  <c r="CF124" i="38" s="1"/>
  <c r="CG124" i="38" s="1"/>
  <c r="CH124" i="38" s="1"/>
  <c r="CI124" i="38" s="1"/>
  <c r="CJ124" i="38" s="1"/>
  <c r="CK124" i="38" s="1"/>
  <c r="CL124" i="38" s="1"/>
  <c r="CE69" i="38"/>
  <c r="CF69" i="38" s="1"/>
  <c r="CG69" i="38" s="1"/>
  <c r="CH69" i="38" s="1"/>
  <c r="CQ96" i="38"/>
  <c r="CR96" i="38" s="1"/>
  <c r="CS96" i="38" s="1"/>
  <c r="CT96" i="38" s="1"/>
  <c r="CM51" i="38"/>
  <c r="CN51" i="38" s="1"/>
  <c r="CO51" i="38" s="1"/>
  <c r="CP51" i="38" s="1"/>
  <c r="CQ51" i="38" s="1"/>
  <c r="CR51" i="38" s="1"/>
  <c r="CS51" i="38" s="1"/>
  <c r="CT51" i="38" s="1"/>
  <c r="CU51" i="38" s="1"/>
  <c r="CV51" i="38" s="1"/>
  <c r="CQ58" i="38"/>
  <c r="CR58" i="38" s="1"/>
  <c r="CS58" i="38" s="1"/>
  <c r="CT58" i="38" s="1"/>
  <c r="CA129" i="38"/>
  <c r="CB129" i="38" s="1"/>
  <c r="CC129" i="38" s="1"/>
  <c r="CD129" i="38" s="1"/>
  <c r="CA141" i="38"/>
  <c r="CB141" i="38" s="1"/>
  <c r="CC141" i="38" s="1"/>
  <c r="CD141" i="38" s="1"/>
  <c r="CE141" i="38" s="1"/>
  <c r="CF141" i="38" s="1"/>
  <c r="CG141" i="38" s="1"/>
  <c r="CH141" i="38" s="1"/>
  <c r="CI141" i="38" s="1"/>
  <c r="CJ141" i="38" s="1"/>
  <c r="CK141" i="38" s="1"/>
  <c r="CL141" i="38" s="1"/>
  <c r="CM141" i="38" s="1"/>
  <c r="CN141" i="38" s="1"/>
  <c r="CO141" i="38" s="1"/>
  <c r="CP141" i="38" s="1"/>
  <c r="CQ141" i="38" s="1"/>
  <c r="CR141" i="38" s="1"/>
  <c r="CS141" i="38" s="1"/>
  <c r="CT141" i="38" s="1"/>
  <c r="CU141" i="38" s="1"/>
  <c r="CV141" i="38" s="1"/>
  <c r="CQ95" i="38"/>
  <c r="CR95" i="38" s="1"/>
  <c r="CS95" i="38" s="1"/>
  <c r="CT95" i="38" s="1"/>
  <c r="CU95" i="38" s="1"/>
  <c r="CV95" i="38" s="1"/>
  <c r="CM85" i="38"/>
  <c r="CN85" i="38" s="1"/>
  <c r="CO85" i="38" s="1"/>
  <c r="CP85" i="38" s="1"/>
  <c r="CQ79" i="38"/>
  <c r="CR79" i="38" s="1"/>
  <c r="CS79" i="38" s="1"/>
  <c r="CT79" i="38" s="1"/>
  <c r="CM84" i="38"/>
  <c r="CN84" i="38" s="1"/>
  <c r="CO84" i="38" s="1"/>
  <c r="CP84" i="38" s="1"/>
  <c r="CQ84" i="38" s="1"/>
  <c r="CR84" i="38" s="1"/>
  <c r="CS84" i="38" s="1"/>
  <c r="CT84" i="38" s="1"/>
  <c r="CU84" i="38" s="1"/>
  <c r="CV84" i="38" s="1"/>
  <c r="CI71" i="38"/>
  <c r="CJ71" i="38" s="1"/>
  <c r="CK71" i="38" s="1"/>
  <c r="CL71" i="38" s="1"/>
  <c r="CU53" i="38"/>
  <c r="CV53" i="38" s="1"/>
  <c r="CU87" i="38"/>
  <c r="CV87" i="38" s="1"/>
  <c r="CM110" i="38"/>
  <c r="CN110" i="38" s="1"/>
  <c r="CO110" i="38" s="1"/>
  <c r="CP110" i="38" s="1"/>
  <c r="CI64" i="38"/>
  <c r="CJ64" i="38" s="1"/>
  <c r="CK64" i="38" s="1"/>
  <c r="CL64" i="38" s="1"/>
  <c r="CU74" i="38"/>
  <c r="CV74" i="38" s="1"/>
  <c r="CA107" i="38"/>
  <c r="CB107" i="38" s="1"/>
  <c r="CC107" i="38" s="1"/>
  <c r="CD107" i="38" s="1"/>
  <c r="CE107" i="38" s="1"/>
  <c r="CF107" i="38" s="1"/>
  <c r="CG107" i="38" s="1"/>
  <c r="CH107" i="38" s="1"/>
  <c r="CU81" i="38"/>
  <c r="CV81" i="38" s="1"/>
  <c r="CU138" i="38"/>
  <c r="CV138" i="38" s="1"/>
  <c r="CI68" i="38"/>
  <c r="CJ68" i="38" s="1"/>
  <c r="CK68" i="38" s="1"/>
  <c r="CL68" i="38" s="1"/>
  <c r="CM68" i="38" s="1"/>
  <c r="CN68" i="38" s="1"/>
  <c r="CO68" i="38" s="1"/>
  <c r="CP68" i="38" s="1"/>
  <c r="CE111" i="38"/>
  <c r="CF111" i="38" s="1"/>
  <c r="CG111" i="38" s="1"/>
  <c r="CH111" i="38" s="1"/>
  <c r="CI111" i="38" s="1"/>
  <c r="CJ111" i="38" s="1"/>
  <c r="CK111" i="38" s="1"/>
  <c r="CL111" i="38" s="1"/>
  <c r="CM111" i="38" s="1"/>
  <c r="CN111" i="38" s="1"/>
  <c r="CO111" i="38" s="1"/>
  <c r="CP111" i="38" s="1"/>
  <c r="CQ111" i="38" s="1"/>
  <c r="CR111" i="38" s="1"/>
  <c r="CS111" i="38" s="1"/>
  <c r="CT111" i="38" s="1"/>
  <c r="CM126" i="38"/>
  <c r="CN126" i="38" s="1"/>
  <c r="CO126" i="38" s="1"/>
  <c r="CP126" i="38" s="1"/>
  <c r="CU115" i="38"/>
  <c r="CV115" i="38" s="1"/>
  <c r="CU132" i="38"/>
  <c r="CV132" i="38" s="1"/>
  <c r="CQ103" i="38"/>
  <c r="CR103" i="38" s="1"/>
  <c r="CS103" i="38" s="1"/>
  <c r="CT103" i="38" s="1"/>
  <c r="CU140" i="38"/>
  <c r="CV140" i="38" s="1"/>
  <c r="CU122" i="38"/>
  <c r="CV122" i="38" s="1"/>
  <c r="CE125" i="38"/>
  <c r="CF125" i="38" s="1"/>
  <c r="CG125" i="38" s="1"/>
  <c r="CH125" i="38" s="1"/>
  <c r="CI125" i="38" s="1"/>
  <c r="CJ125" i="38" s="1"/>
  <c r="CK125" i="38" s="1"/>
  <c r="CL125" i="38" s="1"/>
  <c r="CM125" i="38" s="1"/>
  <c r="CN125" i="38" s="1"/>
  <c r="CO125" i="38" s="1"/>
  <c r="CP125" i="38" s="1"/>
  <c r="CQ125" i="38" s="1"/>
  <c r="CR125" i="38" s="1"/>
  <c r="CS125" i="38" s="1"/>
  <c r="CT125" i="38" s="1"/>
  <c r="CU125" i="38" s="1"/>
  <c r="CV125" i="38" s="1"/>
  <c r="CU75" i="38"/>
  <c r="CV75" i="38" s="1"/>
  <c r="CA135" i="38"/>
  <c r="CB135" i="38" s="1"/>
  <c r="CC135" i="38" s="1"/>
  <c r="CD135" i="38" s="1"/>
  <c r="CQ142" i="38"/>
  <c r="CR142" i="38" s="1"/>
  <c r="CS142" i="38" s="1"/>
  <c r="CT142" i="38" s="1"/>
  <c r="CU142" i="38" s="1"/>
  <c r="CV142" i="38" s="1"/>
  <c r="CA127" i="38"/>
  <c r="CB127" i="38" s="1"/>
  <c r="CC127" i="38" s="1"/>
  <c r="CD127" i="38" s="1"/>
  <c r="CI99" i="38"/>
  <c r="CJ99" i="38" s="1"/>
  <c r="CK99" i="38" s="1"/>
  <c r="CL99" i="38" s="1"/>
  <c r="CM99" i="38" s="1"/>
  <c r="CN99" i="38" s="1"/>
  <c r="CO99" i="38" s="1"/>
  <c r="CP99" i="38" s="1"/>
  <c r="CQ99" i="38" s="1"/>
  <c r="CR99" i="38" s="1"/>
  <c r="CS99" i="38" s="1"/>
  <c r="CT99" i="38" s="1"/>
  <c r="CU99" i="38" s="1"/>
  <c r="CV99" i="38" s="1"/>
  <c r="CA136" i="38"/>
  <c r="CB136" i="38" s="1"/>
  <c r="CC136" i="38" s="1"/>
  <c r="CD136" i="38" s="1"/>
  <c r="CQ77" i="38"/>
  <c r="CR77" i="38" s="1"/>
  <c r="CS77" i="38" s="1"/>
  <c r="CT77" i="38" s="1"/>
  <c r="CU77" i="38" s="1"/>
  <c r="CV77" i="38" s="1"/>
  <c r="CM92" i="38"/>
  <c r="CN92" i="38" s="1"/>
  <c r="CO92" i="38" s="1"/>
  <c r="CP92" i="38" s="1"/>
  <c r="CU78" i="38"/>
  <c r="CV78" i="38" s="1"/>
  <c r="CM144" i="38"/>
  <c r="CN144" i="38" s="1"/>
  <c r="CO144" i="38" s="1"/>
  <c r="CP144" i="38" s="1"/>
  <c r="CQ144" i="38" s="1"/>
  <c r="CR144" i="38" s="1"/>
  <c r="CS144" i="38" s="1"/>
  <c r="CT144" i="38" s="1"/>
  <c r="CI91" i="38"/>
  <c r="CJ91" i="38" s="1"/>
  <c r="CK91" i="38" s="1"/>
  <c r="CL91" i="38" s="1"/>
  <c r="CM91" i="38" s="1"/>
  <c r="CN91" i="38" s="1"/>
  <c r="CO91" i="38" s="1"/>
  <c r="CP91" i="38" s="1"/>
  <c r="CQ91" i="38" s="1"/>
  <c r="CR91" i="38" s="1"/>
  <c r="CS91" i="38" s="1"/>
  <c r="CT91" i="38" s="1"/>
  <c r="CU91" i="38" s="1"/>
  <c r="CV91" i="38" s="1"/>
  <c r="CI117" i="38"/>
  <c r="CJ117" i="38" s="1"/>
  <c r="CK117" i="38" s="1"/>
  <c r="CL117" i="38" s="1"/>
  <c r="CM117" i="38" s="1"/>
  <c r="CN117" i="38" s="1"/>
  <c r="CO117" i="38" s="1"/>
  <c r="CP117" i="38" s="1"/>
  <c r="CQ117" i="38" s="1"/>
  <c r="CR117" i="38" s="1"/>
  <c r="CS117" i="38" s="1"/>
  <c r="CT117" i="38" s="1"/>
  <c r="CU117" i="38" s="1"/>
  <c r="CV117" i="38" s="1"/>
  <c r="CI67" i="38"/>
  <c r="CJ67" i="38" s="1"/>
  <c r="CK67" i="38" s="1"/>
  <c r="CL67" i="38" s="1"/>
  <c r="CM46" i="38"/>
  <c r="CN46" i="38" s="1"/>
  <c r="CO46" i="38" s="1"/>
  <c r="CP46" i="38" s="1"/>
  <c r="CQ46" i="38" s="1"/>
  <c r="CR46" i="38" s="1"/>
  <c r="CS46" i="38" s="1"/>
  <c r="CT46" i="38" s="1"/>
  <c r="CQ59" i="38"/>
  <c r="CR59" i="38" s="1"/>
  <c r="CS59" i="38" s="1"/>
  <c r="CT59" i="38" s="1"/>
  <c r="CI143" i="38"/>
  <c r="CJ143" i="38" s="1"/>
  <c r="CK143" i="38" s="1"/>
  <c r="CL143" i="38" s="1"/>
  <c r="CM143" i="38" s="1"/>
  <c r="CN143" i="38" s="1"/>
  <c r="CO143" i="38" s="1"/>
  <c r="CP143" i="38" s="1"/>
  <c r="CQ143" i="38" s="1"/>
  <c r="CR143" i="38" s="1"/>
  <c r="CS143" i="38" s="1"/>
  <c r="CT143" i="38" s="1"/>
  <c r="CQ48" i="38"/>
  <c r="CR48" i="38" s="1"/>
  <c r="CS48" i="38" s="1"/>
  <c r="CT48" i="38" s="1"/>
  <c r="CU48" i="38" s="1"/>
  <c r="CV48" i="38" s="1"/>
  <c r="CM112" i="38"/>
  <c r="CN112" i="38" s="1"/>
  <c r="CO112" i="38" s="1"/>
  <c r="CP112" i="38" s="1"/>
  <c r="CM70" i="38"/>
  <c r="CN70" i="38" s="1"/>
  <c r="CO70" i="38" s="1"/>
  <c r="CP70" i="38" s="1"/>
  <c r="CQ90" i="38"/>
  <c r="CR90" i="38" s="1"/>
  <c r="CS90" i="38" s="1"/>
  <c r="CT90" i="38" s="1"/>
  <c r="CU90" i="38" s="1"/>
  <c r="CV90" i="38" s="1"/>
  <c r="CQ60" i="38"/>
  <c r="CR60" i="38" s="1"/>
  <c r="CS60" i="38" s="1"/>
  <c r="CT60" i="38" s="1"/>
  <c r="CU60" i="38" s="1"/>
  <c r="CV60" i="38" s="1"/>
  <c r="CQ49" i="38"/>
  <c r="CR49" i="38" s="1"/>
  <c r="CS49" i="38" s="1"/>
  <c r="CT49" i="38" s="1"/>
  <c r="CE106" i="38"/>
  <c r="CF106" i="38" s="1"/>
  <c r="CG106" i="38" s="1"/>
  <c r="CH106" i="38" s="1"/>
  <c r="CI106" i="38" s="1"/>
  <c r="CJ106" i="38" s="1"/>
  <c r="CK106" i="38" s="1"/>
  <c r="CL106" i="38" s="1"/>
  <c r="CM106" i="38" s="1"/>
  <c r="CN106" i="38" s="1"/>
  <c r="CO106" i="38" s="1"/>
  <c r="CP106" i="38" s="1"/>
  <c r="CQ106" i="38" s="1"/>
  <c r="CR106" i="38" s="1"/>
  <c r="CS106" i="38" s="1"/>
  <c r="CT106" i="38" s="1"/>
  <c r="CE130" i="38"/>
  <c r="CF130" i="38" s="1"/>
  <c r="CG130" i="38" s="1"/>
  <c r="CH130" i="38" s="1"/>
  <c r="CI130" i="38" s="1"/>
  <c r="CJ130" i="38" s="1"/>
  <c r="CK130" i="38" s="1"/>
  <c r="CL130" i="38" s="1"/>
  <c r="CM130" i="38" s="1"/>
  <c r="CN130" i="38" s="1"/>
  <c r="CO130" i="38" s="1"/>
  <c r="CP130" i="38" s="1"/>
  <c r="CQ130" i="38" s="1"/>
  <c r="CR130" i="38" s="1"/>
  <c r="CS130" i="38" s="1"/>
  <c r="CT130" i="38" s="1"/>
  <c r="CM65" i="38"/>
  <c r="CN65" i="38" s="1"/>
  <c r="CO65" i="38" s="1"/>
  <c r="CP65" i="38" s="1"/>
  <c r="CM62" i="38"/>
  <c r="CN62" i="38" s="1"/>
  <c r="CO62" i="38" s="1"/>
  <c r="CP62" i="38" s="1"/>
  <c r="CQ57" i="38"/>
  <c r="CR57" i="38" s="1"/>
  <c r="CS57" i="38" s="1"/>
  <c r="CT57" i="38" s="1"/>
  <c r="CU89" i="38"/>
  <c r="CV89" i="38" s="1"/>
  <c r="CQ45" i="38"/>
  <c r="CR45" i="38" s="1"/>
  <c r="CS45" i="38" s="1"/>
  <c r="CT45" i="38" s="1"/>
  <c r="CE108" i="38"/>
  <c r="CF108" i="38" s="1"/>
  <c r="CG108" i="38" s="1"/>
  <c r="CH108" i="38" s="1"/>
  <c r="CI108" i="38" s="1"/>
  <c r="CJ108" i="38" s="1"/>
  <c r="CK108" i="38" s="1"/>
  <c r="CL108" i="38" s="1"/>
  <c r="CI66" i="38"/>
  <c r="CJ66" i="38" s="1"/>
  <c r="CK66" i="38" s="1"/>
  <c r="CL66" i="38" s="1"/>
  <c r="CM66" i="38" s="1"/>
  <c r="CN66" i="38" s="1"/>
  <c r="CO66" i="38" s="1"/>
  <c r="CP66" i="38" s="1"/>
  <c r="CA113" i="38"/>
  <c r="CB113" i="38" s="1"/>
  <c r="CC113" i="38" s="1"/>
  <c r="CD113" i="38" s="1"/>
  <c r="CE134" i="38"/>
  <c r="CF134" i="38" s="1"/>
  <c r="CG134" i="38" s="1"/>
  <c r="CH134" i="38" s="1"/>
  <c r="CM97" i="38"/>
  <c r="CN97" i="38" s="1"/>
  <c r="CO97" i="38" s="1"/>
  <c r="CP97" i="38" s="1"/>
  <c r="CQ97" i="38" s="1"/>
  <c r="CR97" i="38" s="1"/>
  <c r="CS97" i="38" s="1"/>
  <c r="CT97" i="38" s="1"/>
  <c r="CU88" i="38"/>
  <c r="CV88" i="38" s="1"/>
  <c r="CQ61" i="38"/>
  <c r="CR61" i="38" s="1"/>
  <c r="CS61" i="38" s="1"/>
  <c r="CT61" i="38" s="1"/>
  <c r="CU61" i="38" s="1"/>
  <c r="CV61" i="38" s="1"/>
  <c r="CA109" i="38"/>
  <c r="CB109" i="38" s="1"/>
  <c r="CC109" i="38" s="1"/>
  <c r="CD109" i="38" s="1"/>
  <c r="CE109" i="38" s="1"/>
  <c r="CF109" i="38" s="1"/>
  <c r="CG109" i="38" s="1"/>
  <c r="CH109" i="38" s="1"/>
  <c r="CE128" i="38"/>
  <c r="CF128" i="38" s="1"/>
  <c r="CG128" i="38" s="1"/>
  <c r="CH128" i="38" s="1"/>
  <c r="CI128" i="38" s="1"/>
  <c r="CJ128" i="38" s="1"/>
  <c r="CK128" i="38" s="1"/>
  <c r="CL128" i="38" s="1"/>
  <c r="CQ47" i="38"/>
  <c r="CR47" i="38" s="1"/>
  <c r="CS47" i="38" s="1"/>
  <c r="CT47" i="38" s="1"/>
  <c r="CI139" i="38"/>
  <c r="CJ139" i="38" s="1"/>
  <c r="CK139" i="38" s="1"/>
  <c r="CL139" i="38" s="1"/>
  <c r="CM139" i="38" s="1"/>
  <c r="CN139" i="38" s="1"/>
  <c r="CO139" i="38" s="1"/>
  <c r="CP139" i="38" s="1"/>
  <c r="CQ139" i="38" s="1"/>
  <c r="CR139" i="38" s="1"/>
  <c r="CS139" i="38" s="1"/>
  <c r="CT139" i="38" s="1"/>
  <c r="CU139" i="38" s="1"/>
  <c r="CV139" i="38" s="1"/>
  <c r="CI133" i="38"/>
  <c r="CJ133" i="38" s="1"/>
  <c r="CK133" i="38" s="1"/>
  <c r="CL133" i="38" s="1"/>
  <c r="CM133" i="38" s="1"/>
  <c r="CN133" i="38" s="1"/>
  <c r="CO133" i="38" s="1"/>
  <c r="CP133" i="38" s="1"/>
  <c r="CQ133" i="38" s="1"/>
  <c r="CR133" i="38" s="1"/>
  <c r="CS133" i="38" s="1"/>
  <c r="CT133" i="38" s="1"/>
  <c r="CU133" i="38" s="1"/>
  <c r="CV133" i="38" s="1"/>
  <c r="GW152" i="14"/>
  <c r="GZ152" i="14" s="1"/>
  <c r="HA152" i="14" s="1"/>
  <c r="HB152" i="14" s="1"/>
  <c r="HC152" i="14" s="1"/>
  <c r="HE150" i="14"/>
  <c r="EJ145" i="14"/>
  <c r="HE152" i="14"/>
  <c r="EM150" i="14"/>
  <c r="EP150" i="14" s="1"/>
  <c r="EQ150" i="14" s="1"/>
  <c r="ER150" i="14" s="1"/>
  <c r="EU145" i="14"/>
  <c r="HM152" i="14"/>
  <c r="HM150" i="14"/>
  <c r="HE145" i="14"/>
  <c r="HH88" i="14"/>
  <c r="HI88" i="14" s="1"/>
  <c r="HJ88" i="14" s="1"/>
  <c r="HK88" i="14" s="1"/>
  <c r="HP88" i="14" s="1"/>
  <c r="HQ88" i="14" s="1"/>
  <c r="HR88" i="14" s="1"/>
  <c r="HS88" i="14" s="1"/>
  <c r="HX88" i="14" s="1"/>
  <c r="EM152" i="14"/>
  <c r="EP152" i="14" s="1"/>
  <c r="EQ152" i="14" s="1"/>
  <c r="ER152" i="14" s="1"/>
  <c r="GW150" i="14"/>
  <c r="GZ150" i="14" s="1"/>
  <c r="HA150" i="14" s="1"/>
  <c r="HB150" i="14" s="1"/>
  <c r="HC150" i="14" s="1"/>
  <c r="HM145" i="14"/>
  <c r="HH89" i="14"/>
  <c r="HI89" i="14" s="1"/>
  <c r="HJ89" i="14" s="1"/>
  <c r="HK89" i="14" s="1"/>
  <c r="HP89" i="14" s="1"/>
  <c r="HQ89" i="14" s="1"/>
  <c r="HR89" i="14" s="1"/>
  <c r="HS89" i="14" s="1"/>
  <c r="HX89" i="14" s="1"/>
  <c r="CX56" i="38"/>
  <c r="EX88" i="14"/>
  <c r="EY88" i="14" s="1"/>
  <c r="EZ88" i="14" s="1"/>
  <c r="FA88" i="14" s="1"/>
  <c r="FF88" i="14" s="1"/>
  <c r="FG88" i="14" s="1"/>
  <c r="FH88" i="14" s="1"/>
  <c r="FI88" i="14" s="1"/>
  <c r="FN88" i="14" s="1"/>
  <c r="HM141" i="14"/>
  <c r="EM124" i="14"/>
  <c r="EP124" i="14" s="1"/>
  <c r="EQ124" i="14" s="1"/>
  <c r="ER124" i="14" s="1"/>
  <c r="FC151" i="14"/>
  <c r="EU120" i="14"/>
  <c r="HE120" i="14"/>
  <c r="HM120" i="14"/>
  <c r="EM120" i="14"/>
  <c r="EP120" i="14" s="1"/>
  <c r="EQ120" i="14" s="1"/>
  <c r="ER120" i="14" s="1"/>
  <c r="GW120" i="14"/>
  <c r="GZ120" i="14" s="1"/>
  <c r="HA120" i="14" s="1"/>
  <c r="HB120" i="14" s="1"/>
  <c r="HC120" i="14" s="1"/>
  <c r="GW141" i="14"/>
  <c r="GZ141" i="14" s="1"/>
  <c r="HA141" i="14" s="1"/>
  <c r="HB141" i="14" s="1"/>
  <c r="HC141" i="14" s="1"/>
  <c r="HH141" i="14" s="1"/>
  <c r="HI141" i="14" s="1"/>
  <c r="HJ141" i="14" s="1"/>
  <c r="HK141" i="14" s="1"/>
  <c r="FC141" i="14"/>
  <c r="EU141" i="14"/>
  <c r="EJ141" i="14"/>
  <c r="EM141" i="14"/>
  <c r="EP141" i="14" s="1"/>
  <c r="EQ141" i="14" s="1"/>
  <c r="ER141" i="14" s="1"/>
  <c r="ES128" i="14"/>
  <c r="EX128" i="14" s="1"/>
  <c r="EY128" i="14" s="1"/>
  <c r="EZ128" i="14" s="1"/>
  <c r="FA128" i="14" s="1"/>
  <c r="FF128" i="14" s="1"/>
  <c r="FG128" i="14" s="1"/>
  <c r="FH128" i="14" s="1"/>
  <c r="FI128" i="14" s="1"/>
  <c r="FN128" i="14" s="1"/>
  <c r="HE124" i="14"/>
  <c r="FC124" i="14"/>
  <c r="GW124" i="14"/>
  <c r="GZ124" i="14" s="1"/>
  <c r="HA124" i="14" s="1"/>
  <c r="HB124" i="14" s="1"/>
  <c r="HC124" i="14" s="1"/>
  <c r="EJ124" i="14"/>
  <c r="FC144" i="14"/>
  <c r="HE144" i="14"/>
  <c r="HM122" i="14"/>
  <c r="HH121" i="14"/>
  <c r="HI121" i="14" s="1"/>
  <c r="HJ121" i="14" s="1"/>
  <c r="HK121" i="14" s="1"/>
  <c r="HP121" i="14" s="1"/>
  <c r="HQ121" i="14" s="1"/>
  <c r="HR121" i="14" s="1"/>
  <c r="HS121" i="14" s="1"/>
  <c r="HX121" i="14" s="1"/>
  <c r="EU144" i="14"/>
  <c r="EM144" i="14"/>
  <c r="EP144" i="14" s="1"/>
  <c r="EQ144" i="14" s="1"/>
  <c r="ER144" i="14" s="1"/>
  <c r="GW144" i="14"/>
  <c r="GZ144" i="14" s="1"/>
  <c r="HA144" i="14" s="1"/>
  <c r="HB144" i="14" s="1"/>
  <c r="HC144" i="14" s="1"/>
  <c r="EJ144" i="14"/>
  <c r="ES127" i="14"/>
  <c r="EX127" i="14" s="1"/>
  <c r="EY127" i="14" s="1"/>
  <c r="EZ127" i="14" s="1"/>
  <c r="FA127" i="14" s="1"/>
  <c r="FF127" i="14" s="1"/>
  <c r="FG127" i="14" s="1"/>
  <c r="FH127" i="14" s="1"/>
  <c r="FI127" i="14" s="1"/>
  <c r="FN127" i="14" s="1"/>
  <c r="EM122" i="14"/>
  <c r="EP122" i="14" s="1"/>
  <c r="EQ122" i="14" s="1"/>
  <c r="ER122" i="14" s="1"/>
  <c r="HP128" i="14"/>
  <c r="HQ128" i="14" s="1"/>
  <c r="HR128" i="14" s="1"/>
  <c r="HS128" i="14" s="1"/>
  <c r="HX128" i="14" s="1"/>
  <c r="EJ122" i="14"/>
  <c r="HE122" i="14"/>
  <c r="HH129" i="14"/>
  <c r="HI129" i="14" s="1"/>
  <c r="HJ129" i="14" s="1"/>
  <c r="HK129" i="14" s="1"/>
  <c r="HP129" i="14" s="1"/>
  <c r="HQ129" i="14" s="1"/>
  <c r="HR129" i="14" s="1"/>
  <c r="HS129" i="14" s="1"/>
  <c r="HX129" i="14" s="1"/>
  <c r="EU122" i="14"/>
  <c r="GW122" i="14"/>
  <c r="GZ122" i="14" s="1"/>
  <c r="HA122" i="14" s="1"/>
  <c r="HB122" i="14" s="1"/>
  <c r="HC122" i="14" s="1"/>
  <c r="EM123" i="14"/>
  <c r="EP123" i="14" s="1"/>
  <c r="EQ123" i="14" s="1"/>
  <c r="ER123" i="14" s="1"/>
  <c r="EX80" i="14"/>
  <c r="EY80" i="14" s="1"/>
  <c r="EZ80" i="14" s="1"/>
  <c r="FA80" i="14" s="1"/>
  <c r="FF80" i="14" s="1"/>
  <c r="FG80" i="14" s="1"/>
  <c r="FH80" i="14" s="1"/>
  <c r="FI80" i="14" s="1"/>
  <c r="FN80" i="14" s="1"/>
  <c r="HM160" i="14"/>
  <c r="EU160" i="14"/>
  <c r="HE160" i="14"/>
  <c r="HH125" i="14"/>
  <c r="HI125" i="14" s="1"/>
  <c r="HJ125" i="14" s="1"/>
  <c r="HK125" i="14" s="1"/>
  <c r="HP125" i="14" s="1"/>
  <c r="HQ125" i="14" s="1"/>
  <c r="HR125" i="14" s="1"/>
  <c r="HS125" i="14" s="1"/>
  <c r="HX125" i="14" s="1"/>
  <c r="ES81" i="14"/>
  <c r="EX81" i="14" s="1"/>
  <c r="EY81" i="14" s="1"/>
  <c r="EZ81" i="14" s="1"/>
  <c r="FA81" i="14" s="1"/>
  <c r="FF81" i="14" s="1"/>
  <c r="FG81" i="14" s="1"/>
  <c r="FH81" i="14" s="1"/>
  <c r="FI81" i="14" s="1"/>
  <c r="FN81" i="14" s="1"/>
  <c r="HE123" i="14"/>
  <c r="HH81" i="14"/>
  <c r="HI81" i="14" s="1"/>
  <c r="HJ81" i="14" s="1"/>
  <c r="HK81" i="14" s="1"/>
  <c r="HP81" i="14" s="1"/>
  <c r="HQ81" i="14" s="1"/>
  <c r="HR81" i="14" s="1"/>
  <c r="HS81" i="14" s="1"/>
  <c r="HX81" i="14" s="1"/>
  <c r="ES125" i="14"/>
  <c r="EX125" i="14" s="1"/>
  <c r="EY125" i="14" s="1"/>
  <c r="EZ125" i="14" s="1"/>
  <c r="FA125" i="14" s="1"/>
  <c r="FF125" i="14" s="1"/>
  <c r="FG125" i="14" s="1"/>
  <c r="FH125" i="14" s="1"/>
  <c r="FI125" i="14" s="1"/>
  <c r="FN125" i="14" s="1"/>
  <c r="HM123" i="14"/>
  <c r="GW123" i="14"/>
  <c r="GZ123" i="14" s="1"/>
  <c r="HA123" i="14" s="1"/>
  <c r="HB123" i="14" s="1"/>
  <c r="HC123" i="14" s="1"/>
  <c r="CX86" i="38"/>
  <c r="EX86" i="14"/>
  <c r="EY86" i="14" s="1"/>
  <c r="EZ86" i="14" s="1"/>
  <c r="FA86" i="14" s="1"/>
  <c r="FF86" i="14" s="1"/>
  <c r="FG86" i="14" s="1"/>
  <c r="FH86" i="14" s="1"/>
  <c r="FI86" i="14" s="1"/>
  <c r="FN86" i="14" s="1"/>
  <c r="CA44" i="38"/>
  <c r="CB44" i="38" s="1"/>
  <c r="CC44" i="38" s="1"/>
  <c r="HP127" i="14"/>
  <c r="HQ127" i="14" s="1"/>
  <c r="HR127" i="14" s="1"/>
  <c r="HS127" i="14" s="1"/>
  <c r="HX127" i="14" s="1"/>
  <c r="ES89" i="14"/>
  <c r="EX89" i="14" s="1"/>
  <c r="EY89" i="14" s="1"/>
  <c r="EZ89" i="14" s="1"/>
  <c r="FA89" i="14" s="1"/>
  <c r="FF89" i="14" s="1"/>
  <c r="FG89" i="14" s="1"/>
  <c r="FH89" i="14" s="1"/>
  <c r="FI89" i="14" s="1"/>
  <c r="FN89" i="14" s="1"/>
  <c r="EJ123" i="14"/>
  <c r="EU123" i="14"/>
  <c r="HH86" i="14"/>
  <c r="HI86" i="14" s="1"/>
  <c r="HJ86" i="14" s="1"/>
  <c r="HK86" i="14" s="1"/>
  <c r="HP86" i="14" s="1"/>
  <c r="HQ86" i="14" s="1"/>
  <c r="HR86" i="14" s="1"/>
  <c r="HS86" i="14" s="1"/>
  <c r="HX86" i="14" s="1"/>
  <c r="ES129" i="14"/>
  <c r="EX129" i="14" s="1"/>
  <c r="EY129" i="14" s="1"/>
  <c r="EZ129" i="14" s="1"/>
  <c r="FA129" i="14" s="1"/>
  <c r="FF129" i="14" s="1"/>
  <c r="FG129" i="14" s="1"/>
  <c r="FH129" i="14" s="1"/>
  <c r="FI129" i="14" s="1"/>
  <c r="FN129" i="14" s="1"/>
  <c r="ES85" i="14"/>
  <c r="EX85" i="14" s="1"/>
  <c r="EY85" i="14" s="1"/>
  <c r="EZ85" i="14" s="1"/>
  <c r="FA85" i="14" s="1"/>
  <c r="FF85" i="14" s="1"/>
  <c r="FG85" i="14" s="1"/>
  <c r="FH85" i="14" s="1"/>
  <c r="FI85" i="14" s="1"/>
  <c r="FN85" i="14" s="1"/>
  <c r="HH85" i="14"/>
  <c r="HI85" i="14" s="1"/>
  <c r="HJ85" i="14" s="1"/>
  <c r="HK85" i="14" s="1"/>
  <c r="HP85" i="14" s="1"/>
  <c r="HQ85" i="14" s="1"/>
  <c r="HR85" i="14" s="1"/>
  <c r="HS85" i="14" s="1"/>
  <c r="HM126" i="14"/>
  <c r="EJ126" i="14"/>
  <c r="FC126" i="14"/>
  <c r="EU126" i="14"/>
  <c r="HE126" i="14"/>
  <c r="GW126" i="14"/>
  <c r="GZ126" i="14" s="1"/>
  <c r="HA126" i="14" s="1"/>
  <c r="HB126" i="14" s="1"/>
  <c r="HC126" i="14" s="1"/>
  <c r="EM126" i="14"/>
  <c r="EP126" i="14" s="1"/>
  <c r="EQ126" i="14" s="1"/>
  <c r="ER126" i="14" s="1"/>
  <c r="ES121" i="14"/>
  <c r="EX121" i="14" s="1"/>
  <c r="EY121" i="14" s="1"/>
  <c r="EZ121" i="14" s="1"/>
  <c r="FA121" i="14" s="1"/>
  <c r="FF121" i="14" s="1"/>
  <c r="FG121" i="14" s="1"/>
  <c r="FH121" i="14" s="1"/>
  <c r="FI121" i="14" s="1"/>
  <c r="FO121" i="14" s="1"/>
  <c r="HH83" i="14"/>
  <c r="HI83" i="14" s="1"/>
  <c r="HJ83" i="14" s="1"/>
  <c r="HK83" i="14" s="1"/>
  <c r="HP83" i="14" s="1"/>
  <c r="HQ83" i="14" s="1"/>
  <c r="HR83" i="14" s="1"/>
  <c r="HS83" i="14" s="1"/>
  <c r="HX83" i="14" s="1"/>
  <c r="ES83" i="14"/>
  <c r="EX83" i="14" s="1"/>
  <c r="EY83" i="14" s="1"/>
  <c r="EZ83" i="14" s="1"/>
  <c r="FA83" i="14" s="1"/>
  <c r="FF83" i="14" s="1"/>
  <c r="FG83" i="14" s="1"/>
  <c r="FH83" i="14" s="1"/>
  <c r="FI83" i="14" s="1"/>
  <c r="FN83" i="14" s="1"/>
  <c r="ES87" i="14"/>
  <c r="EX87" i="14" s="1"/>
  <c r="EY87" i="14" s="1"/>
  <c r="EZ87" i="14" s="1"/>
  <c r="FA87" i="14" s="1"/>
  <c r="FF87" i="14" s="1"/>
  <c r="FG87" i="14" s="1"/>
  <c r="FH87" i="14" s="1"/>
  <c r="FI87" i="14" s="1"/>
  <c r="FN87" i="14" s="1"/>
  <c r="HH87" i="14"/>
  <c r="HI87" i="14" s="1"/>
  <c r="HJ87" i="14" s="1"/>
  <c r="HK87" i="14" s="1"/>
  <c r="HP87" i="14" s="1"/>
  <c r="HQ87" i="14" s="1"/>
  <c r="HR87" i="14" s="1"/>
  <c r="HS87" i="14" s="1"/>
  <c r="HX87" i="14" s="1"/>
  <c r="FL66" i="14"/>
  <c r="FO66" i="14"/>
  <c r="FN110" i="14"/>
  <c r="FO110" i="14"/>
  <c r="FN119" i="14"/>
  <c r="FO119" i="14"/>
  <c r="HX110" i="14"/>
  <c r="HY110" i="14"/>
  <c r="GA92" i="14"/>
  <c r="GA91" i="14"/>
  <c r="GA94" i="14"/>
  <c r="GA96" i="14"/>
  <c r="GA70" i="14"/>
  <c r="FN111" i="14"/>
  <c r="FO111" i="14"/>
  <c r="GA82" i="14"/>
  <c r="GA101" i="14"/>
  <c r="GA81" i="14"/>
  <c r="GA76" i="14"/>
  <c r="HV62" i="14"/>
  <c r="HY62" i="14"/>
  <c r="FN113" i="14"/>
  <c r="FO113" i="14"/>
  <c r="FN116" i="14"/>
  <c r="FO116" i="14"/>
  <c r="FN115" i="14"/>
  <c r="FO115" i="14"/>
  <c r="GA100" i="14"/>
  <c r="GA75" i="14"/>
  <c r="GA88" i="14"/>
  <c r="GA97" i="14"/>
  <c r="FL68" i="14"/>
  <c r="FO68" i="14"/>
  <c r="HV67" i="14"/>
  <c r="HY67" i="14"/>
  <c r="FL62" i="14"/>
  <c r="FO62" i="14"/>
  <c r="FN118" i="14"/>
  <c r="FO118" i="14"/>
  <c r="FN112" i="14"/>
  <c r="FO112" i="14"/>
  <c r="HV61" i="14"/>
  <c r="HY61" i="14"/>
  <c r="GA95" i="14"/>
  <c r="GA80" i="14"/>
  <c r="GA73" i="14"/>
  <c r="GA93" i="14"/>
  <c r="GA85" i="14"/>
  <c r="HV64" i="14"/>
  <c r="HY64" i="14"/>
  <c r="HV69" i="14"/>
  <c r="HY69" i="14"/>
  <c r="FL60" i="14"/>
  <c r="FO60" i="14"/>
  <c r="HV60" i="14"/>
  <c r="HY60" i="14"/>
  <c r="HX111" i="14"/>
  <c r="HY111" i="14"/>
  <c r="HX118" i="14"/>
  <c r="HY118" i="14"/>
  <c r="FL61" i="14"/>
  <c r="FO61" i="14"/>
  <c r="GA78" i="14"/>
  <c r="GA87" i="14"/>
  <c r="GA104" i="14"/>
  <c r="GA77" i="14"/>
  <c r="FL65" i="14"/>
  <c r="FO65" i="14"/>
  <c r="FL69" i="14"/>
  <c r="FO69" i="14"/>
  <c r="HV66" i="14"/>
  <c r="HY66" i="14"/>
  <c r="HV68" i="14"/>
  <c r="HY68" i="14"/>
  <c r="HX116" i="14"/>
  <c r="HY116" i="14"/>
  <c r="HX112" i="14"/>
  <c r="HY112" i="14"/>
  <c r="GA69" i="14"/>
  <c r="GA62" i="14"/>
  <c r="GA67" i="14"/>
  <c r="GA60" i="14"/>
  <c r="GA64" i="14"/>
  <c r="GA63" i="14"/>
  <c r="GA66" i="14"/>
  <c r="GA65" i="14"/>
  <c r="GA68" i="14"/>
  <c r="GA90" i="14"/>
  <c r="GA102" i="14"/>
  <c r="GA74" i="14"/>
  <c r="GA99" i="14"/>
  <c r="GA71" i="14"/>
  <c r="FL67" i="14"/>
  <c r="FO67" i="14"/>
  <c r="FL63" i="14"/>
  <c r="FO63" i="14"/>
  <c r="HX114" i="14"/>
  <c r="HY114" i="14"/>
  <c r="FN114" i="14"/>
  <c r="FO114" i="14"/>
  <c r="HX113" i="14"/>
  <c r="HY113" i="14"/>
  <c r="HX119" i="14"/>
  <c r="HY119" i="14"/>
  <c r="GA79" i="14"/>
  <c r="GA72" i="14"/>
  <c r="GA89" i="14"/>
  <c r="FL64" i="14"/>
  <c r="FO64" i="14"/>
  <c r="HV65" i="14"/>
  <c r="HY65" i="14"/>
  <c r="HV63" i="14"/>
  <c r="HY63" i="14"/>
  <c r="HX115" i="14"/>
  <c r="HY115" i="14"/>
  <c r="HX117" i="14"/>
  <c r="HY117" i="14"/>
  <c r="GA84" i="14"/>
  <c r="GA61" i="14"/>
  <c r="GA83" i="14"/>
  <c r="GA103" i="14"/>
  <c r="GA86" i="14"/>
  <c r="ES147" i="14"/>
  <c r="EX147" i="14" s="1"/>
  <c r="EY147" i="14" s="1"/>
  <c r="EZ147" i="14" s="1"/>
  <c r="FA147" i="14" s="1"/>
  <c r="FF147" i="14" s="1"/>
  <c r="FG147" i="14" s="1"/>
  <c r="FH147" i="14" s="1"/>
  <c r="FI147" i="14" s="1"/>
  <c r="FN147" i="14" s="1"/>
  <c r="FN117" i="14"/>
  <c r="HH147" i="14"/>
  <c r="HI147" i="14" s="1"/>
  <c r="HJ147" i="14" s="1"/>
  <c r="HK147" i="14" s="1"/>
  <c r="HP147" i="14" s="1"/>
  <c r="HQ147" i="14" s="1"/>
  <c r="HR147" i="14" s="1"/>
  <c r="HS147" i="14" s="1"/>
  <c r="HX147" i="14" s="1"/>
  <c r="HH143" i="14"/>
  <c r="HI143" i="14" s="1"/>
  <c r="HJ143" i="14" s="1"/>
  <c r="HK143" i="14" s="1"/>
  <c r="HP143" i="14" s="1"/>
  <c r="HQ143" i="14" s="1"/>
  <c r="HR143" i="14" s="1"/>
  <c r="HS143" i="14" s="1"/>
  <c r="HH148" i="14"/>
  <c r="HI148" i="14" s="1"/>
  <c r="HJ148" i="14" s="1"/>
  <c r="HK148" i="14" s="1"/>
  <c r="HP148" i="14" s="1"/>
  <c r="HQ148" i="14" s="1"/>
  <c r="HR148" i="14" s="1"/>
  <c r="HS148" i="14" s="1"/>
  <c r="HX148" i="14" s="1"/>
  <c r="ES143" i="14"/>
  <c r="EX143" i="14" s="1"/>
  <c r="EY143" i="14" s="1"/>
  <c r="EZ143" i="14" s="1"/>
  <c r="FA143" i="14" s="1"/>
  <c r="FF143" i="14" s="1"/>
  <c r="FG143" i="14" s="1"/>
  <c r="FH143" i="14" s="1"/>
  <c r="FI143" i="14" s="1"/>
  <c r="ES148" i="14"/>
  <c r="EX148" i="14" s="1"/>
  <c r="EY148" i="14" s="1"/>
  <c r="EZ148" i="14" s="1"/>
  <c r="FA148" i="14" s="1"/>
  <c r="FF148" i="14" s="1"/>
  <c r="FG148" i="14" s="1"/>
  <c r="FH148" i="14" s="1"/>
  <c r="FI148" i="14" s="1"/>
  <c r="FN148" i="14" s="1"/>
  <c r="HH140" i="14"/>
  <c r="HI140" i="14" s="1"/>
  <c r="HJ140" i="14" s="1"/>
  <c r="HK140" i="14" s="1"/>
  <c r="HP140" i="14" s="1"/>
  <c r="HQ140" i="14" s="1"/>
  <c r="HR140" i="14" s="1"/>
  <c r="HS140" i="14" s="1"/>
  <c r="HH142" i="14"/>
  <c r="HI142" i="14" s="1"/>
  <c r="HJ142" i="14" s="1"/>
  <c r="HK142" i="14" s="1"/>
  <c r="HP142" i="14" s="1"/>
  <c r="HQ142" i="14" s="1"/>
  <c r="HR142" i="14" s="1"/>
  <c r="HS142" i="14" s="1"/>
  <c r="HX142" i="14" s="1"/>
  <c r="ES140" i="14"/>
  <c r="EX140" i="14" s="1"/>
  <c r="EY140" i="14" s="1"/>
  <c r="EZ140" i="14" s="1"/>
  <c r="FA140" i="14" s="1"/>
  <c r="FF140" i="14" s="1"/>
  <c r="FG140" i="14" s="1"/>
  <c r="FH140" i="14" s="1"/>
  <c r="FI140" i="14" s="1"/>
  <c r="ES142" i="14"/>
  <c r="EX142" i="14" s="1"/>
  <c r="EY142" i="14" s="1"/>
  <c r="EZ142" i="14" s="1"/>
  <c r="FA142" i="14" s="1"/>
  <c r="FF142" i="14" s="1"/>
  <c r="FG142" i="14" s="1"/>
  <c r="FH142" i="14" s="1"/>
  <c r="FI142" i="14" s="1"/>
  <c r="HH158" i="14"/>
  <c r="HI158" i="14" s="1"/>
  <c r="HJ158" i="14" s="1"/>
  <c r="HK158" i="14" s="1"/>
  <c r="HP158" i="14" s="1"/>
  <c r="HQ158" i="14" s="1"/>
  <c r="HR158" i="14" s="1"/>
  <c r="HS158" i="14" s="1"/>
  <c r="ES158" i="14"/>
  <c r="EX158" i="14" s="1"/>
  <c r="EY158" i="14" s="1"/>
  <c r="EZ158" i="14" s="1"/>
  <c r="FA158" i="14" s="1"/>
  <c r="FF158" i="14" s="1"/>
  <c r="FG158" i="14" s="1"/>
  <c r="FH158" i="14" s="1"/>
  <c r="FI158" i="14" s="1"/>
  <c r="HH154" i="14"/>
  <c r="HI154" i="14" s="1"/>
  <c r="HJ154" i="14" s="1"/>
  <c r="HK154" i="14" s="1"/>
  <c r="HP154" i="14" s="1"/>
  <c r="HQ154" i="14" s="1"/>
  <c r="HR154" i="14" s="1"/>
  <c r="HS154" i="14" s="1"/>
  <c r="HH157" i="14"/>
  <c r="HI157" i="14" s="1"/>
  <c r="HJ157" i="14" s="1"/>
  <c r="HK157" i="14" s="1"/>
  <c r="HP157" i="14" s="1"/>
  <c r="HQ157" i="14" s="1"/>
  <c r="HR157" i="14" s="1"/>
  <c r="HS157" i="14" s="1"/>
  <c r="ES159" i="14"/>
  <c r="EX159" i="14" s="1"/>
  <c r="EY159" i="14" s="1"/>
  <c r="EZ159" i="14" s="1"/>
  <c r="FA159" i="14" s="1"/>
  <c r="FF159" i="14" s="1"/>
  <c r="FG159" i="14" s="1"/>
  <c r="FH159" i="14" s="1"/>
  <c r="FI159" i="14" s="1"/>
  <c r="HH159" i="14"/>
  <c r="HI159" i="14" s="1"/>
  <c r="HJ159" i="14" s="1"/>
  <c r="HK159" i="14" s="1"/>
  <c r="HP159" i="14" s="1"/>
  <c r="HQ159" i="14" s="1"/>
  <c r="HR159" i="14" s="1"/>
  <c r="HS159" i="14" s="1"/>
  <c r="ES157" i="14"/>
  <c r="EX157" i="14" s="1"/>
  <c r="EY157" i="14" s="1"/>
  <c r="EZ157" i="14" s="1"/>
  <c r="FA157" i="14" s="1"/>
  <c r="FF157" i="14" s="1"/>
  <c r="FG157" i="14" s="1"/>
  <c r="FH157" i="14" s="1"/>
  <c r="FI157" i="14" s="1"/>
  <c r="ES154" i="14"/>
  <c r="EX154" i="14" s="1"/>
  <c r="EY154" i="14" s="1"/>
  <c r="EZ154" i="14" s="1"/>
  <c r="FA154" i="14" s="1"/>
  <c r="FF154" i="14" s="1"/>
  <c r="FG154" i="14" s="1"/>
  <c r="FH154" i="14" s="1"/>
  <c r="FI154" i="14" s="1"/>
  <c r="GL79" i="14" l="1"/>
  <c r="GL76" i="14"/>
  <c r="GL73" i="14"/>
  <c r="AL59" i="15" s="1"/>
  <c r="GH124" i="14"/>
  <c r="GH130" i="14"/>
  <c r="GH125" i="14"/>
  <c r="GL75" i="14"/>
  <c r="GL74" i="14"/>
  <c r="AL60" i="15" s="1"/>
  <c r="GL71" i="14"/>
  <c r="AL57" i="15" s="1"/>
  <c r="HH146" i="14"/>
  <c r="HI146" i="14" s="1"/>
  <c r="HJ146" i="14" s="1"/>
  <c r="HK146" i="14" s="1"/>
  <c r="HP146" i="14" s="1"/>
  <c r="HQ146" i="14" s="1"/>
  <c r="HR146" i="14" s="1"/>
  <c r="HS146" i="14" s="1"/>
  <c r="GK64" i="14"/>
  <c r="AK50" i="15" s="1"/>
  <c r="GK74" i="14"/>
  <c r="GL72" i="14"/>
  <c r="GK63" i="14"/>
  <c r="AK49" i="15" s="1"/>
  <c r="GK76" i="14"/>
  <c r="AD60" i="38" s="1"/>
  <c r="ES149" i="14"/>
  <c r="EX149" i="14" s="1"/>
  <c r="EY149" i="14" s="1"/>
  <c r="EZ149" i="14" s="1"/>
  <c r="FA149" i="14" s="1"/>
  <c r="FF149" i="14" s="1"/>
  <c r="FG149" i="14" s="1"/>
  <c r="FH149" i="14" s="1"/>
  <c r="FI149" i="14" s="1"/>
  <c r="FN149" i="14" s="1"/>
  <c r="GH111" i="14"/>
  <c r="GH133" i="14"/>
  <c r="GH106" i="14"/>
  <c r="GH129" i="14"/>
  <c r="GH115" i="14"/>
  <c r="GH105" i="14"/>
  <c r="GH104" i="14"/>
  <c r="GH132" i="14"/>
  <c r="GH121" i="14"/>
  <c r="GH127" i="14"/>
  <c r="GH134" i="14"/>
  <c r="GH118" i="14"/>
  <c r="GH112" i="14"/>
  <c r="GH113" i="14"/>
  <c r="GH123" i="14"/>
  <c r="GH131" i="14"/>
  <c r="GH117" i="14"/>
  <c r="GH114" i="14"/>
  <c r="GH122" i="14"/>
  <c r="GH119" i="14"/>
  <c r="GH109" i="14"/>
  <c r="GL109" i="14" s="1"/>
  <c r="AL95" i="15" s="1"/>
  <c r="GH116" i="14"/>
  <c r="GH128" i="14"/>
  <c r="GH120" i="14"/>
  <c r="GH108" i="14"/>
  <c r="GA126" i="14"/>
  <c r="GA107" i="14"/>
  <c r="GH126" i="14"/>
  <c r="GH101" i="14"/>
  <c r="GH97" i="14"/>
  <c r="GH90" i="14"/>
  <c r="GL90" i="14" s="1"/>
  <c r="AL76" i="15" s="1"/>
  <c r="GH92" i="14"/>
  <c r="GA106" i="14"/>
  <c r="GA109" i="14"/>
  <c r="GH99" i="14"/>
  <c r="GH94" i="14"/>
  <c r="GH93" i="14"/>
  <c r="GA133" i="14"/>
  <c r="GH103" i="14"/>
  <c r="GL103" i="14" s="1"/>
  <c r="AL89" i="15" s="1"/>
  <c r="GH95" i="14"/>
  <c r="GH91" i="14"/>
  <c r="GL91" i="14" s="1"/>
  <c r="GA129" i="14"/>
  <c r="GH96" i="14"/>
  <c r="GA110" i="14"/>
  <c r="HH155" i="14"/>
  <c r="HI155" i="14" s="1"/>
  <c r="HJ155" i="14" s="1"/>
  <c r="HK155" i="14" s="1"/>
  <c r="HP155" i="14" s="1"/>
  <c r="HQ155" i="14" s="1"/>
  <c r="HR155" i="14" s="1"/>
  <c r="HS155" i="14" s="1"/>
  <c r="HY155" i="14" s="1"/>
  <c r="GA138" i="14"/>
  <c r="GA108" i="14"/>
  <c r="GI92" i="14"/>
  <c r="GK62" i="14"/>
  <c r="AK48" i="15" s="1"/>
  <c r="GI102" i="14"/>
  <c r="GI97" i="14"/>
  <c r="GI99" i="14"/>
  <c r="GI95" i="14"/>
  <c r="GI104" i="14"/>
  <c r="GI98" i="14"/>
  <c r="GI101" i="14"/>
  <c r="GK65" i="14"/>
  <c r="AK51" i="15" s="1"/>
  <c r="GI107" i="14"/>
  <c r="GL107" i="14" s="1"/>
  <c r="GI96" i="14"/>
  <c r="GK66" i="14"/>
  <c r="AK52" i="15" s="1"/>
  <c r="GA98" i="14"/>
  <c r="GI100" i="14"/>
  <c r="GI108" i="14"/>
  <c r="GI106" i="14"/>
  <c r="GI94" i="14"/>
  <c r="GK61" i="14"/>
  <c r="AK47" i="15" s="1"/>
  <c r="FO127" i="14"/>
  <c r="GI93" i="14"/>
  <c r="GI105" i="14"/>
  <c r="GA123" i="14"/>
  <c r="GA137" i="14"/>
  <c r="GA127" i="14"/>
  <c r="GA121" i="14"/>
  <c r="GA139" i="14"/>
  <c r="GA113" i="14"/>
  <c r="GA111" i="14"/>
  <c r="GA112" i="14"/>
  <c r="GA132" i="14"/>
  <c r="GA120" i="14"/>
  <c r="GA124" i="14"/>
  <c r="GA118" i="14"/>
  <c r="GA114" i="14"/>
  <c r="GA136" i="14"/>
  <c r="GA135" i="14"/>
  <c r="GA117" i="14"/>
  <c r="GA125" i="14"/>
  <c r="GA116" i="14"/>
  <c r="GA130" i="14"/>
  <c r="GA128" i="14"/>
  <c r="GA119" i="14"/>
  <c r="GA122" i="14"/>
  <c r="GA134" i="14"/>
  <c r="GH86" i="14"/>
  <c r="GL86" i="14" s="1"/>
  <c r="GA131" i="14"/>
  <c r="GA115" i="14"/>
  <c r="GL82" i="14"/>
  <c r="AE66" i="38" s="1"/>
  <c r="GH81" i="14"/>
  <c r="GL81" i="14" s="1"/>
  <c r="AL67" i="15" s="1"/>
  <c r="ES155" i="14"/>
  <c r="EX155" i="14" s="1"/>
  <c r="EY155" i="14" s="1"/>
  <c r="EZ155" i="14" s="1"/>
  <c r="FA155" i="14" s="1"/>
  <c r="FF155" i="14" s="1"/>
  <c r="FG155" i="14" s="1"/>
  <c r="FH155" i="14" s="1"/>
  <c r="FI155" i="14" s="1"/>
  <c r="FO155" i="14" s="1"/>
  <c r="GH89" i="14"/>
  <c r="GL89" i="14" s="1"/>
  <c r="GH88" i="14"/>
  <c r="GL88" i="14" s="1"/>
  <c r="AL74" i="15" s="1"/>
  <c r="GH84" i="14"/>
  <c r="GL84" i="14" s="1"/>
  <c r="GH80" i="14"/>
  <c r="GL80" i="14" s="1"/>
  <c r="AE64" i="38" s="1"/>
  <c r="HP149" i="14"/>
  <c r="HQ149" i="14" s="1"/>
  <c r="HR149" i="14" s="1"/>
  <c r="HS149" i="14" s="1"/>
  <c r="HX149" i="14" s="1"/>
  <c r="GK79" i="14"/>
  <c r="AK65" i="15" s="1"/>
  <c r="FZ84" i="14"/>
  <c r="GK84" i="14" s="1"/>
  <c r="FZ88" i="14"/>
  <c r="GK88" i="14" s="1"/>
  <c r="FZ80" i="14"/>
  <c r="GK80" i="14" s="1"/>
  <c r="AK66" i="15" s="1"/>
  <c r="FZ85" i="14"/>
  <c r="GK85" i="14" s="1"/>
  <c r="FZ87" i="14"/>
  <c r="GK87" i="14" s="1"/>
  <c r="FZ83" i="14"/>
  <c r="GK83" i="14" s="1"/>
  <c r="AK69" i="15" s="1"/>
  <c r="FZ82" i="14"/>
  <c r="GK82" i="14" s="1"/>
  <c r="AK68" i="15" s="1"/>
  <c r="FZ81" i="14"/>
  <c r="GK81" i="14" s="1"/>
  <c r="FZ86" i="14"/>
  <c r="GK86" i="14" s="1"/>
  <c r="AK72" i="15" s="1"/>
  <c r="FZ89" i="14"/>
  <c r="GK89" i="14" s="1"/>
  <c r="AK75" i="15" s="1"/>
  <c r="GK78" i="14"/>
  <c r="AK64" i="15" s="1"/>
  <c r="HV85" i="14"/>
  <c r="HX85" i="14"/>
  <c r="GH110" i="14"/>
  <c r="GH83" i="14"/>
  <c r="GL83" i="14" s="1"/>
  <c r="GH85" i="14"/>
  <c r="GL85" i="14" s="1"/>
  <c r="AL71" i="15" s="1"/>
  <c r="GH87" i="14"/>
  <c r="GL87" i="14" s="1"/>
  <c r="FZ99" i="14"/>
  <c r="GK99" i="14" s="1"/>
  <c r="FZ95" i="14"/>
  <c r="GK95" i="14" s="1"/>
  <c r="FZ96" i="14"/>
  <c r="GK96" i="14" s="1"/>
  <c r="AK82" i="15" s="1"/>
  <c r="FZ91" i="14"/>
  <c r="GK91" i="14" s="1"/>
  <c r="FZ97" i="14"/>
  <c r="GK97" i="14" s="1"/>
  <c r="FZ92" i="14"/>
  <c r="GK92" i="14" s="1"/>
  <c r="FZ98" i="14"/>
  <c r="FZ93" i="14"/>
  <c r="GK93" i="14" s="1"/>
  <c r="FZ90" i="14"/>
  <c r="GK90" i="14" s="1"/>
  <c r="FZ94" i="14"/>
  <c r="GK94" i="14" s="1"/>
  <c r="FZ141" i="14"/>
  <c r="FZ104" i="14"/>
  <c r="GK104" i="14" s="1"/>
  <c r="FZ103" i="14"/>
  <c r="GK103" i="14" s="1"/>
  <c r="FZ102" i="14"/>
  <c r="GK102" i="14" s="1"/>
  <c r="FZ105" i="14"/>
  <c r="GK105" i="14" s="1"/>
  <c r="FZ109" i="14"/>
  <c r="FZ108" i="14"/>
  <c r="FZ100" i="14"/>
  <c r="GK100" i="14" s="1"/>
  <c r="FZ107" i="14"/>
  <c r="FZ101" i="14"/>
  <c r="GK101" i="14" s="1"/>
  <c r="FZ106" i="14"/>
  <c r="GA144" i="14"/>
  <c r="GK144" i="14" s="1"/>
  <c r="AK130" i="15" s="1"/>
  <c r="GA140" i="14"/>
  <c r="GA143" i="14"/>
  <c r="GK143" i="14" s="1"/>
  <c r="AK129" i="15" s="1"/>
  <c r="GA158" i="14"/>
  <c r="GK158" i="14" s="1"/>
  <c r="AK144" i="15" s="1"/>
  <c r="GK60" i="14"/>
  <c r="AK46" i="15" s="1"/>
  <c r="GA146" i="14"/>
  <c r="GK146" i="14" s="1"/>
  <c r="GA159" i="14"/>
  <c r="GK159" i="14" s="1"/>
  <c r="AK145" i="15" s="1"/>
  <c r="GA156" i="14"/>
  <c r="GK156" i="14" s="1"/>
  <c r="AK142" i="15" s="1"/>
  <c r="GA149" i="14"/>
  <c r="GA160" i="14"/>
  <c r="GK160" i="14" s="1"/>
  <c r="AD144" i="38" s="1"/>
  <c r="GA153" i="14"/>
  <c r="GK153" i="14" s="1"/>
  <c r="AK139" i="15" s="1"/>
  <c r="GA151" i="14"/>
  <c r="GK151" i="14" s="1"/>
  <c r="AK137" i="15" s="1"/>
  <c r="GA145" i="14"/>
  <c r="GA155" i="14"/>
  <c r="GK155" i="14" s="1"/>
  <c r="GA150" i="14"/>
  <c r="GK150" i="14" s="1"/>
  <c r="AD134" i="38" s="1"/>
  <c r="GK71" i="14"/>
  <c r="AK57" i="15" s="1"/>
  <c r="GA147" i="14"/>
  <c r="GA142" i="14"/>
  <c r="GA157" i="14"/>
  <c r="GK157" i="14" s="1"/>
  <c r="AD141" i="38" s="1"/>
  <c r="GA154" i="14"/>
  <c r="GK154" i="14" s="1"/>
  <c r="AD138" i="38" s="1"/>
  <c r="GA152" i="14"/>
  <c r="GK152" i="14" s="1"/>
  <c r="AD136" i="38" s="1"/>
  <c r="GA141" i="14"/>
  <c r="GA148" i="14"/>
  <c r="FO143" i="14"/>
  <c r="FN143" i="14"/>
  <c r="FZ140" i="14"/>
  <c r="FZ138" i="14"/>
  <c r="FZ126" i="14"/>
  <c r="GK126" i="14" s="1"/>
  <c r="AK112" i="15" s="1"/>
  <c r="FZ111" i="14"/>
  <c r="FZ130" i="14"/>
  <c r="FZ137" i="14"/>
  <c r="FZ114" i="14"/>
  <c r="FZ121" i="14"/>
  <c r="FZ120" i="14"/>
  <c r="FZ149" i="14"/>
  <c r="FZ113" i="14"/>
  <c r="FZ128" i="14"/>
  <c r="FZ135" i="14"/>
  <c r="FZ117" i="14"/>
  <c r="FZ132" i="14"/>
  <c r="FZ131" i="14"/>
  <c r="FZ119" i="14"/>
  <c r="FZ118" i="14"/>
  <c r="FZ139" i="14"/>
  <c r="GK139" i="14" s="1"/>
  <c r="FZ123" i="14"/>
  <c r="FZ133" i="14"/>
  <c r="FZ110" i="14"/>
  <c r="FZ116" i="14"/>
  <c r="FZ122" i="14"/>
  <c r="FZ115" i="14"/>
  <c r="FZ129" i="14"/>
  <c r="FZ136" i="14"/>
  <c r="FZ127" i="14"/>
  <c r="FZ124" i="14"/>
  <c r="FZ112" i="14"/>
  <c r="FZ125" i="14"/>
  <c r="FZ134" i="14"/>
  <c r="GH141" i="14"/>
  <c r="FO142" i="14"/>
  <c r="FN142" i="14"/>
  <c r="GK67" i="14"/>
  <c r="AK53" i="15" s="1"/>
  <c r="GK77" i="14"/>
  <c r="AK63" i="15" s="1"/>
  <c r="HY143" i="14"/>
  <c r="HX143" i="14"/>
  <c r="GK72" i="14"/>
  <c r="AK58" i="15" s="1"/>
  <c r="FZ148" i="14"/>
  <c r="GH144" i="14"/>
  <c r="FO140" i="14"/>
  <c r="FN140" i="14"/>
  <c r="GK70" i="14"/>
  <c r="AK56" i="15" s="1"/>
  <c r="GH149" i="14"/>
  <c r="FZ147" i="14"/>
  <c r="HY140" i="14"/>
  <c r="HX140" i="14"/>
  <c r="FZ145" i="14"/>
  <c r="GH146" i="14"/>
  <c r="GH147" i="14"/>
  <c r="FZ142" i="14"/>
  <c r="GH142" i="14"/>
  <c r="GH102" i="14"/>
  <c r="FO129" i="14"/>
  <c r="HH156" i="14"/>
  <c r="HI156" i="14" s="1"/>
  <c r="HJ156" i="14" s="1"/>
  <c r="HK156" i="14" s="1"/>
  <c r="HP156" i="14" s="1"/>
  <c r="HQ156" i="14" s="1"/>
  <c r="HR156" i="14" s="1"/>
  <c r="HS156" i="14" s="1"/>
  <c r="HY156" i="14" s="1"/>
  <c r="GH100" i="14"/>
  <c r="GK68" i="14"/>
  <c r="AK54" i="15" s="1"/>
  <c r="AE48" i="38"/>
  <c r="FO128" i="14"/>
  <c r="HY121" i="14"/>
  <c r="EX156" i="14"/>
  <c r="EY156" i="14" s="1"/>
  <c r="EZ156" i="14" s="1"/>
  <c r="FA156" i="14" s="1"/>
  <c r="FF156" i="14" s="1"/>
  <c r="FG156" i="14" s="1"/>
  <c r="FH156" i="14" s="1"/>
  <c r="FI156" i="14" s="1"/>
  <c r="FO156" i="14" s="1"/>
  <c r="GK69" i="14"/>
  <c r="AD53" i="38" s="1"/>
  <c r="ES153" i="14"/>
  <c r="EX153" i="14" s="1"/>
  <c r="EY153" i="14" s="1"/>
  <c r="EZ153" i="14" s="1"/>
  <c r="FA153" i="14" s="1"/>
  <c r="FF153" i="14" s="1"/>
  <c r="FG153" i="14" s="1"/>
  <c r="FH153" i="14" s="1"/>
  <c r="FI153" i="14" s="1"/>
  <c r="FO153" i="14" s="1"/>
  <c r="HY129" i="14"/>
  <c r="F21" i="16"/>
  <c r="U36" i="1" s="1"/>
  <c r="AE57" i="38"/>
  <c r="HY127" i="14"/>
  <c r="HY128" i="14"/>
  <c r="G22" i="16"/>
  <c r="V37" i="1" s="1"/>
  <c r="HY125" i="14"/>
  <c r="GK73" i="14"/>
  <c r="AK59" i="15" s="1"/>
  <c r="ES120" i="14"/>
  <c r="EX120" i="14" s="1"/>
  <c r="EY120" i="14" s="1"/>
  <c r="EZ120" i="14" s="1"/>
  <c r="FA120" i="14" s="1"/>
  <c r="FF120" i="14" s="1"/>
  <c r="FG120" i="14" s="1"/>
  <c r="FH120" i="14" s="1"/>
  <c r="FI120" i="14" s="1"/>
  <c r="GK75" i="14"/>
  <c r="AK61" i="15" s="1"/>
  <c r="GH135" i="14"/>
  <c r="GH137" i="14"/>
  <c r="GH98" i="14"/>
  <c r="GH138" i="14"/>
  <c r="GH136" i="14"/>
  <c r="GI120" i="14"/>
  <c r="GI121" i="14"/>
  <c r="GI113" i="14"/>
  <c r="GI110" i="14"/>
  <c r="GI114" i="14"/>
  <c r="GI111" i="14"/>
  <c r="GI119" i="14"/>
  <c r="GI118" i="14"/>
  <c r="GI115" i="14"/>
  <c r="GI112" i="14"/>
  <c r="GI117" i="14"/>
  <c r="GI116" i="14"/>
  <c r="FO125" i="14"/>
  <c r="GI129" i="14"/>
  <c r="GI130" i="14"/>
  <c r="GL130" i="14" s="1"/>
  <c r="GI150" i="14"/>
  <c r="GL150" i="14" s="1"/>
  <c r="GI148" i="14"/>
  <c r="GL148" i="14" s="1"/>
  <c r="GI140" i="14"/>
  <c r="GL140" i="14" s="1"/>
  <c r="GI138" i="14"/>
  <c r="GI124" i="14"/>
  <c r="GL124" i="14" s="1"/>
  <c r="GI152" i="14"/>
  <c r="GL152" i="14" s="1"/>
  <c r="GI151" i="14"/>
  <c r="GL151" i="14" s="1"/>
  <c r="GI144" i="14"/>
  <c r="GI155" i="14"/>
  <c r="GL155" i="14" s="1"/>
  <c r="GI127" i="14"/>
  <c r="GI131" i="14"/>
  <c r="GI133" i="14"/>
  <c r="GI158" i="14"/>
  <c r="GL158" i="14" s="1"/>
  <c r="GI157" i="14"/>
  <c r="GL157" i="14" s="1"/>
  <c r="GI156" i="14"/>
  <c r="GL156" i="14" s="1"/>
  <c r="GI128" i="14"/>
  <c r="GI132" i="14"/>
  <c r="GI147" i="14"/>
  <c r="GI136" i="14"/>
  <c r="GI137" i="14"/>
  <c r="GI143" i="14"/>
  <c r="GL143" i="14" s="1"/>
  <c r="GI153" i="14"/>
  <c r="GL153" i="14" s="1"/>
  <c r="GI146" i="14"/>
  <c r="GI145" i="14"/>
  <c r="GL145" i="14" s="1"/>
  <c r="GI141" i="14"/>
  <c r="GI160" i="14"/>
  <c r="GL160" i="14" s="1"/>
  <c r="GI126" i="14"/>
  <c r="GI123" i="14"/>
  <c r="GI125" i="14"/>
  <c r="GL125" i="14" s="1"/>
  <c r="GI159" i="14"/>
  <c r="GL159" i="14" s="1"/>
  <c r="GI149" i="14"/>
  <c r="GI122" i="14"/>
  <c r="GI134" i="14"/>
  <c r="GI154" i="14"/>
  <c r="GL154" i="14" s="1"/>
  <c r="GI139" i="14"/>
  <c r="GL139" i="14" s="1"/>
  <c r="GI142" i="14"/>
  <c r="GI135" i="14"/>
  <c r="AL54" i="15"/>
  <c r="AE52" i="38"/>
  <c r="AL65" i="15"/>
  <c r="AE63" i="38"/>
  <c r="AL51" i="15"/>
  <c r="AE49" i="38"/>
  <c r="AL52" i="15"/>
  <c r="AE50" i="38"/>
  <c r="AL63" i="15"/>
  <c r="AE61" i="38"/>
  <c r="AL56" i="15"/>
  <c r="AE54" i="38"/>
  <c r="AL47" i="15"/>
  <c r="AE45" i="38"/>
  <c r="AL53" i="15"/>
  <c r="AE51" i="38"/>
  <c r="AL46" i="15"/>
  <c r="AE44" i="38"/>
  <c r="AL62" i="15"/>
  <c r="AE60" i="38"/>
  <c r="AL49" i="15"/>
  <c r="AE47" i="38"/>
  <c r="AL64" i="15"/>
  <c r="AE62" i="38"/>
  <c r="AL48" i="15"/>
  <c r="AE46" i="38"/>
  <c r="AL61" i="15"/>
  <c r="AE59" i="38"/>
  <c r="AL55" i="15"/>
  <c r="AE53" i="38"/>
  <c r="AL58" i="15"/>
  <c r="AE56" i="38"/>
  <c r="FM88" i="14"/>
  <c r="FL88" i="14"/>
  <c r="HW87" i="14"/>
  <c r="HV87" i="14"/>
  <c r="FM89" i="14"/>
  <c r="FL89" i="14"/>
  <c r="HW89" i="14"/>
  <c r="HV89" i="14"/>
  <c r="FM87" i="14"/>
  <c r="FL87" i="14"/>
  <c r="FM86" i="14"/>
  <c r="FL86" i="14"/>
  <c r="HW88" i="14"/>
  <c r="HV88" i="14"/>
  <c r="FM85" i="14"/>
  <c r="FL85" i="14"/>
  <c r="HW86" i="14"/>
  <c r="HV86" i="14"/>
  <c r="G21" i="16"/>
  <c r="F22" i="16"/>
  <c r="U37" i="46" s="1"/>
  <c r="FL81" i="14"/>
  <c r="FM81" i="14"/>
  <c r="HV80" i="14"/>
  <c r="HW80" i="14"/>
  <c r="FL80" i="14"/>
  <c r="FM80" i="14"/>
  <c r="FL83" i="14"/>
  <c r="FM83" i="14"/>
  <c r="HV83" i="14"/>
  <c r="HW83" i="14"/>
  <c r="HV81" i="14"/>
  <c r="HW81" i="14"/>
  <c r="ES160" i="14"/>
  <c r="EX160" i="14" s="1"/>
  <c r="EY160" i="14" s="1"/>
  <c r="EZ160" i="14" s="1"/>
  <c r="FA160" i="14" s="1"/>
  <c r="FF160" i="14" s="1"/>
  <c r="FG160" i="14" s="1"/>
  <c r="FH160" i="14" s="1"/>
  <c r="FI160" i="14" s="1"/>
  <c r="FO160" i="14" s="1"/>
  <c r="ES146" i="14"/>
  <c r="EX146" i="14" s="1"/>
  <c r="EY146" i="14" s="1"/>
  <c r="EZ146" i="14" s="1"/>
  <c r="FA146" i="14" s="1"/>
  <c r="FF146" i="14" s="1"/>
  <c r="FG146" i="14" s="1"/>
  <c r="FH146" i="14" s="1"/>
  <c r="FI146" i="14" s="1"/>
  <c r="FN146" i="14" s="1"/>
  <c r="ES145" i="14"/>
  <c r="EX145" i="14" s="1"/>
  <c r="EY145" i="14" s="1"/>
  <c r="EZ145" i="14" s="1"/>
  <c r="FA145" i="14" s="1"/>
  <c r="FF145" i="14" s="1"/>
  <c r="FG145" i="14" s="1"/>
  <c r="FH145" i="14" s="1"/>
  <c r="FI145" i="14" s="1"/>
  <c r="HH153" i="14"/>
  <c r="HI153" i="14" s="1"/>
  <c r="HJ153" i="14" s="1"/>
  <c r="HK153" i="14" s="1"/>
  <c r="HP153" i="14" s="1"/>
  <c r="HQ153" i="14" s="1"/>
  <c r="HR153" i="14" s="1"/>
  <c r="HS153" i="14" s="1"/>
  <c r="HY153" i="14" s="1"/>
  <c r="HH145" i="14"/>
  <c r="HI145" i="14" s="1"/>
  <c r="HJ145" i="14" s="1"/>
  <c r="HK145" i="14" s="1"/>
  <c r="HP145" i="14" s="1"/>
  <c r="HQ145" i="14" s="1"/>
  <c r="HR145" i="14" s="1"/>
  <c r="HS145" i="14" s="1"/>
  <c r="CW88" i="38"/>
  <c r="Z89" i="40"/>
  <c r="CW91" i="38"/>
  <c r="Z92" i="40"/>
  <c r="CW142" i="38"/>
  <c r="Z143" i="40"/>
  <c r="CW115" i="38"/>
  <c r="Z116" i="40"/>
  <c r="CW95" i="38"/>
  <c r="Z96" i="40"/>
  <c r="CW72" i="38"/>
  <c r="Z73" i="40"/>
  <c r="CW141" i="38"/>
  <c r="Z142" i="40"/>
  <c r="CW133" i="38"/>
  <c r="Z134" i="40"/>
  <c r="CW48" i="38"/>
  <c r="Z49" i="40"/>
  <c r="CW78" i="38"/>
  <c r="Z79" i="40"/>
  <c r="CW75" i="38"/>
  <c r="Z76" i="40"/>
  <c r="CW87" i="38"/>
  <c r="Z88" i="40"/>
  <c r="CW139" i="38"/>
  <c r="Z140" i="40"/>
  <c r="CW125" i="38"/>
  <c r="Z126" i="40"/>
  <c r="CW53" i="38"/>
  <c r="Z54" i="40"/>
  <c r="CW77" i="38"/>
  <c r="Z78" i="40"/>
  <c r="CW122" i="38"/>
  <c r="Z123" i="40"/>
  <c r="CW138" i="38"/>
  <c r="Z139" i="40"/>
  <c r="CW51" i="38"/>
  <c r="Z52" i="40"/>
  <c r="CW140" i="38"/>
  <c r="Z141" i="40"/>
  <c r="CW81" i="38"/>
  <c r="Z82" i="40"/>
  <c r="CW84" i="38"/>
  <c r="Z85" i="40"/>
  <c r="CW60" i="38"/>
  <c r="Z61" i="40"/>
  <c r="CW99" i="38"/>
  <c r="Z100" i="40"/>
  <c r="CW61" i="38"/>
  <c r="Z62" i="40"/>
  <c r="CW89" i="38"/>
  <c r="Z90" i="40"/>
  <c r="CW90" i="38"/>
  <c r="Z91" i="40"/>
  <c r="CW117" i="38"/>
  <c r="Z118" i="40"/>
  <c r="CW132" i="38"/>
  <c r="Z133" i="40"/>
  <c r="CW74" i="38"/>
  <c r="Z75" i="40"/>
  <c r="ES141" i="14"/>
  <c r="EX141" i="14" s="1"/>
  <c r="EY141" i="14" s="1"/>
  <c r="EZ141" i="14" s="1"/>
  <c r="FA141" i="14" s="1"/>
  <c r="FF141" i="14" s="1"/>
  <c r="FG141" i="14" s="1"/>
  <c r="FH141" i="14" s="1"/>
  <c r="FI141" i="14" s="1"/>
  <c r="HH150" i="14"/>
  <c r="HI150" i="14" s="1"/>
  <c r="HJ150" i="14" s="1"/>
  <c r="HK150" i="14" s="1"/>
  <c r="HP150" i="14" s="1"/>
  <c r="HQ150" i="14" s="1"/>
  <c r="HR150" i="14" s="1"/>
  <c r="HS150" i="14" s="1"/>
  <c r="HY150" i="14" s="1"/>
  <c r="ES151" i="14"/>
  <c r="EX151" i="14" s="1"/>
  <c r="EY151" i="14" s="1"/>
  <c r="EZ151" i="14" s="1"/>
  <c r="FA151" i="14" s="1"/>
  <c r="FF151" i="14" s="1"/>
  <c r="FG151" i="14" s="1"/>
  <c r="FH151" i="14" s="1"/>
  <c r="FI151" i="14" s="1"/>
  <c r="FO151" i="14" s="1"/>
  <c r="HH160" i="14"/>
  <c r="HI160" i="14" s="1"/>
  <c r="HJ160" i="14" s="1"/>
  <c r="HK160" i="14" s="1"/>
  <c r="HP160" i="14" s="1"/>
  <c r="HQ160" i="14" s="1"/>
  <c r="HR160" i="14" s="1"/>
  <c r="HS160" i="14" s="1"/>
  <c r="HY160" i="14" s="1"/>
  <c r="ES150" i="14"/>
  <c r="EX150" i="14" s="1"/>
  <c r="EY150" i="14" s="1"/>
  <c r="EZ150" i="14" s="1"/>
  <c r="FA150" i="14" s="1"/>
  <c r="FF150" i="14" s="1"/>
  <c r="FG150" i="14" s="1"/>
  <c r="FH150" i="14" s="1"/>
  <c r="FI150" i="14" s="1"/>
  <c r="FO150" i="14" s="1"/>
  <c r="ES152" i="14"/>
  <c r="EX152" i="14" s="1"/>
  <c r="EY152" i="14" s="1"/>
  <c r="EZ152" i="14" s="1"/>
  <c r="FA152" i="14" s="1"/>
  <c r="FF152" i="14" s="1"/>
  <c r="FG152" i="14" s="1"/>
  <c r="FH152" i="14" s="1"/>
  <c r="FI152" i="14" s="1"/>
  <c r="FO152" i="14" s="1"/>
  <c r="HH151" i="14"/>
  <c r="HI151" i="14" s="1"/>
  <c r="HJ151" i="14" s="1"/>
  <c r="HK151" i="14" s="1"/>
  <c r="HP151" i="14" s="1"/>
  <c r="HQ151" i="14" s="1"/>
  <c r="HR151" i="14" s="1"/>
  <c r="HS151" i="14" s="1"/>
  <c r="HY151" i="14" s="1"/>
  <c r="HH152" i="14"/>
  <c r="HI152" i="14" s="1"/>
  <c r="HJ152" i="14" s="1"/>
  <c r="HK152" i="14" s="1"/>
  <c r="HP152" i="14" s="1"/>
  <c r="HQ152" i="14" s="1"/>
  <c r="HR152" i="14" s="1"/>
  <c r="HS152" i="14" s="1"/>
  <c r="HY152" i="14" s="1"/>
  <c r="CI134" i="38"/>
  <c r="CJ134" i="38" s="1"/>
  <c r="CK134" i="38" s="1"/>
  <c r="CL134" i="38" s="1"/>
  <c r="CM134" i="38" s="1"/>
  <c r="CN134" i="38" s="1"/>
  <c r="CO134" i="38" s="1"/>
  <c r="CP134" i="38" s="1"/>
  <c r="CQ134" i="38" s="1"/>
  <c r="CR134" i="38" s="1"/>
  <c r="CS134" i="38" s="1"/>
  <c r="CT134" i="38" s="1"/>
  <c r="CU106" i="38"/>
  <c r="CV106" i="38" s="1"/>
  <c r="CE127" i="38"/>
  <c r="CF127" i="38" s="1"/>
  <c r="CG127" i="38" s="1"/>
  <c r="CH127" i="38" s="1"/>
  <c r="CE136" i="38"/>
  <c r="CF136" i="38" s="1"/>
  <c r="CG136" i="38" s="1"/>
  <c r="CH136" i="38" s="1"/>
  <c r="CI136" i="38" s="1"/>
  <c r="CJ136" i="38" s="1"/>
  <c r="CK136" i="38" s="1"/>
  <c r="CL136" i="38" s="1"/>
  <c r="CE113" i="38"/>
  <c r="CF113" i="38" s="1"/>
  <c r="CG113" i="38" s="1"/>
  <c r="CH113" i="38" s="1"/>
  <c r="CI113" i="38" s="1"/>
  <c r="CJ113" i="38" s="1"/>
  <c r="CK113" i="38" s="1"/>
  <c r="CL113" i="38" s="1"/>
  <c r="CM113" i="38" s="1"/>
  <c r="CN113" i="38" s="1"/>
  <c r="CO113" i="38" s="1"/>
  <c r="CP113" i="38" s="1"/>
  <c r="CQ113" i="38" s="1"/>
  <c r="CR113" i="38" s="1"/>
  <c r="CS113" i="38" s="1"/>
  <c r="CT113" i="38" s="1"/>
  <c r="CU113" i="38" s="1"/>
  <c r="CV113" i="38" s="1"/>
  <c r="CU57" i="38"/>
  <c r="CV57" i="38" s="1"/>
  <c r="Z58" i="40" s="1"/>
  <c r="CQ112" i="38"/>
  <c r="CR112" i="38" s="1"/>
  <c r="CS112" i="38" s="1"/>
  <c r="CT112" i="38" s="1"/>
  <c r="CU112" i="38" s="1"/>
  <c r="CV112" i="38" s="1"/>
  <c r="CM67" i="38"/>
  <c r="CN67" i="38" s="1"/>
  <c r="CO67" i="38" s="1"/>
  <c r="CP67" i="38" s="1"/>
  <c r="CQ126" i="38"/>
  <c r="CR126" i="38" s="1"/>
  <c r="CS126" i="38" s="1"/>
  <c r="CT126" i="38" s="1"/>
  <c r="CQ66" i="38"/>
  <c r="CR66" i="38" s="1"/>
  <c r="CS66" i="38" s="1"/>
  <c r="CT66" i="38" s="1"/>
  <c r="CU66" i="38" s="1"/>
  <c r="CV66" i="38" s="1"/>
  <c r="CQ62" i="38"/>
  <c r="CR62" i="38" s="1"/>
  <c r="CS62" i="38" s="1"/>
  <c r="CT62" i="38" s="1"/>
  <c r="CU62" i="38" s="1"/>
  <c r="CV62" i="38" s="1"/>
  <c r="CE135" i="38"/>
  <c r="CF135" i="38" s="1"/>
  <c r="CG135" i="38" s="1"/>
  <c r="CH135" i="38" s="1"/>
  <c r="CU58" i="38"/>
  <c r="CV58" i="38" s="1"/>
  <c r="CI105" i="38"/>
  <c r="CJ105" i="38" s="1"/>
  <c r="CK105" i="38" s="1"/>
  <c r="CL105" i="38" s="1"/>
  <c r="CM105" i="38" s="1"/>
  <c r="CN105" i="38" s="1"/>
  <c r="CO105" i="38" s="1"/>
  <c r="CP105" i="38" s="1"/>
  <c r="CQ105" i="38" s="1"/>
  <c r="CR105" i="38" s="1"/>
  <c r="CS105" i="38" s="1"/>
  <c r="CT105" i="38" s="1"/>
  <c r="CU105" i="38" s="1"/>
  <c r="CV105" i="38" s="1"/>
  <c r="CM108" i="38"/>
  <c r="CN108" i="38" s="1"/>
  <c r="CO108" i="38" s="1"/>
  <c r="CP108" i="38" s="1"/>
  <c r="CI137" i="38"/>
  <c r="CJ137" i="38" s="1"/>
  <c r="CK137" i="38" s="1"/>
  <c r="CL137" i="38" s="1"/>
  <c r="CM137" i="38" s="1"/>
  <c r="CN137" i="38" s="1"/>
  <c r="CO137" i="38" s="1"/>
  <c r="CP137" i="38" s="1"/>
  <c r="CU143" i="38"/>
  <c r="CV143" i="38" s="1"/>
  <c r="Z144" i="40" s="1"/>
  <c r="CM124" i="38"/>
  <c r="CN124" i="38" s="1"/>
  <c r="CO124" i="38" s="1"/>
  <c r="CP124" i="38" s="1"/>
  <c r="CQ124" i="38" s="1"/>
  <c r="CR124" i="38" s="1"/>
  <c r="CS124" i="38" s="1"/>
  <c r="CT124" i="38" s="1"/>
  <c r="CQ70" i="38"/>
  <c r="CR70" i="38" s="1"/>
  <c r="CS70" i="38" s="1"/>
  <c r="CT70" i="38" s="1"/>
  <c r="CU70" i="38" s="1"/>
  <c r="CV70" i="38" s="1"/>
  <c r="CU59" i="38"/>
  <c r="CV59" i="38" s="1"/>
  <c r="CU144" i="38"/>
  <c r="CV144" i="38" s="1"/>
  <c r="CM64" i="38"/>
  <c r="CN64" i="38" s="1"/>
  <c r="CO64" i="38" s="1"/>
  <c r="CP64" i="38" s="1"/>
  <c r="CQ68" i="38"/>
  <c r="CR68" i="38" s="1"/>
  <c r="CS68" i="38" s="1"/>
  <c r="CT68" i="38" s="1"/>
  <c r="CU68" i="38" s="1"/>
  <c r="CV68" i="38" s="1"/>
  <c r="CM71" i="38"/>
  <c r="CN71" i="38" s="1"/>
  <c r="CO71" i="38" s="1"/>
  <c r="CP71" i="38" s="1"/>
  <c r="CQ71" i="38" s="1"/>
  <c r="CR71" i="38" s="1"/>
  <c r="CS71" i="38" s="1"/>
  <c r="CT71" i="38" s="1"/>
  <c r="CU47" i="38"/>
  <c r="CV47" i="38" s="1"/>
  <c r="CU97" i="38"/>
  <c r="CV97" i="38" s="1"/>
  <c r="CU46" i="38"/>
  <c r="CV46" i="38" s="1"/>
  <c r="CI109" i="38"/>
  <c r="CJ109" i="38" s="1"/>
  <c r="CK109" i="38" s="1"/>
  <c r="CL109" i="38" s="1"/>
  <c r="CM109" i="38" s="1"/>
  <c r="CN109" i="38" s="1"/>
  <c r="CO109" i="38" s="1"/>
  <c r="CP109" i="38" s="1"/>
  <c r="CU45" i="38"/>
  <c r="CV45" i="38" s="1"/>
  <c r="CQ92" i="38"/>
  <c r="CR92" i="38" s="1"/>
  <c r="CS92" i="38" s="1"/>
  <c r="CT92" i="38" s="1"/>
  <c r="CU92" i="38" s="1"/>
  <c r="CV92" i="38" s="1"/>
  <c r="CU79" i="38"/>
  <c r="CV79" i="38" s="1"/>
  <c r="CE129" i="38"/>
  <c r="CF129" i="38" s="1"/>
  <c r="CG129" i="38" s="1"/>
  <c r="CH129" i="38" s="1"/>
  <c r="CU96" i="38"/>
  <c r="CV96" i="38" s="1"/>
  <c r="CU49" i="38"/>
  <c r="CV49" i="38" s="1"/>
  <c r="CQ85" i="38"/>
  <c r="CR85" i="38" s="1"/>
  <c r="CS85" i="38" s="1"/>
  <c r="CT85" i="38" s="1"/>
  <c r="CQ65" i="38"/>
  <c r="CR65" i="38" s="1"/>
  <c r="CS65" i="38" s="1"/>
  <c r="CT65" i="38" s="1"/>
  <c r="CU65" i="38" s="1"/>
  <c r="CV65" i="38" s="1"/>
  <c r="CU103" i="38"/>
  <c r="CV103" i="38" s="1"/>
  <c r="Z104" i="40" s="1"/>
  <c r="HH144" i="14"/>
  <c r="HI144" i="14" s="1"/>
  <c r="HJ144" i="14" s="1"/>
  <c r="HK144" i="14" s="1"/>
  <c r="HP144" i="14" s="1"/>
  <c r="HQ144" i="14" s="1"/>
  <c r="HR144" i="14" s="1"/>
  <c r="HS144" i="14" s="1"/>
  <c r="CU130" i="38"/>
  <c r="CV130" i="38" s="1"/>
  <c r="CU111" i="38"/>
  <c r="CV111" i="38" s="1"/>
  <c r="CI107" i="38"/>
  <c r="CJ107" i="38" s="1"/>
  <c r="CK107" i="38" s="1"/>
  <c r="CL107" i="38" s="1"/>
  <c r="CM107" i="38" s="1"/>
  <c r="CN107" i="38" s="1"/>
  <c r="CO107" i="38" s="1"/>
  <c r="CP107" i="38" s="1"/>
  <c r="CQ110" i="38"/>
  <c r="CR110" i="38" s="1"/>
  <c r="CS110" i="38" s="1"/>
  <c r="CT110" i="38" s="1"/>
  <c r="CI69" i="38"/>
  <c r="CJ69" i="38" s="1"/>
  <c r="CK69" i="38" s="1"/>
  <c r="CL69" i="38" s="1"/>
  <c r="CM69" i="38" s="1"/>
  <c r="CN69" i="38" s="1"/>
  <c r="CO69" i="38" s="1"/>
  <c r="CP69" i="38" s="1"/>
  <c r="CU55" i="38"/>
  <c r="CV55" i="38" s="1"/>
  <c r="CI131" i="38"/>
  <c r="CJ131" i="38" s="1"/>
  <c r="CK131" i="38" s="1"/>
  <c r="CL131" i="38" s="1"/>
  <c r="CM131" i="38" s="1"/>
  <c r="CN131" i="38" s="1"/>
  <c r="CO131" i="38" s="1"/>
  <c r="CP131" i="38" s="1"/>
  <c r="CM128" i="38"/>
  <c r="CN128" i="38" s="1"/>
  <c r="CO128" i="38" s="1"/>
  <c r="CP128" i="38" s="1"/>
  <c r="CQ128" i="38" s="1"/>
  <c r="CR128" i="38" s="1"/>
  <c r="CS128" i="38" s="1"/>
  <c r="CT128" i="38" s="1"/>
  <c r="CU128" i="38" s="1"/>
  <c r="CV128" i="38" s="1"/>
  <c r="CM76" i="38"/>
  <c r="CN76" i="38" s="1"/>
  <c r="CO76" i="38" s="1"/>
  <c r="CP76" i="38" s="1"/>
  <c r="CQ76" i="38" s="1"/>
  <c r="CR76" i="38" s="1"/>
  <c r="CS76" i="38" s="1"/>
  <c r="CT76" i="38" s="1"/>
  <c r="CU76" i="38" s="1"/>
  <c r="CV76" i="38" s="1"/>
  <c r="HP141" i="14"/>
  <c r="HQ141" i="14" s="1"/>
  <c r="HR141" i="14" s="1"/>
  <c r="HS141" i="14" s="1"/>
  <c r="ES144" i="14"/>
  <c r="EX144" i="14" s="1"/>
  <c r="EY144" i="14" s="1"/>
  <c r="EZ144" i="14" s="1"/>
  <c r="FA144" i="14" s="1"/>
  <c r="FF144" i="14" s="1"/>
  <c r="FG144" i="14" s="1"/>
  <c r="FH144" i="14" s="1"/>
  <c r="FI144" i="14" s="1"/>
  <c r="HH120" i="14"/>
  <c r="HI120" i="14" s="1"/>
  <c r="HJ120" i="14" s="1"/>
  <c r="HK120" i="14" s="1"/>
  <c r="HP120" i="14" s="1"/>
  <c r="HQ120" i="14" s="1"/>
  <c r="HR120" i="14" s="1"/>
  <c r="HS120" i="14" s="1"/>
  <c r="CX121" i="38"/>
  <c r="ES124" i="14"/>
  <c r="EX124" i="14" s="1"/>
  <c r="EY124" i="14" s="1"/>
  <c r="EZ124" i="14" s="1"/>
  <c r="FA124" i="14" s="1"/>
  <c r="FF124" i="14" s="1"/>
  <c r="FG124" i="14" s="1"/>
  <c r="FH124" i="14" s="1"/>
  <c r="FI124" i="14" s="1"/>
  <c r="CX99" i="38"/>
  <c r="HH124" i="14"/>
  <c r="HI124" i="14" s="1"/>
  <c r="HJ124" i="14" s="1"/>
  <c r="HK124" i="14" s="1"/>
  <c r="HP124" i="14" s="1"/>
  <c r="HQ124" i="14" s="1"/>
  <c r="HR124" i="14" s="1"/>
  <c r="HS124" i="14" s="1"/>
  <c r="CD44" i="38"/>
  <c r="ES123" i="14"/>
  <c r="EX123" i="14" s="1"/>
  <c r="EY123" i="14" s="1"/>
  <c r="EZ123" i="14" s="1"/>
  <c r="FA123" i="14" s="1"/>
  <c r="FF123" i="14" s="1"/>
  <c r="FG123" i="14" s="1"/>
  <c r="FH123" i="14" s="1"/>
  <c r="FI123" i="14" s="1"/>
  <c r="ES122" i="14"/>
  <c r="EX122" i="14" s="1"/>
  <c r="EY122" i="14" s="1"/>
  <c r="EZ122" i="14" s="1"/>
  <c r="FA122" i="14" s="1"/>
  <c r="FF122" i="14" s="1"/>
  <c r="FG122" i="14" s="1"/>
  <c r="FH122" i="14" s="1"/>
  <c r="FI122" i="14" s="1"/>
  <c r="HH122" i="14"/>
  <c r="HI122" i="14" s="1"/>
  <c r="HJ122" i="14" s="1"/>
  <c r="HK122" i="14" s="1"/>
  <c r="HP122" i="14" s="1"/>
  <c r="HQ122" i="14" s="1"/>
  <c r="HR122" i="14" s="1"/>
  <c r="HS122" i="14" s="1"/>
  <c r="HH123" i="14"/>
  <c r="HI123" i="14" s="1"/>
  <c r="HJ123" i="14" s="1"/>
  <c r="HK123" i="14" s="1"/>
  <c r="HP123" i="14" s="1"/>
  <c r="HQ123" i="14" s="1"/>
  <c r="HR123" i="14" s="1"/>
  <c r="HS123" i="14" s="1"/>
  <c r="CX52" i="38"/>
  <c r="CX93" i="38"/>
  <c r="CX115" i="38"/>
  <c r="CX82" i="38"/>
  <c r="FN121" i="14"/>
  <c r="ES126" i="14"/>
  <c r="EX126" i="14" s="1"/>
  <c r="EY126" i="14" s="1"/>
  <c r="EZ126" i="14" s="1"/>
  <c r="FA126" i="14" s="1"/>
  <c r="FF126" i="14" s="1"/>
  <c r="FG126" i="14" s="1"/>
  <c r="FH126" i="14" s="1"/>
  <c r="FI126" i="14" s="1"/>
  <c r="HY85" i="14"/>
  <c r="HW85" i="14"/>
  <c r="HH126" i="14"/>
  <c r="HI126" i="14" s="1"/>
  <c r="HJ126" i="14" s="1"/>
  <c r="HK126" i="14" s="1"/>
  <c r="HP126" i="14" s="1"/>
  <c r="HQ126" i="14" s="1"/>
  <c r="HR126" i="14" s="1"/>
  <c r="HS126" i="14" s="1"/>
  <c r="AK141" i="15"/>
  <c r="AD139" i="38"/>
  <c r="AK60" i="15"/>
  <c r="AD58" i="38"/>
  <c r="AD61" i="38"/>
  <c r="HY154" i="14"/>
  <c r="HY147" i="14"/>
  <c r="HY158" i="14"/>
  <c r="HY157" i="14"/>
  <c r="HY159" i="14"/>
  <c r="HY148" i="14"/>
  <c r="HY142" i="14"/>
  <c r="FO159" i="14"/>
  <c r="FO154" i="14"/>
  <c r="FO147" i="14"/>
  <c r="FO157" i="14"/>
  <c r="FO148" i="14"/>
  <c r="FO158" i="14"/>
  <c r="GL147" i="14" l="1"/>
  <c r="AE58" i="38"/>
  <c r="AE55" i="38"/>
  <c r="GK121" i="14"/>
  <c r="GL121" i="14"/>
  <c r="AD45" i="38"/>
  <c r="GK129" i="14"/>
  <c r="AD113" i="38" s="1"/>
  <c r="GK109" i="14"/>
  <c r="AK95" i="15" s="1"/>
  <c r="AM95" i="15" s="1"/>
  <c r="AP95" i="15" s="1"/>
  <c r="GK119" i="14"/>
  <c r="AD103" i="38" s="1"/>
  <c r="GL114" i="14"/>
  <c r="AL100" i="15" s="1"/>
  <c r="GK114" i="14"/>
  <c r="AK100" i="15" s="1"/>
  <c r="AX61" i="38"/>
  <c r="GL133" i="14"/>
  <c r="AL119" i="15" s="1"/>
  <c r="GL127" i="14"/>
  <c r="IA110" i="14"/>
  <c r="GL134" i="14"/>
  <c r="AL120" i="15" s="1"/>
  <c r="GL122" i="14"/>
  <c r="AE106" i="38" s="1"/>
  <c r="GL106" i="14"/>
  <c r="AL92" i="15" s="1"/>
  <c r="AD48" i="38"/>
  <c r="AX48" i="38" s="1"/>
  <c r="IA113" i="14"/>
  <c r="GK107" i="14"/>
  <c r="AD91" i="38" s="1"/>
  <c r="HZ86" i="14"/>
  <c r="FP87" i="14"/>
  <c r="AD47" i="38"/>
  <c r="AX47" i="38" s="1"/>
  <c r="GK98" i="14"/>
  <c r="AD82" i="38" s="1"/>
  <c r="GK123" i="14"/>
  <c r="AD107" i="38" s="1"/>
  <c r="AK62" i="15"/>
  <c r="GL100" i="14"/>
  <c r="AL86" i="15" s="1"/>
  <c r="GL113" i="14"/>
  <c r="AE97" i="38" s="1"/>
  <c r="GL104" i="14"/>
  <c r="AL90" i="15" s="1"/>
  <c r="GL98" i="14"/>
  <c r="AL84" i="15" s="1"/>
  <c r="AD56" i="38"/>
  <c r="AX56" i="38" s="1"/>
  <c r="GL123" i="14"/>
  <c r="AE107" i="38" s="1"/>
  <c r="AK55" i="15"/>
  <c r="BK53" i="38" s="1"/>
  <c r="AL68" i="15"/>
  <c r="GK140" i="14"/>
  <c r="GL141" i="14"/>
  <c r="AL127" i="15" s="1"/>
  <c r="AD63" i="38"/>
  <c r="AX63" i="38" s="1"/>
  <c r="AK67" i="15"/>
  <c r="BK65" i="38" s="1"/>
  <c r="AD65" i="38"/>
  <c r="GK124" i="14"/>
  <c r="AK110" i="15" s="1"/>
  <c r="GK130" i="14"/>
  <c r="AK116" i="15" s="1"/>
  <c r="GK127" i="14"/>
  <c r="AD111" i="38" s="1"/>
  <c r="GK147" i="14"/>
  <c r="AK133" i="15" s="1"/>
  <c r="GL108" i="14"/>
  <c r="AL94" i="15" s="1"/>
  <c r="AD49" i="38"/>
  <c r="AX49" i="38" s="1"/>
  <c r="GL111" i="14"/>
  <c r="AL97" i="15" s="1"/>
  <c r="GK128" i="14"/>
  <c r="AK114" i="15" s="1"/>
  <c r="GK118" i="14"/>
  <c r="AK104" i="15" s="1"/>
  <c r="GK149" i="14"/>
  <c r="AK135" i="15" s="1"/>
  <c r="GL97" i="14"/>
  <c r="AE81" i="38" s="1"/>
  <c r="AD46" i="38"/>
  <c r="AX46" i="38" s="1"/>
  <c r="GL117" i="14"/>
  <c r="AL103" i="15" s="1"/>
  <c r="GL126" i="14"/>
  <c r="AL112" i="15" s="1"/>
  <c r="AM112" i="15" s="1"/>
  <c r="AP112" i="15" s="1"/>
  <c r="AD50" i="38"/>
  <c r="AX50" i="38" s="1"/>
  <c r="GL118" i="14"/>
  <c r="AL104" i="15" s="1"/>
  <c r="GK110" i="14"/>
  <c r="AK96" i="15" s="1"/>
  <c r="GL119" i="14"/>
  <c r="AL105" i="15" s="1"/>
  <c r="GL129" i="14"/>
  <c r="AL115" i="15" s="1"/>
  <c r="HZ85" i="14"/>
  <c r="AK140" i="15"/>
  <c r="AD69" i="38"/>
  <c r="AK71" i="15"/>
  <c r="AM71" i="15" s="1"/>
  <c r="AP71" i="15" s="1"/>
  <c r="U37" i="1"/>
  <c r="GL112" i="14"/>
  <c r="AE96" i="38" s="1"/>
  <c r="GL115" i="14"/>
  <c r="AL101" i="15" s="1"/>
  <c r="GL94" i="14"/>
  <c r="AL80" i="15" s="1"/>
  <c r="AD54" i="38"/>
  <c r="AX54" i="38" s="1"/>
  <c r="GK108" i="14"/>
  <c r="AK94" i="15" s="1"/>
  <c r="AE87" i="38"/>
  <c r="AD135" i="38"/>
  <c r="GL128" i="14"/>
  <c r="AE112" i="38" s="1"/>
  <c r="GK138" i="14"/>
  <c r="AK124" i="15" s="1"/>
  <c r="AD142" i="38"/>
  <c r="GK133" i="14"/>
  <c r="AK119" i="15" s="1"/>
  <c r="GK135" i="14"/>
  <c r="AK121" i="15" s="1"/>
  <c r="GK141" i="14"/>
  <c r="AD125" i="38" s="1"/>
  <c r="AE72" i="38"/>
  <c r="GL116" i="14"/>
  <c r="AL102" i="15" s="1"/>
  <c r="GK111" i="14"/>
  <c r="AD95" i="38" s="1"/>
  <c r="GL105" i="14"/>
  <c r="AL91" i="15" s="1"/>
  <c r="GL92" i="14"/>
  <c r="AL78" i="15" s="1"/>
  <c r="GL95" i="14"/>
  <c r="AL81" i="15" s="1"/>
  <c r="GK122" i="14"/>
  <c r="AD106" i="38" s="1"/>
  <c r="AK143" i="15"/>
  <c r="AD127" i="38"/>
  <c r="AD62" i="38"/>
  <c r="AX62" i="38" s="1"/>
  <c r="AE93" i="38"/>
  <c r="AE74" i="38"/>
  <c r="AD137" i="38"/>
  <c r="GL131" i="14"/>
  <c r="AL117" i="15" s="1"/>
  <c r="GL99" i="14"/>
  <c r="AL85" i="15" s="1"/>
  <c r="GL120" i="14"/>
  <c r="AL106" i="15" s="1"/>
  <c r="GL101" i="14"/>
  <c r="AL87" i="15" s="1"/>
  <c r="GL132" i="14"/>
  <c r="AE116" i="38" s="1"/>
  <c r="GK136" i="14"/>
  <c r="AD120" i="38" s="1"/>
  <c r="GK113" i="14"/>
  <c r="AK99" i="15" s="1"/>
  <c r="GL93" i="14"/>
  <c r="AE77" i="38" s="1"/>
  <c r="AE75" i="38"/>
  <c r="AL77" i="15"/>
  <c r="FO146" i="14"/>
  <c r="AD44" i="38"/>
  <c r="AX44" i="38" s="1"/>
  <c r="AK138" i="15"/>
  <c r="GK106" i="14"/>
  <c r="AD90" i="38" s="1"/>
  <c r="GL96" i="14"/>
  <c r="AL82" i="15" s="1"/>
  <c r="AK132" i="15"/>
  <c r="AD130" i="38"/>
  <c r="AE91" i="38"/>
  <c r="AL93" i="15"/>
  <c r="GL110" i="14"/>
  <c r="AE94" i="38" s="1"/>
  <c r="GK117" i="14"/>
  <c r="AD101" i="38" s="1"/>
  <c r="HY149" i="14"/>
  <c r="GK115" i="14"/>
  <c r="AK101" i="15" s="1"/>
  <c r="GK120" i="14"/>
  <c r="AD104" i="38" s="1"/>
  <c r="GK131" i="14"/>
  <c r="AD115" i="38" s="1"/>
  <c r="GK125" i="14"/>
  <c r="AK111" i="15" s="1"/>
  <c r="GK116" i="14"/>
  <c r="AD100" i="38" s="1"/>
  <c r="GK132" i="14"/>
  <c r="AK118" i="15" s="1"/>
  <c r="GL102" i="14"/>
  <c r="AL88" i="15" s="1"/>
  <c r="GK137" i="14"/>
  <c r="AD121" i="38" s="1"/>
  <c r="AD75" i="38"/>
  <c r="AK77" i="15"/>
  <c r="AK70" i="15"/>
  <c r="AD68" i="38"/>
  <c r="AL72" i="15"/>
  <c r="BK70" i="38" s="1"/>
  <c r="AE70" i="38"/>
  <c r="AD51" i="38"/>
  <c r="AD67" i="38"/>
  <c r="GK134" i="14"/>
  <c r="AK120" i="15" s="1"/>
  <c r="AD80" i="38"/>
  <c r="GK112" i="14"/>
  <c r="AK98" i="15" s="1"/>
  <c r="AK80" i="15"/>
  <c r="AD78" i="38"/>
  <c r="AK76" i="15"/>
  <c r="AM76" i="15" s="1"/>
  <c r="AP76" i="15" s="1"/>
  <c r="AD74" i="38"/>
  <c r="AK74" i="15"/>
  <c r="AM74" i="15" s="1"/>
  <c r="AP74" i="15" s="1"/>
  <c r="AD72" i="38"/>
  <c r="AL75" i="15"/>
  <c r="BK73" i="38" s="1"/>
  <c r="AE73" i="38"/>
  <c r="AE71" i="38"/>
  <c r="AL73" i="15"/>
  <c r="AL70" i="15"/>
  <c r="AE68" i="38"/>
  <c r="AL69" i="15"/>
  <c r="AM69" i="15" s="1"/>
  <c r="AP69" i="15" s="1"/>
  <c r="AE67" i="38"/>
  <c r="AK73" i="15"/>
  <c r="AD71" i="38"/>
  <c r="AD70" i="38"/>
  <c r="AK136" i="15"/>
  <c r="AE69" i="38"/>
  <c r="AD76" i="38"/>
  <c r="AK78" i="15"/>
  <c r="AK83" i="15"/>
  <c r="AD81" i="38"/>
  <c r="AK79" i="15"/>
  <c r="AD77" i="38"/>
  <c r="AK81" i="15"/>
  <c r="AD79" i="38"/>
  <c r="AK85" i="15"/>
  <c r="AD83" i="38"/>
  <c r="AE84" i="38"/>
  <c r="AD110" i="38"/>
  <c r="AD140" i="38"/>
  <c r="FO149" i="14"/>
  <c r="AK86" i="15"/>
  <c r="AM86" i="15" s="1"/>
  <c r="AP86" i="15" s="1"/>
  <c r="AD84" i="38"/>
  <c r="AK91" i="15"/>
  <c r="AD89" i="38"/>
  <c r="AK125" i="15"/>
  <c r="AD123" i="38"/>
  <c r="AK88" i="15"/>
  <c r="AD86" i="38"/>
  <c r="AD87" i="38"/>
  <c r="AK89" i="15"/>
  <c r="AM89" i="15" s="1"/>
  <c r="AP89" i="15" s="1"/>
  <c r="AK87" i="15"/>
  <c r="AD85" i="38"/>
  <c r="AK90" i="15"/>
  <c r="AD88" i="38"/>
  <c r="AD128" i="38"/>
  <c r="GL144" i="14"/>
  <c r="AL130" i="15" s="1"/>
  <c r="AM130" i="15" s="1"/>
  <c r="AP130" i="15" s="1"/>
  <c r="GK148" i="14"/>
  <c r="AD132" i="38" s="1"/>
  <c r="AD55" i="38"/>
  <c r="AD143" i="38"/>
  <c r="AK115" i="15"/>
  <c r="IA119" i="14"/>
  <c r="FQ113" i="14"/>
  <c r="FQ112" i="14"/>
  <c r="IA112" i="14"/>
  <c r="FQ110" i="14"/>
  <c r="AK146" i="15"/>
  <c r="IA68" i="14"/>
  <c r="IA116" i="14"/>
  <c r="AX53" i="38"/>
  <c r="IA117" i="14"/>
  <c r="FQ118" i="14"/>
  <c r="AD52" i="38"/>
  <c r="AX52" i="38" s="1"/>
  <c r="IA115" i="14"/>
  <c r="AD66" i="38"/>
  <c r="AX66" i="38" s="1"/>
  <c r="GL149" i="14"/>
  <c r="AL135" i="15" s="1"/>
  <c r="GL146" i="14"/>
  <c r="AL132" i="15" s="1"/>
  <c r="F24" i="16"/>
  <c r="U39" i="1" s="1"/>
  <c r="FQ119" i="14"/>
  <c r="FQ115" i="14"/>
  <c r="FQ111" i="14"/>
  <c r="AD59" i="38"/>
  <c r="AX59" i="38" s="1"/>
  <c r="GK142" i="14"/>
  <c r="AK128" i="15" s="1"/>
  <c r="IA111" i="14"/>
  <c r="FQ117" i="14"/>
  <c r="IA114" i="14"/>
  <c r="IA118" i="14"/>
  <c r="FQ116" i="14"/>
  <c r="FQ114" i="14"/>
  <c r="AK126" i="15"/>
  <c r="AD124" i="38"/>
  <c r="FQ106" i="14"/>
  <c r="FP84" i="14"/>
  <c r="HZ84" i="14"/>
  <c r="AD64" i="38"/>
  <c r="AX64" i="38" s="1"/>
  <c r="GK145" i="14"/>
  <c r="AK131" i="15" s="1"/>
  <c r="AK107" i="15"/>
  <c r="AD105" i="38"/>
  <c r="HY145" i="14"/>
  <c r="HX145" i="14"/>
  <c r="HY144" i="14"/>
  <c r="HX144" i="14"/>
  <c r="HY146" i="14"/>
  <c r="HX146" i="14"/>
  <c r="F23" i="16"/>
  <c r="FO144" i="14"/>
  <c r="FN144" i="14"/>
  <c r="FO141" i="14"/>
  <c r="FN141" i="14"/>
  <c r="FO145" i="14"/>
  <c r="FN145" i="14"/>
  <c r="GL142" i="14"/>
  <c r="AL128" i="15" s="1"/>
  <c r="HY141" i="14"/>
  <c r="HX141" i="14"/>
  <c r="HZ83" i="14"/>
  <c r="FP81" i="14"/>
  <c r="FP82" i="14"/>
  <c r="FP83" i="14"/>
  <c r="HZ82" i="14"/>
  <c r="HZ81" i="14"/>
  <c r="AD73" i="38"/>
  <c r="U36" i="46"/>
  <c r="AX45" i="38"/>
  <c r="GL136" i="14"/>
  <c r="AE120" i="38" s="1"/>
  <c r="AD57" i="38"/>
  <c r="AX57" i="38" s="1"/>
  <c r="AX60" i="38"/>
  <c r="GL138" i="14"/>
  <c r="AL124" i="15" s="1"/>
  <c r="V37" i="46"/>
  <c r="FP77" i="14"/>
  <c r="AE65" i="38"/>
  <c r="HZ67" i="14"/>
  <c r="FQ96" i="14"/>
  <c r="HZ75" i="14"/>
  <c r="HZ68" i="14"/>
  <c r="AL66" i="15"/>
  <c r="AM66" i="15" s="1"/>
  <c r="AP66" i="15" s="1"/>
  <c r="HZ74" i="14"/>
  <c r="HZ65" i="14"/>
  <c r="HZ66" i="14"/>
  <c r="HZ80" i="14"/>
  <c r="HZ63" i="14"/>
  <c r="HZ78" i="14"/>
  <c r="FP73" i="14"/>
  <c r="HZ62" i="14"/>
  <c r="AL111" i="15"/>
  <c r="AE109" i="38"/>
  <c r="AX58" i="38"/>
  <c r="FQ105" i="14"/>
  <c r="HZ69" i="14"/>
  <c r="FQ85" i="14"/>
  <c r="FP68" i="14"/>
  <c r="FQ108" i="14"/>
  <c r="FQ103" i="14"/>
  <c r="HZ77" i="14"/>
  <c r="HZ76" i="14"/>
  <c r="HZ60" i="14"/>
  <c r="FP71" i="14"/>
  <c r="FQ107" i="14"/>
  <c r="FP74" i="14"/>
  <c r="FQ109" i="14"/>
  <c r="HZ71" i="14"/>
  <c r="HZ73" i="14"/>
  <c r="HZ64" i="14"/>
  <c r="FP75" i="14"/>
  <c r="HZ70" i="14"/>
  <c r="GL137" i="14"/>
  <c r="AL123" i="15" s="1"/>
  <c r="G23" i="16"/>
  <c r="V38" i="1" s="1"/>
  <c r="HZ61" i="14"/>
  <c r="FP79" i="14"/>
  <c r="FP69" i="14"/>
  <c r="AX51" i="38"/>
  <c r="IA93" i="14"/>
  <c r="GL135" i="14"/>
  <c r="FP72" i="14"/>
  <c r="FP78" i="14"/>
  <c r="HZ72" i="14"/>
  <c r="HZ79" i="14"/>
  <c r="FP76" i="14"/>
  <c r="FP70" i="14"/>
  <c r="AL107" i="15"/>
  <c r="AE105" i="38"/>
  <c r="HX120" i="14"/>
  <c r="HY120" i="14"/>
  <c r="FN120" i="14"/>
  <c r="FO120" i="14"/>
  <c r="FS116" i="14" s="1"/>
  <c r="AL110" i="15"/>
  <c r="AE108" i="38"/>
  <c r="AL113" i="15"/>
  <c r="AE111" i="38"/>
  <c r="AL116" i="15"/>
  <c r="AE114" i="38"/>
  <c r="AL129" i="15"/>
  <c r="AM129" i="15" s="1"/>
  <c r="AP129" i="15" s="1"/>
  <c r="AE127" i="38"/>
  <c r="AL144" i="15"/>
  <c r="AM144" i="15" s="1"/>
  <c r="AP144" i="15" s="1"/>
  <c r="AE142" i="38"/>
  <c r="FN122" i="14"/>
  <c r="FO122" i="14"/>
  <c r="HX126" i="14"/>
  <c r="HY126" i="14"/>
  <c r="HX122" i="14"/>
  <c r="HY122" i="14"/>
  <c r="AL125" i="15"/>
  <c r="AE123" i="38"/>
  <c r="AL126" i="15"/>
  <c r="AE124" i="38"/>
  <c r="FN123" i="14"/>
  <c r="FO123" i="14"/>
  <c r="FN124" i="14"/>
  <c r="FO124" i="14"/>
  <c r="AL140" i="15"/>
  <c r="AE138" i="38"/>
  <c r="AX138" i="38" s="1"/>
  <c r="AL146" i="15"/>
  <c r="AE144" i="38"/>
  <c r="AX144" i="38" s="1"/>
  <c r="AL133" i="15"/>
  <c r="AE131" i="38"/>
  <c r="AL134" i="15"/>
  <c r="AE132" i="38"/>
  <c r="AL141" i="15"/>
  <c r="AM141" i="15" s="1"/>
  <c r="AP141" i="15" s="1"/>
  <c r="AE139" i="38"/>
  <c r="AX139" i="38" s="1"/>
  <c r="AL136" i="15"/>
  <c r="AE134" i="38"/>
  <c r="AX134" i="38" s="1"/>
  <c r="HX123" i="14"/>
  <c r="HY123" i="14"/>
  <c r="G24" i="16"/>
  <c r="AL131" i="15"/>
  <c r="AE129" i="38"/>
  <c r="FN126" i="14"/>
  <c r="FO126" i="14"/>
  <c r="AL142" i="15"/>
  <c r="BK140" i="38" s="1"/>
  <c r="AE140" i="38"/>
  <c r="AL137" i="15"/>
  <c r="BK135" i="38" s="1"/>
  <c r="AE135" i="38"/>
  <c r="HX124" i="14"/>
  <c r="HY124" i="14"/>
  <c r="IC100" i="14" s="1"/>
  <c r="AL145" i="15"/>
  <c r="AM145" i="15" s="1"/>
  <c r="AP145" i="15" s="1"/>
  <c r="AE143" i="38"/>
  <c r="AL139" i="15"/>
  <c r="AM139" i="15" s="1"/>
  <c r="AP139" i="15" s="1"/>
  <c r="AE137" i="38"/>
  <c r="AL143" i="15"/>
  <c r="AE141" i="38"/>
  <c r="AX141" i="38" s="1"/>
  <c r="AL138" i="15"/>
  <c r="AE136" i="38"/>
  <c r="AX136" i="38" s="1"/>
  <c r="FP85" i="14"/>
  <c r="HZ89" i="14"/>
  <c r="HZ88" i="14"/>
  <c r="FP89" i="14"/>
  <c r="FP86" i="14"/>
  <c r="HZ87" i="14"/>
  <c r="V36" i="1"/>
  <c r="V36" i="46"/>
  <c r="FP88" i="14"/>
  <c r="FP66" i="14"/>
  <c r="FQ69" i="14"/>
  <c r="FQ68" i="14"/>
  <c r="IA65" i="14"/>
  <c r="IA69" i="14"/>
  <c r="FQ84" i="14"/>
  <c r="IA71" i="14"/>
  <c r="IA70" i="14"/>
  <c r="IA72" i="14"/>
  <c r="FQ66" i="14"/>
  <c r="IA67" i="14"/>
  <c r="FQ67" i="14"/>
  <c r="IA73" i="14"/>
  <c r="FQ65" i="14"/>
  <c r="IA66" i="14"/>
  <c r="FP64" i="14"/>
  <c r="FQ72" i="14"/>
  <c r="FQ70" i="14"/>
  <c r="FP61" i="14"/>
  <c r="FP63" i="14"/>
  <c r="FP65" i="14"/>
  <c r="FP62" i="14"/>
  <c r="FP60" i="14"/>
  <c r="FQ73" i="14"/>
  <c r="FP67" i="14"/>
  <c r="FQ74" i="14"/>
  <c r="IA74" i="14"/>
  <c r="FP80" i="14"/>
  <c r="FQ71" i="14"/>
  <c r="FQ91" i="14"/>
  <c r="FQ99" i="14"/>
  <c r="FQ100" i="14"/>
  <c r="FQ97" i="14"/>
  <c r="FQ86" i="14"/>
  <c r="FQ93" i="14"/>
  <c r="FQ104" i="14"/>
  <c r="FQ87" i="14"/>
  <c r="FQ92" i="14"/>
  <c r="FQ95" i="14"/>
  <c r="FQ82" i="14"/>
  <c r="FQ98" i="14"/>
  <c r="FQ88" i="14"/>
  <c r="FQ83" i="14"/>
  <c r="FQ102" i="14"/>
  <c r="FQ101" i="14"/>
  <c r="FQ89" i="14"/>
  <c r="FQ94" i="14"/>
  <c r="FQ75" i="14"/>
  <c r="FQ90" i="14"/>
  <c r="IA80" i="14"/>
  <c r="IA84" i="14"/>
  <c r="FQ81" i="14"/>
  <c r="IA81" i="14"/>
  <c r="IA78" i="14"/>
  <c r="FQ80" i="14"/>
  <c r="IA79" i="14"/>
  <c r="IA83" i="14"/>
  <c r="IA76" i="14"/>
  <c r="FQ76" i="14"/>
  <c r="FQ79" i="14"/>
  <c r="IA77" i="14"/>
  <c r="FQ77" i="14"/>
  <c r="IA82" i="14"/>
  <c r="FQ78" i="14"/>
  <c r="IA75" i="14"/>
  <c r="CW49" i="38"/>
  <c r="Z50" i="40"/>
  <c r="CW97" i="38"/>
  <c r="Z98" i="40"/>
  <c r="CW66" i="38"/>
  <c r="Z67" i="40"/>
  <c r="CW106" i="38"/>
  <c r="Z107" i="40"/>
  <c r="CW96" i="38"/>
  <c r="Z97" i="40"/>
  <c r="CW47" i="38"/>
  <c r="Z48" i="40"/>
  <c r="CW111" i="38"/>
  <c r="Z112" i="40"/>
  <c r="CW76" i="38"/>
  <c r="Z77" i="40"/>
  <c r="CW130" i="38"/>
  <c r="Z131" i="40"/>
  <c r="CW79" i="38"/>
  <c r="Z80" i="40"/>
  <c r="CW68" i="38"/>
  <c r="Z69" i="40"/>
  <c r="CW112" i="38"/>
  <c r="Z113" i="40"/>
  <c r="CW128" i="38"/>
  <c r="Z129" i="40"/>
  <c r="CW92" i="38"/>
  <c r="Z93" i="40"/>
  <c r="CW105" i="38"/>
  <c r="Z106" i="40"/>
  <c r="CW45" i="38"/>
  <c r="Z46" i="40"/>
  <c r="CW144" i="38"/>
  <c r="Z145" i="40"/>
  <c r="CW58" i="38"/>
  <c r="Z59" i="40"/>
  <c r="CW113" i="38"/>
  <c r="Z114" i="40"/>
  <c r="CW55" i="38"/>
  <c r="Z56" i="40"/>
  <c r="CW65" i="38"/>
  <c r="Z66" i="40"/>
  <c r="CW59" i="38"/>
  <c r="Z60" i="40"/>
  <c r="CW46" i="38"/>
  <c r="Z47" i="40"/>
  <c r="CW70" i="38"/>
  <c r="Z71" i="40"/>
  <c r="CW62" i="38"/>
  <c r="Z63" i="40"/>
  <c r="BT59" i="43"/>
  <c r="Y27" i="45" s="1"/>
  <c r="BT65" i="43"/>
  <c r="Y33" i="45" s="1"/>
  <c r="BT58" i="43"/>
  <c r="Y26" i="45" s="1"/>
  <c r="CU71" i="38"/>
  <c r="CV71" i="38" s="1"/>
  <c r="CI135" i="38"/>
  <c r="CJ135" i="38" s="1"/>
  <c r="CK135" i="38" s="1"/>
  <c r="CL135" i="38" s="1"/>
  <c r="CM135" i="38" s="1"/>
  <c r="CN135" i="38" s="1"/>
  <c r="CO135" i="38" s="1"/>
  <c r="CP135" i="38" s="1"/>
  <c r="CX57" i="38"/>
  <c r="CW57" i="38"/>
  <c r="CQ109" i="38"/>
  <c r="CR109" i="38" s="1"/>
  <c r="CS109" i="38" s="1"/>
  <c r="CT109" i="38" s="1"/>
  <c r="CQ64" i="38"/>
  <c r="CR64" i="38" s="1"/>
  <c r="CS64" i="38" s="1"/>
  <c r="CT64" i="38" s="1"/>
  <c r="CW143" i="38"/>
  <c r="CX143" i="38"/>
  <c r="CW103" i="38"/>
  <c r="CX103" i="38"/>
  <c r="CQ137" i="38"/>
  <c r="CR137" i="38" s="1"/>
  <c r="CS137" i="38" s="1"/>
  <c r="CT137" i="38" s="1"/>
  <c r="CU137" i="38" s="1"/>
  <c r="CV137" i="38" s="1"/>
  <c r="CU110" i="38"/>
  <c r="CV110" i="38" s="1"/>
  <c r="CQ108" i="38"/>
  <c r="CR108" i="38" s="1"/>
  <c r="CS108" i="38" s="1"/>
  <c r="CT108" i="38" s="1"/>
  <c r="CU108" i="38" s="1"/>
  <c r="CV108" i="38" s="1"/>
  <c r="CU126" i="38"/>
  <c r="CV126" i="38" s="1"/>
  <c r="CM136" i="38"/>
  <c r="CN136" i="38" s="1"/>
  <c r="CO136" i="38" s="1"/>
  <c r="CP136" i="38" s="1"/>
  <c r="CQ136" i="38" s="1"/>
  <c r="CR136" i="38" s="1"/>
  <c r="CS136" i="38" s="1"/>
  <c r="CT136" i="38" s="1"/>
  <c r="CQ67" i="38"/>
  <c r="CR67" i="38" s="1"/>
  <c r="CS67" i="38" s="1"/>
  <c r="CT67" i="38" s="1"/>
  <c r="CI127" i="38"/>
  <c r="CJ127" i="38" s="1"/>
  <c r="CK127" i="38" s="1"/>
  <c r="CL127" i="38" s="1"/>
  <c r="CM127" i="38" s="1"/>
  <c r="CN127" i="38" s="1"/>
  <c r="CO127" i="38" s="1"/>
  <c r="CP127" i="38" s="1"/>
  <c r="CU134" i="38"/>
  <c r="CV134" i="38" s="1"/>
  <c r="CQ107" i="38"/>
  <c r="CR107" i="38" s="1"/>
  <c r="CS107" i="38" s="1"/>
  <c r="CT107" i="38" s="1"/>
  <c r="CU107" i="38" s="1"/>
  <c r="CV107" i="38" s="1"/>
  <c r="CU85" i="38"/>
  <c r="CV85" i="38" s="1"/>
  <c r="Z86" i="40" s="1"/>
  <c r="CI129" i="38"/>
  <c r="CJ129" i="38" s="1"/>
  <c r="CK129" i="38" s="1"/>
  <c r="CL129" i="38" s="1"/>
  <c r="CM129" i="38" s="1"/>
  <c r="CN129" i="38" s="1"/>
  <c r="CO129" i="38" s="1"/>
  <c r="CP129" i="38" s="1"/>
  <c r="CQ131" i="38"/>
  <c r="CR131" i="38" s="1"/>
  <c r="CS131" i="38" s="1"/>
  <c r="CT131" i="38" s="1"/>
  <c r="CU124" i="38"/>
  <c r="CV124" i="38" s="1"/>
  <c r="CQ69" i="38"/>
  <c r="CR69" i="38" s="1"/>
  <c r="CS69" i="38" s="1"/>
  <c r="CT69" i="38" s="1"/>
  <c r="CX94" i="38"/>
  <c r="CX46" i="38"/>
  <c r="CX96" i="38"/>
  <c r="CX49" i="38"/>
  <c r="CX98" i="38"/>
  <c r="CX79" i="38"/>
  <c r="CX133" i="38"/>
  <c r="CX89" i="38"/>
  <c r="CX123" i="38"/>
  <c r="IA104" i="14"/>
  <c r="CX66" i="38"/>
  <c r="CX80" i="38"/>
  <c r="CX74" i="38"/>
  <c r="CX48" i="38"/>
  <c r="CE44" i="38"/>
  <c r="IA99" i="14"/>
  <c r="CX45" i="38"/>
  <c r="CX117" i="38"/>
  <c r="IA100" i="14"/>
  <c r="IA103" i="14"/>
  <c r="IA87" i="14"/>
  <c r="IA90" i="14"/>
  <c r="IA102" i="14"/>
  <c r="IA109" i="14"/>
  <c r="IA97" i="14"/>
  <c r="CX81" i="38"/>
  <c r="CX138" i="38"/>
  <c r="CX95" i="38"/>
  <c r="CX51" i="38"/>
  <c r="CX101" i="38"/>
  <c r="CX122" i="38"/>
  <c r="CX53" i="38"/>
  <c r="CX92" i="38"/>
  <c r="CX112" i="38"/>
  <c r="CX116" i="38"/>
  <c r="CX84" i="38"/>
  <c r="IA92" i="14"/>
  <c r="IA95" i="14"/>
  <c r="IA85" i="14"/>
  <c r="IA107" i="14"/>
  <c r="IA98" i="14"/>
  <c r="IA94" i="14"/>
  <c r="IA96" i="14"/>
  <c r="IA106" i="14"/>
  <c r="IA89" i="14"/>
  <c r="IA108" i="14"/>
  <c r="IA101" i="14"/>
  <c r="IA105" i="14"/>
  <c r="IA91" i="14"/>
  <c r="IA86" i="14"/>
  <c r="IA88" i="14"/>
  <c r="AM63" i="15"/>
  <c r="AP63" i="15" s="1"/>
  <c r="BK61" i="38"/>
  <c r="AM50" i="15"/>
  <c r="AP50" i="15" s="1"/>
  <c r="BK48" i="38"/>
  <c r="AM48" i="15"/>
  <c r="AP48" i="15" s="1"/>
  <c r="BK46" i="38"/>
  <c r="AM57" i="15"/>
  <c r="AP57" i="15" s="1"/>
  <c r="BK55" i="38"/>
  <c r="AM61" i="15"/>
  <c r="AP61" i="15" s="1"/>
  <c r="BK59" i="38"/>
  <c r="AM68" i="15"/>
  <c r="AP68" i="15" s="1"/>
  <c r="BK66" i="38"/>
  <c r="AM49" i="15"/>
  <c r="AP49" i="15" s="1"/>
  <c r="BK47" i="38"/>
  <c r="AM52" i="15"/>
  <c r="AP52" i="15" s="1"/>
  <c r="BK50" i="38"/>
  <c r="AM65" i="15"/>
  <c r="AP65" i="15" s="1"/>
  <c r="BK63" i="38"/>
  <c r="AM62" i="15"/>
  <c r="AP62" i="15" s="1"/>
  <c r="BK60" i="38"/>
  <c r="AM59" i="15"/>
  <c r="AP59" i="15" s="1"/>
  <c r="BK57" i="38"/>
  <c r="AM47" i="15"/>
  <c r="AP47" i="15" s="1"/>
  <c r="BK45" i="38"/>
  <c r="AM46" i="15"/>
  <c r="AP46" i="15" s="1"/>
  <c r="BK44" i="38"/>
  <c r="AM51" i="15"/>
  <c r="AP51" i="15" s="1"/>
  <c r="BK49" i="38"/>
  <c r="AM54" i="15"/>
  <c r="AP54" i="15" s="1"/>
  <c r="BK52" i="38"/>
  <c r="AM60" i="15"/>
  <c r="AP60" i="15" s="1"/>
  <c r="BK58" i="38"/>
  <c r="AM56" i="15"/>
  <c r="AP56" i="15" s="1"/>
  <c r="BK54" i="38"/>
  <c r="AM64" i="15"/>
  <c r="AP64" i="15" s="1"/>
  <c r="BK62" i="38"/>
  <c r="AM58" i="15"/>
  <c r="AP58" i="15" s="1"/>
  <c r="BK56" i="38"/>
  <c r="AM53" i="15"/>
  <c r="AP53" i="15" s="1"/>
  <c r="BK51" i="38"/>
  <c r="IC68" i="14"/>
  <c r="IC62" i="14"/>
  <c r="IC63" i="14"/>
  <c r="IC65" i="14"/>
  <c r="IC64" i="14"/>
  <c r="IC67" i="14"/>
  <c r="IC69" i="14"/>
  <c r="IC66" i="14"/>
  <c r="IC60" i="14"/>
  <c r="FS102" i="14"/>
  <c r="FS75" i="14"/>
  <c r="FS74" i="14"/>
  <c r="FS103" i="14"/>
  <c r="IC88" i="14"/>
  <c r="IC87" i="14"/>
  <c r="IC72" i="14"/>
  <c r="IC74" i="14"/>
  <c r="FS78" i="14"/>
  <c r="FS99" i="14"/>
  <c r="FS87" i="14"/>
  <c r="IC61" i="14"/>
  <c r="IC79" i="14"/>
  <c r="IC80" i="14"/>
  <c r="IC70" i="14"/>
  <c r="FS66" i="14"/>
  <c r="FS68" i="14"/>
  <c r="FS62" i="14"/>
  <c r="FS63" i="14"/>
  <c r="FS69" i="14"/>
  <c r="FS67" i="14"/>
  <c r="FS64" i="14"/>
  <c r="FS60" i="14"/>
  <c r="FS65" i="14"/>
  <c r="FS81" i="14"/>
  <c r="FS105" i="14"/>
  <c r="IC73" i="14"/>
  <c r="FS95" i="14"/>
  <c r="FS76" i="14"/>
  <c r="FS82" i="14"/>
  <c r="FS77" i="14"/>
  <c r="FS91" i="14"/>
  <c r="FS92" i="14"/>
  <c r="FS96" i="14"/>
  <c r="IC81" i="14"/>
  <c r="IC84" i="14"/>
  <c r="FS72" i="14"/>
  <c r="FS71" i="14"/>
  <c r="FS90" i="14"/>
  <c r="FS85" i="14"/>
  <c r="IC71" i="14"/>
  <c r="IC89" i="14"/>
  <c r="FS101" i="14"/>
  <c r="FS84" i="14"/>
  <c r="FS83" i="14"/>
  <c r="FS97" i="14"/>
  <c r="FS98" i="14"/>
  <c r="FS89" i="14"/>
  <c r="IC83" i="14"/>
  <c r="IC75" i="14"/>
  <c r="FS61" i="14"/>
  <c r="FS73" i="14"/>
  <c r="FS70" i="14"/>
  <c r="FS80" i="14"/>
  <c r="FS104" i="14"/>
  <c r="IC76" i="14"/>
  <c r="IC77" i="14"/>
  <c r="FS93" i="14"/>
  <c r="FS100" i="14"/>
  <c r="FS94" i="14"/>
  <c r="FS79" i="14"/>
  <c r="FS86" i="14"/>
  <c r="FS88" i="14"/>
  <c r="IC90" i="14"/>
  <c r="IC82" i="14"/>
  <c r="IC86" i="14"/>
  <c r="IC78" i="14"/>
  <c r="IC85" i="14"/>
  <c r="AX143" i="38" l="1"/>
  <c r="AD93" i="38"/>
  <c r="AE118" i="38"/>
  <c r="AM125" i="15"/>
  <c r="AP125" i="15" s="1"/>
  <c r="AK97" i="15"/>
  <c r="AM97" i="15" s="1"/>
  <c r="AP97" i="15" s="1"/>
  <c r="AK123" i="15"/>
  <c r="AD116" i="38"/>
  <c r="AD98" i="38"/>
  <c r="AX98" i="38" s="1"/>
  <c r="AK113" i="15"/>
  <c r="AE113" i="38"/>
  <c r="AX113" i="38" s="1"/>
  <c r="AX55" i="38"/>
  <c r="BK118" i="38"/>
  <c r="AK122" i="15"/>
  <c r="AL108" i="15"/>
  <c r="AK105" i="15"/>
  <c r="AM100" i="15"/>
  <c r="AP100" i="15" s="1"/>
  <c r="AE103" i="38"/>
  <c r="AX74" i="38"/>
  <c r="AX142" i="38"/>
  <c r="AE99" i="38"/>
  <c r="AM135" i="15"/>
  <c r="AP135" i="15" s="1"/>
  <c r="BK83" i="38"/>
  <c r="AK109" i="15"/>
  <c r="AD133" i="38"/>
  <c r="AD122" i="38"/>
  <c r="AD94" i="38"/>
  <c r="AE98" i="38"/>
  <c r="AD102" i="38"/>
  <c r="AL98" i="15"/>
  <c r="AM98" i="15" s="1"/>
  <c r="AP98" i="15" s="1"/>
  <c r="AM55" i="15"/>
  <c r="AP55" i="15" s="1"/>
  <c r="AD114" i="38"/>
  <c r="AE90" i="38"/>
  <c r="AX90" i="38" s="1"/>
  <c r="AK84" i="15"/>
  <c r="AM84" i="15" s="1"/>
  <c r="AP84" i="15" s="1"/>
  <c r="BK130" i="38"/>
  <c r="AE117" i="38"/>
  <c r="AK93" i="15"/>
  <c r="AM93" i="15" s="1"/>
  <c r="AP93" i="15" s="1"/>
  <c r="AM104" i="15"/>
  <c r="AP104" i="15" s="1"/>
  <c r="AL99" i="15"/>
  <c r="BK97" i="38" s="1"/>
  <c r="AD131" i="38"/>
  <c r="AX131" i="38" s="1"/>
  <c r="AK108" i="15"/>
  <c r="BK106" i="38" s="1"/>
  <c r="AM87" i="15"/>
  <c r="AP87" i="15" s="1"/>
  <c r="BK109" i="38"/>
  <c r="AX132" i="38"/>
  <c r="AX72" i="38"/>
  <c r="AD96" i="38"/>
  <c r="AX96" i="38" s="1"/>
  <c r="AK134" i="15"/>
  <c r="BK132" i="38" s="1"/>
  <c r="AE88" i="38"/>
  <c r="AX88" i="38" s="1"/>
  <c r="AX87" i="38"/>
  <c r="AE110" i="38"/>
  <c r="BK141" i="38"/>
  <c r="AM67" i="15"/>
  <c r="AP67" i="15" s="1"/>
  <c r="AE104" i="38"/>
  <c r="AX104" i="38" s="1"/>
  <c r="AX69" i="38"/>
  <c r="AE133" i="38"/>
  <c r="AE82" i="38"/>
  <c r="AX82" i="38" s="1"/>
  <c r="AD99" i="38"/>
  <c r="AK106" i="15"/>
  <c r="AE95" i="38"/>
  <c r="AX95" i="38" s="1"/>
  <c r="U39" i="46"/>
  <c r="AE100" i="38"/>
  <c r="AX100" i="38" s="1"/>
  <c r="BK69" i="38"/>
  <c r="AL114" i="15"/>
  <c r="AM114" i="15" s="1"/>
  <c r="AP114" i="15" s="1"/>
  <c r="AM126" i="15"/>
  <c r="AP126" i="15" s="1"/>
  <c r="AL109" i="15"/>
  <c r="BK85" i="38"/>
  <c r="AD118" i="38"/>
  <c r="AX118" i="38" s="1"/>
  <c r="AX135" i="38"/>
  <c r="AX127" i="38"/>
  <c r="AX65" i="38"/>
  <c r="BK68" i="38"/>
  <c r="AE125" i="38"/>
  <c r="AX125" i="38" s="1"/>
  <c r="GJ61" i="14"/>
  <c r="AJ47" i="15" s="1"/>
  <c r="AN47" i="15" s="1"/>
  <c r="AQ47" i="15" s="1"/>
  <c r="BK102" i="38"/>
  <c r="AE102" i="38"/>
  <c r="AD112" i="38"/>
  <c r="AX112" i="38" s="1"/>
  <c r="AM85" i="15"/>
  <c r="AP85" i="15" s="1"/>
  <c r="AD108" i="38"/>
  <c r="AX108" i="38" s="1"/>
  <c r="AK117" i="15"/>
  <c r="AM117" i="15" s="1"/>
  <c r="AP117" i="15" s="1"/>
  <c r="BK87" i="38"/>
  <c r="AK92" i="15"/>
  <c r="AM92" i="15" s="1"/>
  <c r="AP92" i="15" s="1"/>
  <c r="AE83" i="38"/>
  <c r="AE92" i="38"/>
  <c r="AE101" i="38"/>
  <c r="AX101" i="38" s="1"/>
  <c r="AM143" i="15"/>
  <c r="AP143" i="15" s="1"/>
  <c r="BK67" i="38"/>
  <c r="AL83" i="15"/>
  <c r="AM83" i="15" s="1"/>
  <c r="AP83" i="15" s="1"/>
  <c r="AD97" i="38"/>
  <c r="AX97" i="38" s="1"/>
  <c r="IT74" i="14"/>
  <c r="AY60" i="15" s="1"/>
  <c r="BC60" i="15" s="1"/>
  <c r="BF60" i="15" s="1"/>
  <c r="BK72" i="38"/>
  <c r="AM137" i="15"/>
  <c r="AP137" i="15" s="1"/>
  <c r="AX81" i="38"/>
  <c r="AX67" i="38"/>
  <c r="AE85" i="38"/>
  <c r="AX85" i="38" s="1"/>
  <c r="AM75" i="15"/>
  <c r="AP75" i="15" s="1"/>
  <c r="AM140" i="15"/>
  <c r="AP140" i="15" s="1"/>
  <c r="AX83" i="38"/>
  <c r="AM90" i="15"/>
  <c r="AP90" i="15" s="1"/>
  <c r="AM70" i="15"/>
  <c r="AP70" i="15" s="1"/>
  <c r="AX70" i="38"/>
  <c r="AX77" i="38"/>
  <c r="AL79" i="15"/>
  <c r="AM79" i="15" s="1"/>
  <c r="AP79" i="15" s="1"/>
  <c r="BK74" i="38"/>
  <c r="AX137" i="38"/>
  <c r="AM101" i="15"/>
  <c r="AP101" i="15" s="1"/>
  <c r="AE86" i="38"/>
  <c r="AX86" i="38" s="1"/>
  <c r="AM88" i="15"/>
  <c r="AP88" i="15" s="1"/>
  <c r="BK92" i="38"/>
  <c r="AM94" i="15"/>
  <c r="AP94" i="15" s="1"/>
  <c r="BK88" i="38"/>
  <c r="AD92" i="38"/>
  <c r="BK76" i="38"/>
  <c r="BK117" i="38"/>
  <c r="AK127" i="15"/>
  <c r="AM127" i="15" s="1"/>
  <c r="AP127" i="15" s="1"/>
  <c r="BK75" i="38"/>
  <c r="AE115" i="38"/>
  <c r="AX115" i="38" s="1"/>
  <c r="AM80" i="15"/>
  <c r="AP80" i="15" s="1"/>
  <c r="AE79" i="38"/>
  <c r="AX79" i="38" s="1"/>
  <c r="AE78" i="38"/>
  <c r="AX78" i="38" s="1"/>
  <c r="BK114" i="38"/>
  <c r="AX91" i="38"/>
  <c r="AM111" i="15"/>
  <c r="AP111" i="15" s="1"/>
  <c r="BK89" i="38"/>
  <c r="AM91" i="15"/>
  <c r="AP91" i="15" s="1"/>
  <c r="AM77" i="15"/>
  <c r="AP77" i="15" s="1"/>
  <c r="AD117" i="38"/>
  <c r="AX117" i="38" s="1"/>
  <c r="AM138" i="15"/>
  <c r="AP138" i="15" s="1"/>
  <c r="AL118" i="15"/>
  <c r="AM118" i="15" s="1"/>
  <c r="AP118" i="15" s="1"/>
  <c r="BK86" i="38"/>
  <c r="AD109" i="38"/>
  <c r="AX109" i="38" s="1"/>
  <c r="AM78" i="15"/>
  <c r="AP78" i="15" s="1"/>
  <c r="AE89" i="38"/>
  <c r="AX89" i="38" s="1"/>
  <c r="AD119" i="38"/>
  <c r="AM119" i="15"/>
  <c r="AP119" i="15" s="1"/>
  <c r="AL96" i="15"/>
  <c r="AM96" i="15" s="1"/>
  <c r="AP96" i="15" s="1"/>
  <c r="AX140" i="38"/>
  <c r="AE76" i="38"/>
  <c r="AX76" i="38" s="1"/>
  <c r="AX94" i="38"/>
  <c r="AX75" i="38"/>
  <c r="AX93" i="38"/>
  <c r="AM81" i="15"/>
  <c r="AP81" i="15" s="1"/>
  <c r="AM82" i="15"/>
  <c r="AP82" i="15" s="1"/>
  <c r="BK80" i="38"/>
  <c r="FS106" i="14"/>
  <c r="FS109" i="14"/>
  <c r="FS108" i="14"/>
  <c r="AM72" i="15"/>
  <c r="AP72" i="15" s="1"/>
  <c r="AK102" i="15"/>
  <c r="BK100" i="38" s="1"/>
  <c r="BK78" i="38"/>
  <c r="AE80" i="38"/>
  <c r="AX80" i="38" s="1"/>
  <c r="IB91" i="14"/>
  <c r="FR92" i="14"/>
  <c r="GJ92" i="14" s="1"/>
  <c r="AJ78" i="15" s="1"/>
  <c r="AN78" i="15" s="1"/>
  <c r="AQ78" i="15" s="1"/>
  <c r="FS110" i="14"/>
  <c r="IC105" i="14"/>
  <c r="FS107" i="14"/>
  <c r="IC93" i="14"/>
  <c r="IC106" i="14"/>
  <c r="IC94" i="14"/>
  <c r="AE126" i="38"/>
  <c r="AL122" i="15"/>
  <c r="IC103" i="14"/>
  <c r="IC92" i="14"/>
  <c r="AX123" i="38"/>
  <c r="AX110" i="38"/>
  <c r="AK103" i="15"/>
  <c r="AM103" i="15" s="1"/>
  <c r="AP103" i="15" s="1"/>
  <c r="IC107" i="14"/>
  <c r="IC91" i="14"/>
  <c r="IC104" i="14"/>
  <c r="IC98" i="14"/>
  <c r="IC99" i="14"/>
  <c r="IC109" i="14"/>
  <c r="IC102" i="14"/>
  <c r="IC108" i="14"/>
  <c r="IC111" i="14"/>
  <c r="IC96" i="14"/>
  <c r="IC101" i="14"/>
  <c r="FS111" i="14"/>
  <c r="AM115" i="15"/>
  <c r="AP115" i="15" s="1"/>
  <c r="IC95" i="14"/>
  <c r="IC97" i="14"/>
  <c r="AM133" i="15"/>
  <c r="AP133" i="15" s="1"/>
  <c r="IC112" i="14"/>
  <c r="BK93" i="38"/>
  <c r="AX111" i="38"/>
  <c r="AX71" i="38"/>
  <c r="IC118" i="14"/>
  <c r="IB88" i="14"/>
  <c r="IT88" i="14" s="1"/>
  <c r="AY74" i="15" s="1"/>
  <c r="BC74" i="15" s="1"/>
  <c r="BD74" i="15" s="1"/>
  <c r="BG74" i="15" s="1"/>
  <c r="IC113" i="14"/>
  <c r="BK84" i="38"/>
  <c r="IT68" i="14"/>
  <c r="AY54" i="15" s="1"/>
  <c r="BC54" i="15" s="1"/>
  <c r="BD54" i="15" s="1"/>
  <c r="BG54" i="15" s="1"/>
  <c r="AM113" i="15"/>
  <c r="AP113" i="15" s="1"/>
  <c r="AX120" i="38"/>
  <c r="IB84" i="14"/>
  <c r="IT84" i="14" s="1"/>
  <c r="AY70" i="15" s="1"/>
  <c r="BC70" i="15" s="1"/>
  <c r="BD70" i="15" s="1"/>
  <c r="BG70" i="15" s="1"/>
  <c r="AM73" i="15"/>
  <c r="AP73" i="15" s="1"/>
  <c r="IC114" i="14"/>
  <c r="FS114" i="14"/>
  <c r="IC110" i="14"/>
  <c r="FS118" i="14"/>
  <c r="IC116" i="14"/>
  <c r="BK142" i="38"/>
  <c r="BK79" i="38"/>
  <c r="AM110" i="15"/>
  <c r="AP110" i="15" s="1"/>
  <c r="FS113" i="14"/>
  <c r="FS115" i="14"/>
  <c r="IC119" i="14"/>
  <c r="IC115" i="14"/>
  <c r="AX105" i="38"/>
  <c r="AX68" i="38"/>
  <c r="IC117" i="14"/>
  <c r="FS119" i="14"/>
  <c r="FS112" i="14"/>
  <c r="FS117" i="14"/>
  <c r="AX84" i="38"/>
  <c r="IB92" i="14"/>
  <c r="FR87" i="14"/>
  <c r="GJ87" i="14" s="1"/>
  <c r="AJ73" i="15" s="1"/>
  <c r="AN73" i="15" s="1"/>
  <c r="FR80" i="14"/>
  <c r="GJ80" i="14" s="1"/>
  <c r="AJ66" i="15" s="1"/>
  <c r="AN66" i="15" s="1"/>
  <c r="AQ66" i="15" s="1"/>
  <c r="FR88" i="14"/>
  <c r="GJ88" i="14" s="1"/>
  <c r="AJ74" i="15" s="1"/>
  <c r="AN74" i="15" s="1"/>
  <c r="AQ74" i="15" s="1"/>
  <c r="FR83" i="14"/>
  <c r="GJ83" i="14" s="1"/>
  <c r="AJ69" i="15" s="1"/>
  <c r="AN69" i="15" s="1"/>
  <c r="AQ69" i="15" s="1"/>
  <c r="FR81" i="14"/>
  <c r="GJ81" i="14" s="1"/>
  <c r="AC65" i="38" s="1"/>
  <c r="FR82" i="14"/>
  <c r="GJ82" i="14" s="1"/>
  <c r="AJ68" i="15" s="1"/>
  <c r="AN68" i="15" s="1"/>
  <c r="AQ68" i="15" s="1"/>
  <c r="FR85" i="14"/>
  <c r="GJ85" i="14" s="1"/>
  <c r="AJ71" i="15" s="1"/>
  <c r="AN71" i="15" s="1"/>
  <c r="AO71" i="15" s="1"/>
  <c r="AR71" i="15" s="1"/>
  <c r="FR86" i="14"/>
  <c r="GJ86" i="14" s="1"/>
  <c r="AJ72" i="15" s="1"/>
  <c r="AN72" i="15" s="1"/>
  <c r="AQ72" i="15" s="1"/>
  <c r="FR84" i="14"/>
  <c r="GJ84" i="14" s="1"/>
  <c r="AC68" i="38" s="1"/>
  <c r="FR89" i="14"/>
  <c r="GJ89" i="14" s="1"/>
  <c r="AJ75" i="15" s="1"/>
  <c r="AN75" i="15" s="1"/>
  <c r="IB89" i="14"/>
  <c r="IT89" i="14" s="1"/>
  <c r="AY75" i="15" s="1"/>
  <c r="BC75" i="15" s="1"/>
  <c r="BF75" i="15" s="1"/>
  <c r="BK71" i="38"/>
  <c r="IB87" i="14"/>
  <c r="IT87" i="14" s="1"/>
  <c r="AY73" i="15" s="1"/>
  <c r="BC73" i="15" s="1"/>
  <c r="BF73" i="15" s="1"/>
  <c r="IB94" i="14"/>
  <c r="IB86" i="14"/>
  <c r="IT86" i="14" s="1"/>
  <c r="AY72" i="15" s="1"/>
  <c r="BC72" i="15" s="1"/>
  <c r="BD72" i="15" s="1"/>
  <c r="BG72" i="15" s="1"/>
  <c r="AE128" i="38"/>
  <c r="AX128" i="38" s="1"/>
  <c r="BK134" i="38"/>
  <c r="FR91" i="14"/>
  <c r="GJ91" i="14" s="1"/>
  <c r="AJ77" i="15" s="1"/>
  <c r="AN77" i="15" s="1"/>
  <c r="AQ77" i="15" s="1"/>
  <c r="AX73" i="38"/>
  <c r="IB85" i="14"/>
  <c r="IT85" i="14" s="1"/>
  <c r="AY71" i="15" s="1"/>
  <c r="BC71" i="15" s="1"/>
  <c r="BF71" i="15" s="1"/>
  <c r="IB81" i="14"/>
  <c r="IT81" i="14" s="1"/>
  <c r="AY67" i="15" s="1"/>
  <c r="BC67" i="15" s="1"/>
  <c r="BF67" i="15" s="1"/>
  <c r="AX124" i="38"/>
  <c r="IB83" i="14"/>
  <c r="IT83" i="14" s="1"/>
  <c r="AY69" i="15" s="1"/>
  <c r="BC69" i="15" s="1"/>
  <c r="BD69" i="15" s="1"/>
  <c r="BG69" i="15" s="1"/>
  <c r="IB80" i="14"/>
  <c r="IT80" i="14" s="1"/>
  <c r="AJ64" i="38" s="1"/>
  <c r="IB82" i="14"/>
  <c r="IT82" i="14" s="1"/>
  <c r="AY68" i="15" s="1"/>
  <c r="BC68" i="15" s="1"/>
  <c r="BD68" i="15" s="1"/>
  <c r="BG68" i="15" s="1"/>
  <c r="IB90" i="14"/>
  <c r="IT90" i="14" s="1"/>
  <c r="AY76" i="15" s="1"/>
  <c r="BC76" i="15" s="1"/>
  <c r="BD76" i="15" s="1"/>
  <c r="BG76" i="15" s="1"/>
  <c r="FR98" i="14"/>
  <c r="GJ98" i="14" s="1"/>
  <c r="AC82" i="38" s="1"/>
  <c r="IB95" i="14"/>
  <c r="AM120" i="15"/>
  <c r="AP120" i="15" s="1"/>
  <c r="BK91" i="38"/>
  <c r="AM106" i="15"/>
  <c r="AP106" i="15" s="1"/>
  <c r="IB93" i="14"/>
  <c r="AE130" i="38"/>
  <c r="AX130" i="38" s="1"/>
  <c r="FR90" i="14"/>
  <c r="GJ90" i="14" s="1"/>
  <c r="AC74" i="38" s="1"/>
  <c r="FR93" i="14"/>
  <c r="GJ93" i="14" s="1"/>
  <c r="AJ79" i="15" s="1"/>
  <c r="AN79" i="15" s="1"/>
  <c r="BK113" i="38"/>
  <c r="BK144" i="38"/>
  <c r="AX114" i="38"/>
  <c r="AM107" i="15"/>
  <c r="AP107" i="15" s="1"/>
  <c r="BK139" i="38"/>
  <c r="BK124" i="38"/>
  <c r="AX103" i="38"/>
  <c r="GJ64" i="14"/>
  <c r="AC48" i="38" s="1"/>
  <c r="AX116" i="38"/>
  <c r="AD126" i="38"/>
  <c r="AM146" i="15"/>
  <c r="AP146" i="15" s="1"/>
  <c r="AM131" i="15"/>
  <c r="AP131" i="15" s="1"/>
  <c r="BK126" i="38"/>
  <c r="AD129" i="38"/>
  <c r="AX129" i="38" s="1"/>
  <c r="IB125" i="14"/>
  <c r="AM105" i="15"/>
  <c r="AP105" i="15" s="1"/>
  <c r="AM136" i="15"/>
  <c r="AP136" i="15" s="1"/>
  <c r="AX106" i="38"/>
  <c r="IB141" i="14"/>
  <c r="FR144" i="14"/>
  <c r="IB144" i="14"/>
  <c r="IB142" i="14"/>
  <c r="IB148" i="14"/>
  <c r="IB149" i="14"/>
  <c r="IB147" i="14"/>
  <c r="FR149" i="14"/>
  <c r="FR147" i="14"/>
  <c r="FR148" i="14"/>
  <c r="IB140" i="14"/>
  <c r="U38" i="1"/>
  <c r="U38" i="46"/>
  <c r="IB143" i="14"/>
  <c r="IB126" i="14"/>
  <c r="AX107" i="38"/>
  <c r="FR140" i="14"/>
  <c r="IB146" i="14"/>
  <c r="IB145" i="14"/>
  <c r="FR146" i="14"/>
  <c r="FR143" i="14"/>
  <c r="FR145" i="14"/>
  <c r="FR130" i="14"/>
  <c r="FR142" i="14"/>
  <c r="FR141" i="14"/>
  <c r="IB132" i="14"/>
  <c r="IB130" i="14"/>
  <c r="IB120" i="14"/>
  <c r="IB134" i="14"/>
  <c r="IB121" i="14"/>
  <c r="IB131" i="14"/>
  <c r="IB128" i="14"/>
  <c r="IB127" i="14"/>
  <c r="IB123" i="14"/>
  <c r="FR124" i="14"/>
  <c r="IB133" i="14"/>
  <c r="IB129" i="14"/>
  <c r="BK111" i="38"/>
  <c r="IT64" i="14"/>
  <c r="AY50" i="15" s="1"/>
  <c r="BC50" i="15" s="1"/>
  <c r="BF50" i="15" s="1"/>
  <c r="BK127" i="38"/>
  <c r="IT60" i="14"/>
  <c r="AY46" i="15" s="1"/>
  <c r="BC46" i="15" s="1"/>
  <c r="BF46" i="15" s="1"/>
  <c r="BK104" i="38"/>
  <c r="GJ73" i="14"/>
  <c r="AJ59" i="15" s="1"/>
  <c r="AN59" i="15" s="1"/>
  <c r="AQ59" i="15" s="1"/>
  <c r="AM132" i="15"/>
  <c r="AP132" i="15" s="1"/>
  <c r="BK143" i="38"/>
  <c r="BK129" i="38"/>
  <c r="GJ60" i="14"/>
  <c r="AJ46" i="15" s="1"/>
  <c r="AN46" i="15" s="1"/>
  <c r="AQ46" i="15" s="1"/>
  <c r="IT78" i="14"/>
  <c r="AY64" i="15" s="1"/>
  <c r="BC64" i="15" s="1"/>
  <c r="BD64" i="15" s="1"/>
  <c r="BG64" i="15" s="1"/>
  <c r="IT63" i="14"/>
  <c r="AY49" i="15" s="1"/>
  <c r="BC49" i="15" s="1"/>
  <c r="BD49" i="15" s="1"/>
  <c r="BG49" i="15" s="1"/>
  <c r="GJ78" i="14"/>
  <c r="AC62" i="38" s="1"/>
  <c r="FS143" i="14"/>
  <c r="GJ79" i="14"/>
  <c r="AJ65" i="15" s="1"/>
  <c r="AN65" i="15" s="1"/>
  <c r="AO65" i="15" s="1"/>
  <c r="AR65" i="15" s="1"/>
  <c r="BK138" i="38"/>
  <c r="AM128" i="15"/>
  <c r="AP128" i="15" s="1"/>
  <c r="GJ77" i="14"/>
  <c r="AJ63" i="15" s="1"/>
  <c r="AN63" i="15" s="1"/>
  <c r="AQ63" i="15" s="1"/>
  <c r="AM116" i="15"/>
  <c r="AP116" i="15" s="1"/>
  <c r="V38" i="46"/>
  <c r="FR112" i="14"/>
  <c r="BK110" i="38"/>
  <c r="GJ63" i="14"/>
  <c r="AJ49" i="15" s="1"/>
  <c r="AN49" i="15" s="1"/>
  <c r="AQ49" i="15" s="1"/>
  <c r="BK105" i="38"/>
  <c r="IT66" i="14"/>
  <c r="AY52" i="15" s="1"/>
  <c r="BC52" i="15" s="1"/>
  <c r="BF52" i="15" s="1"/>
  <c r="BK103" i="38"/>
  <c r="BK123" i="38"/>
  <c r="FS144" i="14"/>
  <c r="AM123" i="15"/>
  <c r="AP123" i="15" s="1"/>
  <c r="BK121" i="38"/>
  <c r="AM124" i="15"/>
  <c r="AP124" i="15" s="1"/>
  <c r="BK122" i="38"/>
  <c r="FS158" i="14"/>
  <c r="GJ158" i="14" s="1"/>
  <c r="AJ144" i="15" s="1"/>
  <c r="AN144" i="15" s="1"/>
  <c r="AO144" i="15" s="1"/>
  <c r="AR144" i="15" s="1"/>
  <c r="GJ67" i="14"/>
  <c r="AJ53" i="15" s="1"/>
  <c r="AN53" i="15" s="1"/>
  <c r="AQ53" i="15" s="1"/>
  <c r="IT70" i="14"/>
  <c r="AJ54" i="38" s="1"/>
  <c r="GJ75" i="14"/>
  <c r="AJ61" i="15" s="1"/>
  <c r="AN61" i="15" s="1"/>
  <c r="AO61" i="15" s="1"/>
  <c r="AR61" i="15" s="1"/>
  <c r="IT67" i="14"/>
  <c r="AY53" i="15" s="1"/>
  <c r="BC53" i="15" s="1"/>
  <c r="BD53" i="15" s="1"/>
  <c r="BG53" i="15" s="1"/>
  <c r="AM142" i="15"/>
  <c r="AP142" i="15" s="1"/>
  <c r="AE122" i="38"/>
  <c r="FS127" i="14"/>
  <c r="IT72" i="14"/>
  <c r="AJ56" i="38" s="1"/>
  <c r="BK128" i="38"/>
  <c r="BK137" i="38"/>
  <c r="IT79" i="14"/>
  <c r="AY65" i="15" s="1"/>
  <c r="BC65" i="15" s="1"/>
  <c r="BF65" i="15" s="1"/>
  <c r="IC153" i="14"/>
  <c r="IT153" i="14" s="1"/>
  <c r="AY139" i="15" s="1"/>
  <c r="BC139" i="15" s="1"/>
  <c r="BD139" i="15" s="1"/>
  <c r="BG139" i="15" s="1"/>
  <c r="AE121" i="38"/>
  <c r="AX121" i="38" s="1"/>
  <c r="FS152" i="14"/>
  <c r="GJ152" i="14" s="1"/>
  <c r="AJ138" i="15" s="1"/>
  <c r="AN138" i="15" s="1"/>
  <c r="AQ138" i="15" s="1"/>
  <c r="GJ72" i="14"/>
  <c r="AJ58" i="15" s="1"/>
  <c r="AN58" i="15" s="1"/>
  <c r="AQ58" i="15" s="1"/>
  <c r="GJ74" i="14"/>
  <c r="AJ60" i="15" s="1"/>
  <c r="AN60" i="15" s="1"/>
  <c r="AQ60" i="15" s="1"/>
  <c r="GJ70" i="14"/>
  <c r="AJ56" i="15" s="1"/>
  <c r="AN56" i="15" s="1"/>
  <c r="AQ56" i="15" s="1"/>
  <c r="BK98" i="38"/>
  <c r="BK131" i="38"/>
  <c r="IB122" i="14"/>
  <c r="IB114" i="14"/>
  <c r="IT76" i="14"/>
  <c r="AY62" i="15" s="1"/>
  <c r="BC62" i="15" s="1"/>
  <c r="BD62" i="15" s="1"/>
  <c r="BG62" i="15" s="1"/>
  <c r="IT61" i="14"/>
  <c r="AY47" i="15" s="1"/>
  <c r="BC47" i="15" s="1"/>
  <c r="BF47" i="15" s="1"/>
  <c r="BK108" i="38"/>
  <c r="BK99" i="38"/>
  <c r="IT71" i="14"/>
  <c r="AJ55" i="38" s="1"/>
  <c r="IT75" i="14"/>
  <c r="AY61" i="15" s="1"/>
  <c r="BC61" i="15" s="1"/>
  <c r="BD61" i="15" s="1"/>
  <c r="BG61" i="15" s="1"/>
  <c r="H54" i="16"/>
  <c r="W40" i="46" s="1"/>
  <c r="FS137" i="14"/>
  <c r="FS138" i="14"/>
  <c r="FS153" i="14"/>
  <c r="GJ153" i="14" s="1"/>
  <c r="AJ139" i="15" s="1"/>
  <c r="AN139" i="15" s="1"/>
  <c r="AO139" i="15" s="1"/>
  <c r="AR139" i="15" s="1"/>
  <c r="FS128" i="14"/>
  <c r="GJ76" i="14"/>
  <c r="AJ62" i="15" s="1"/>
  <c r="AN62" i="15" s="1"/>
  <c r="AQ62" i="15" s="1"/>
  <c r="FS123" i="14"/>
  <c r="IB112" i="14"/>
  <c r="IT77" i="14"/>
  <c r="AY63" i="15" s="1"/>
  <c r="BC63" i="15" s="1"/>
  <c r="BD63" i="15" s="1"/>
  <c r="BG63" i="15" s="1"/>
  <c r="IB111" i="14"/>
  <c r="IB117" i="14"/>
  <c r="FS135" i="14"/>
  <c r="FS125" i="14"/>
  <c r="FS142" i="14"/>
  <c r="FS133" i="14"/>
  <c r="BK64" i="38"/>
  <c r="BK136" i="38"/>
  <c r="BK133" i="38"/>
  <c r="IB110" i="14"/>
  <c r="IB118" i="14"/>
  <c r="FS146" i="14"/>
  <c r="FS156" i="14"/>
  <c r="GJ156" i="14" s="1"/>
  <c r="AC140" i="38" s="1"/>
  <c r="FS149" i="14"/>
  <c r="FS134" i="14"/>
  <c r="IB116" i="14"/>
  <c r="IB119" i="14"/>
  <c r="FS157" i="14"/>
  <c r="GJ157" i="14" s="1"/>
  <c r="AJ143" i="15" s="1"/>
  <c r="AN143" i="15" s="1"/>
  <c r="GJ71" i="14"/>
  <c r="AJ57" i="15" s="1"/>
  <c r="AN57" i="15" s="1"/>
  <c r="AO57" i="15" s="1"/>
  <c r="AR57" i="15" s="1"/>
  <c r="FS151" i="14"/>
  <c r="GJ151" i="14" s="1"/>
  <c r="AJ137" i="15" s="1"/>
  <c r="AN137" i="15" s="1"/>
  <c r="FS139" i="14"/>
  <c r="FS160" i="14"/>
  <c r="GJ160" i="14" s="1"/>
  <c r="AJ146" i="15" s="1"/>
  <c r="AN146" i="15" s="1"/>
  <c r="AQ146" i="15" s="1"/>
  <c r="FS141" i="14"/>
  <c r="FS147" i="14"/>
  <c r="FS145" i="14"/>
  <c r="FS121" i="14"/>
  <c r="IT73" i="14"/>
  <c r="AJ57" i="38" s="1"/>
  <c r="IB113" i="14"/>
  <c r="IB115" i="14"/>
  <c r="FS140" i="14"/>
  <c r="IC146" i="14"/>
  <c r="FS132" i="14"/>
  <c r="GJ68" i="14"/>
  <c r="AC52" i="38" s="1"/>
  <c r="IT62" i="14"/>
  <c r="AY48" i="15" s="1"/>
  <c r="BC48" i="15" s="1"/>
  <c r="BD48" i="15" s="1"/>
  <c r="BG48" i="15" s="1"/>
  <c r="IB124" i="14"/>
  <c r="FS159" i="14"/>
  <c r="GJ159" i="14" s="1"/>
  <c r="AJ145" i="15" s="1"/>
  <c r="AN145" i="15" s="1"/>
  <c r="AO145" i="15" s="1"/>
  <c r="AR145" i="15" s="1"/>
  <c r="FS136" i="14"/>
  <c r="FS150" i="14"/>
  <c r="GJ150" i="14" s="1"/>
  <c r="AC134" i="38" s="1"/>
  <c r="FS131" i="14"/>
  <c r="IC122" i="14"/>
  <c r="IB105" i="14"/>
  <c r="IC149" i="14"/>
  <c r="IC152" i="14"/>
  <c r="IT152" i="14" s="1"/>
  <c r="AY138" i="15" s="1"/>
  <c r="BC138" i="15" s="1"/>
  <c r="BD138" i="15" s="1"/>
  <c r="BG138" i="15" s="1"/>
  <c r="IC150" i="14"/>
  <c r="IT150" i="14" s="1"/>
  <c r="AY136" i="15" s="1"/>
  <c r="BC136" i="15" s="1"/>
  <c r="BD136" i="15" s="1"/>
  <c r="BG136" i="15" s="1"/>
  <c r="IC137" i="14"/>
  <c r="IC142" i="14"/>
  <c r="IC143" i="14"/>
  <c r="IC138" i="14"/>
  <c r="IC144" i="14"/>
  <c r="IC159" i="14"/>
  <c r="IT159" i="14" s="1"/>
  <c r="AY145" i="15" s="1"/>
  <c r="BC145" i="15" s="1"/>
  <c r="BF145" i="15" s="1"/>
  <c r="IC160" i="14"/>
  <c r="IT160" i="14" s="1"/>
  <c r="AY146" i="15" s="1"/>
  <c r="BC146" i="15" s="1"/>
  <c r="BF146" i="15" s="1"/>
  <c r="IC133" i="14"/>
  <c r="IT65" i="14"/>
  <c r="AY51" i="15" s="1"/>
  <c r="BC51" i="15" s="1"/>
  <c r="BD51" i="15" s="1"/>
  <c r="BG51" i="15" s="1"/>
  <c r="IC145" i="14"/>
  <c r="IC156" i="14"/>
  <c r="IT156" i="14" s="1"/>
  <c r="AJ140" i="38" s="1"/>
  <c r="IC158" i="14"/>
  <c r="IT158" i="14" s="1"/>
  <c r="AY144" i="15" s="1"/>
  <c r="BC144" i="15" s="1"/>
  <c r="BD144" i="15" s="1"/>
  <c r="BG144" i="15" s="1"/>
  <c r="IC148" i="14"/>
  <c r="IC154" i="14"/>
  <c r="IT154" i="14" s="1"/>
  <c r="AY140" i="15" s="1"/>
  <c r="BC140" i="15" s="1"/>
  <c r="BD140" i="15" s="1"/>
  <c r="BG140" i="15" s="1"/>
  <c r="IC155" i="14"/>
  <c r="IT155" i="14" s="1"/>
  <c r="AY141" i="15" s="1"/>
  <c r="BC141" i="15" s="1"/>
  <c r="BD141" i="15" s="1"/>
  <c r="BG141" i="15" s="1"/>
  <c r="GJ62" i="14"/>
  <c r="AJ48" i="15" s="1"/>
  <c r="AN48" i="15" s="1"/>
  <c r="AO48" i="15" s="1"/>
  <c r="AR48" i="15" s="1"/>
  <c r="IC125" i="14"/>
  <c r="IC139" i="14"/>
  <c r="IC147" i="14"/>
  <c r="IC131" i="14"/>
  <c r="IB107" i="14"/>
  <c r="IC127" i="14"/>
  <c r="FS120" i="14"/>
  <c r="IC124" i="14"/>
  <c r="IC121" i="14"/>
  <c r="IC129" i="14"/>
  <c r="IC134" i="14"/>
  <c r="IC126" i="14"/>
  <c r="FS154" i="14"/>
  <c r="GJ154" i="14" s="1"/>
  <c r="AJ140" i="15" s="1"/>
  <c r="AN140" i="15" s="1"/>
  <c r="AQ140" i="15" s="1"/>
  <c r="IC140" i="14"/>
  <c r="FS148" i="14"/>
  <c r="IC151" i="14"/>
  <c r="IT151" i="14" s="1"/>
  <c r="AY137" i="15" s="1"/>
  <c r="BC137" i="15" s="1"/>
  <c r="BF137" i="15" s="1"/>
  <c r="IC135" i="14"/>
  <c r="FS129" i="14"/>
  <c r="FS124" i="14"/>
  <c r="FS122" i="14"/>
  <c r="GJ66" i="14"/>
  <c r="AJ52" i="15" s="1"/>
  <c r="AN52" i="15" s="1"/>
  <c r="AO52" i="15" s="1"/>
  <c r="AR52" i="15" s="1"/>
  <c r="FS130" i="14"/>
  <c r="GJ69" i="14"/>
  <c r="AJ55" i="15" s="1"/>
  <c r="AN55" i="15" s="1"/>
  <c r="AQ55" i="15" s="1"/>
  <c r="IC120" i="14"/>
  <c r="FS155" i="14"/>
  <c r="GJ155" i="14" s="1"/>
  <c r="AJ141" i="15" s="1"/>
  <c r="AN141" i="15" s="1"/>
  <c r="AO141" i="15" s="1"/>
  <c r="AR141" i="15" s="1"/>
  <c r="IC136" i="14"/>
  <c r="IC141" i="14"/>
  <c r="IC157" i="14"/>
  <c r="IT157" i="14" s="1"/>
  <c r="AY143" i="15" s="1"/>
  <c r="BC143" i="15" s="1"/>
  <c r="BD143" i="15" s="1"/>
  <c r="BG143" i="15" s="1"/>
  <c r="IC130" i="14"/>
  <c r="IC128" i="14"/>
  <c r="FS126" i="14"/>
  <c r="IC132" i="14"/>
  <c r="IC123" i="14"/>
  <c r="IB106" i="14"/>
  <c r="IB108" i="14"/>
  <c r="IB109" i="14"/>
  <c r="IB99" i="14"/>
  <c r="IB103" i="14"/>
  <c r="IB101" i="14"/>
  <c r="H21" i="16"/>
  <c r="W36" i="46" s="1"/>
  <c r="FR132" i="14"/>
  <c r="FR116" i="14"/>
  <c r="GJ116" i="14" s="1"/>
  <c r="AC100" i="38" s="1"/>
  <c r="FR114" i="14"/>
  <c r="FR122" i="14"/>
  <c r="IB100" i="14"/>
  <c r="IT100" i="14" s="1"/>
  <c r="AY86" i="15" s="1"/>
  <c r="BC86" i="15" s="1"/>
  <c r="BF86" i="15" s="1"/>
  <c r="FR134" i="14"/>
  <c r="FR131" i="14"/>
  <c r="FR119" i="14"/>
  <c r="FR110" i="14"/>
  <c r="FR123" i="14"/>
  <c r="FR127" i="14"/>
  <c r="FR105" i="14"/>
  <c r="GJ105" i="14" s="1"/>
  <c r="FR104" i="14"/>
  <c r="GJ104" i="14" s="1"/>
  <c r="FR121" i="14"/>
  <c r="FR120" i="14"/>
  <c r="FR126" i="14"/>
  <c r="FR109" i="14"/>
  <c r="FR102" i="14"/>
  <c r="GJ102" i="14" s="1"/>
  <c r="IB98" i="14"/>
  <c r="IT69" i="14"/>
  <c r="AY55" i="15" s="1"/>
  <c r="BC55" i="15" s="1"/>
  <c r="BF55" i="15" s="1"/>
  <c r="FR111" i="14"/>
  <c r="FR115" i="14"/>
  <c r="FR125" i="14"/>
  <c r="FR108" i="14"/>
  <c r="FR101" i="14"/>
  <c r="GJ101" i="14" s="1"/>
  <c r="FR97" i="14"/>
  <c r="GJ97" i="14" s="1"/>
  <c r="IB104" i="14"/>
  <c r="FR94" i="14"/>
  <c r="GJ94" i="14" s="1"/>
  <c r="FR139" i="14"/>
  <c r="FR138" i="14"/>
  <c r="FR136" i="14"/>
  <c r="FR135" i="14"/>
  <c r="FR137" i="14"/>
  <c r="GJ65" i="14"/>
  <c r="AJ51" i="15" s="1"/>
  <c r="AN51" i="15" s="1"/>
  <c r="AQ51" i="15" s="1"/>
  <c r="FR117" i="14"/>
  <c r="FR129" i="14"/>
  <c r="FR113" i="14"/>
  <c r="FR106" i="14"/>
  <c r="FR100" i="14"/>
  <c r="GJ100" i="14" s="1"/>
  <c r="FR103" i="14"/>
  <c r="GJ103" i="14" s="1"/>
  <c r="IB137" i="14"/>
  <c r="IB135" i="14"/>
  <c r="IB138" i="14"/>
  <c r="IB136" i="14"/>
  <c r="IB139" i="14"/>
  <c r="AL121" i="15"/>
  <c r="AM121" i="15" s="1"/>
  <c r="AP121" i="15" s="1"/>
  <c r="AE119" i="38"/>
  <c r="FR128" i="14"/>
  <c r="FR133" i="14"/>
  <c r="FR118" i="14"/>
  <c r="FR107" i="14"/>
  <c r="IB102" i="14"/>
  <c r="FR99" i="14"/>
  <c r="GJ99" i="14" s="1"/>
  <c r="FR96" i="14"/>
  <c r="GJ96" i="14" s="1"/>
  <c r="IB97" i="14"/>
  <c r="IB96" i="14"/>
  <c r="FR95" i="14"/>
  <c r="GJ95" i="14" s="1"/>
  <c r="V39" i="1"/>
  <c r="V39" i="46"/>
  <c r="H22" i="16"/>
  <c r="W37" i="46" s="1"/>
  <c r="CW134" i="38"/>
  <c r="Z135" i="40"/>
  <c r="CW71" i="38"/>
  <c r="Z72" i="40"/>
  <c r="CW124" i="38"/>
  <c r="Z125" i="40"/>
  <c r="CW126" i="38"/>
  <c r="Z127" i="40"/>
  <c r="CW108" i="38"/>
  <c r="Z109" i="40"/>
  <c r="CW110" i="38"/>
  <c r="Z111" i="40"/>
  <c r="CW107" i="38"/>
  <c r="Z108" i="40"/>
  <c r="CW137" i="38"/>
  <c r="Z138" i="40"/>
  <c r="BT51" i="43"/>
  <c r="Y19" i="45" s="1"/>
  <c r="BT61" i="43"/>
  <c r="Y29" i="45" s="1"/>
  <c r="BT52" i="43"/>
  <c r="Y20" i="45" s="1"/>
  <c r="BT62" i="43"/>
  <c r="Y30" i="45" s="1"/>
  <c r="CU64" i="38"/>
  <c r="CV64" i="38" s="1"/>
  <c r="CQ127" i="38"/>
  <c r="CR127" i="38" s="1"/>
  <c r="CS127" i="38" s="1"/>
  <c r="CT127" i="38" s="1"/>
  <c r="CU127" i="38" s="1"/>
  <c r="CV127" i="38" s="1"/>
  <c r="Z128" i="40" s="1"/>
  <c r="CU109" i="38"/>
  <c r="CV109" i="38" s="1"/>
  <c r="Z110" i="40" s="1"/>
  <c r="CU131" i="38"/>
  <c r="CV131" i="38" s="1"/>
  <c r="CU67" i="38"/>
  <c r="CV67" i="38" s="1"/>
  <c r="CQ129" i="38"/>
  <c r="CR129" i="38" s="1"/>
  <c r="CS129" i="38" s="1"/>
  <c r="CT129" i="38" s="1"/>
  <c r="CU129" i="38" s="1"/>
  <c r="CV129" i="38" s="1"/>
  <c r="CW85" i="38"/>
  <c r="CX85" i="38"/>
  <c r="CQ135" i="38"/>
  <c r="CR135" i="38" s="1"/>
  <c r="CS135" i="38" s="1"/>
  <c r="CT135" i="38" s="1"/>
  <c r="CU69" i="38"/>
  <c r="CV69" i="38" s="1"/>
  <c r="Z70" i="40" s="1"/>
  <c r="CU136" i="38"/>
  <c r="CV136" i="38" s="1"/>
  <c r="CX90" i="38"/>
  <c r="CX119" i="38"/>
  <c r="CX104" i="38"/>
  <c r="CX73" i="38"/>
  <c r="CX141" i="38"/>
  <c r="CX75" i="38"/>
  <c r="CX97" i="38"/>
  <c r="CX140" i="38"/>
  <c r="CX111" i="38"/>
  <c r="CF44" i="38"/>
  <c r="CG44" i="38" s="1"/>
  <c r="CH44" i="38" s="1"/>
  <c r="CX144" i="38"/>
  <c r="CX100" i="38"/>
  <c r="CX70" i="38"/>
  <c r="CX91" i="38"/>
  <c r="CX65" i="38"/>
  <c r="CX76" i="38"/>
  <c r="CX58" i="38"/>
  <c r="CX54" i="38"/>
  <c r="CX61" i="38"/>
  <c r="CX50" i="38"/>
  <c r="CX110" i="38"/>
  <c r="CX59" i="38"/>
  <c r="CX72" i="38"/>
  <c r="CX142" i="38"/>
  <c r="CX68" i="38"/>
  <c r="CX125" i="38"/>
  <c r="CX106" i="38"/>
  <c r="CX87" i="38"/>
  <c r="CX113" i="38"/>
  <c r="CX83" i="38"/>
  <c r="CX102" i="38"/>
  <c r="CX55" i="38"/>
  <c r="CX63" i="38"/>
  <c r="CX114" i="38"/>
  <c r="CX77" i="38"/>
  <c r="CX137" i="38"/>
  <c r="CX78" i="38"/>
  <c r="H55" i="16"/>
  <c r="W41" i="46" s="1"/>
  <c r="AJ64" i="15"/>
  <c r="AN64" i="15" s="1"/>
  <c r="AQ64" i="15" s="1"/>
  <c r="AX102" i="38" l="1"/>
  <c r="AM122" i="15"/>
  <c r="AP122" i="15" s="1"/>
  <c r="BK95" i="38"/>
  <c r="AM108" i="15"/>
  <c r="AP108" i="15" s="1"/>
  <c r="AM99" i="15"/>
  <c r="AP99" i="15" s="1"/>
  <c r="BK96" i="38"/>
  <c r="AX99" i="38"/>
  <c r="AX133" i="38"/>
  <c r="BK82" i="38"/>
  <c r="BK107" i="38"/>
  <c r="IT107" i="14"/>
  <c r="AY93" i="15" s="1"/>
  <c r="BC93" i="15" s="1"/>
  <c r="BD93" i="15" s="1"/>
  <c r="BG93" i="15" s="1"/>
  <c r="AX122" i="38"/>
  <c r="AM134" i="15"/>
  <c r="AP134" i="15" s="1"/>
  <c r="BK112" i="38"/>
  <c r="BK115" i="38"/>
  <c r="IT106" i="14"/>
  <c r="AY92" i="15" s="1"/>
  <c r="BC92" i="15" s="1"/>
  <c r="BF92" i="15" s="1"/>
  <c r="IT116" i="14"/>
  <c r="AJ100" i="38" s="1"/>
  <c r="AJ46" i="38"/>
  <c r="GJ110" i="14"/>
  <c r="BK125" i="38"/>
  <c r="BK116" i="38"/>
  <c r="GJ138" i="14"/>
  <c r="AC122" i="38" s="1"/>
  <c r="GJ121" i="14"/>
  <c r="AC105" i="38" s="1"/>
  <c r="AO137" i="15"/>
  <c r="AR137" i="15" s="1"/>
  <c r="IT102" i="14"/>
  <c r="AY88" i="15" s="1"/>
  <c r="BC88" i="15" s="1"/>
  <c r="BD88" i="15" s="1"/>
  <c r="BG88" i="15" s="1"/>
  <c r="IT108" i="14"/>
  <c r="AJ92" i="38" s="1"/>
  <c r="BK81" i="38"/>
  <c r="AO75" i="15"/>
  <c r="AR75" i="15" s="1"/>
  <c r="BK90" i="38"/>
  <c r="BK77" i="38"/>
  <c r="AO79" i="15"/>
  <c r="AR79" i="15" s="1"/>
  <c r="AC45" i="38"/>
  <c r="AM109" i="15"/>
  <c r="AP109" i="15" s="1"/>
  <c r="AO73" i="15"/>
  <c r="AR73" i="15" s="1"/>
  <c r="IT94" i="14"/>
  <c r="AJ78" i="38" s="1"/>
  <c r="AJ58" i="38"/>
  <c r="IT97" i="14"/>
  <c r="AY83" i="15" s="1"/>
  <c r="BC83" i="15" s="1"/>
  <c r="BF83" i="15" s="1"/>
  <c r="IT118" i="14"/>
  <c r="AY104" i="15" s="1"/>
  <c r="BC104" i="15" s="1"/>
  <c r="BF104" i="15" s="1"/>
  <c r="IT117" i="14"/>
  <c r="AY103" i="15" s="1"/>
  <c r="BC103" i="15" s="1"/>
  <c r="BD103" i="15" s="1"/>
  <c r="BG103" i="15" s="1"/>
  <c r="GJ112" i="14"/>
  <c r="AJ98" i="15" s="1"/>
  <c r="AN98" i="15" s="1"/>
  <c r="AQ98" i="15" s="1"/>
  <c r="IT92" i="14"/>
  <c r="AY78" i="15" s="1"/>
  <c r="BC78" i="15" s="1"/>
  <c r="BD78" i="15" s="1"/>
  <c r="BG78" i="15" s="1"/>
  <c r="AX92" i="38"/>
  <c r="IT145" i="14"/>
  <c r="AY131" i="15" s="1"/>
  <c r="BC131" i="15" s="1"/>
  <c r="BF131" i="15" s="1"/>
  <c r="GJ108" i="14"/>
  <c r="AC92" i="38" s="1"/>
  <c r="GJ141" i="14"/>
  <c r="AC125" i="38" s="1"/>
  <c r="IT140" i="14"/>
  <c r="AJ124" i="38" s="1"/>
  <c r="IT144" i="14"/>
  <c r="AY130" i="15" s="1"/>
  <c r="BC130" i="15" s="1"/>
  <c r="BF130" i="15" s="1"/>
  <c r="AO143" i="15"/>
  <c r="AR143" i="15" s="1"/>
  <c r="BT143" i="15" s="1"/>
  <c r="R142" i="40" s="1"/>
  <c r="IT103" i="14"/>
  <c r="AJ87" i="38" s="1"/>
  <c r="IT104" i="14"/>
  <c r="AY90" i="15" s="1"/>
  <c r="BC90" i="15" s="1"/>
  <c r="BD90" i="15" s="1"/>
  <c r="BG90" i="15" s="1"/>
  <c r="IT96" i="14"/>
  <c r="AY82" i="15" s="1"/>
  <c r="BC82" i="15" s="1"/>
  <c r="BF82" i="15" s="1"/>
  <c r="AX119" i="38"/>
  <c r="IT105" i="14"/>
  <c r="AJ89" i="38" s="1"/>
  <c r="AJ136" i="15"/>
  <c r="AN136" i="15" s="1"/>
  <c r="AQ136" i="15" s="1"/>
  <c r="BK120" i="38"/>
  <c r="GJ109" i="14"/>
  <c r="AJ95" i="15" s="1"/>
  <c r="AN95" i="15" s="1"/>
  <c r="AQ95" i="15" s="1"/>
  <c r="IT111" i="14"/>
  <c r="AJ95" i="38" s="1"/>
  <c r="GJ119" i="14"/>
  <c r="AJ105" i="15" s="1"/>
  <c r="AN105" i="15" s="1"/>
  <c r="AQ105" i="15" s="1"/>
  <c r="IT93" i="14"/>
  <c r="AY79" i="15" s="1"/>
  <c r="BC79" i="15" s="1"/>
  <c r="BF79" i="15" s="1"/>
  <c r="AC47" i="38"/>
  <c r="AJ52" i="38"/>
  <c r="IT146" i="14"/>
  <c r="AJ130" i="38" s="1"/>
  <c r="IT91" i="14"/>
  <c r="AJ75" i="38" s="1"/>
  <c r="GJ118" i="14"/>
  <c r="AC102" i="38" s="1"/>
  <c r="GJ111" i="14"/>
  <c r="AC95" i="38" s="1"/>
  <c r="GJ140" i="14"/>
  <c r="AC124" i="38" s="1"/>
  <c r="GJ123" i="14"/>
  <c r="AJ109" i="15" s="1"/>
  <c r="AN109" i="15" s="1"/>
  <c r="AQ109" i="15" s="1"/>
  <c r="IT109" i="14"/>
  <c r="AJ93" i="38" s="1"/>
  <c r="IT115" i="14"/>
  <c r="AY101" i="15" s="1"/>
  <c r="BC101" i="15" s="1"/>
  <c r="BF101" i="15" s="1"/>
  <c r="BK94" i="38"/>
  <c r="BK101" i="38"/>
  <c r="GJ133" i="14"/>
  <c r="AJ119" i="15" s="1"/>
  <c r="AN119" i="15" s="1"/>
  <c r="AO119" i="15" s="1"/>
  <c r="AR119" i="15" s="1"/>
  <c r="AX126" i="38"/>
  <c r="AJ50" i="15"/>
  <c r="AN50" i="15" s="1"/>
  <c r="AO50" i="15" s="1"/>
  <c r="AR50" i="15" s="1"/>
  <c r="GJ106" i="14"/>
  <c r="AC90" i="38" s="1"/>
  <c r="IT95" i="14"/>
  <c r="AY81" i="15" s="1"/>
  <c r="BC81" i="15" s="1"/>
  <c r="BD81" i="15" s="1"/>
  <c r="BG81" i="15" s="1"/>
  <c r="IT101" i="14"/>
  <c r="AY87" i="15" s="1"/>
  <c r="BC87" i="15" s="1"/>
  <c r="BF87" i="15" s="1"/>
  <c r="GJ107" i="14"/>
  <c r="AC91" i="38" s="1"/>
  <c r="GJ117" i="14"/>
  <c r="AJ103" i="15" s="1"/>
  <c r="AN103" i="15" s="1"/>
  <c r="AQ103" i="15" s="1"/>
  <c r="IT112" i="14"/>
  <c r="AY98" i="15" s="1"/>
  <c r="BC98" i="15" s="1"/>
  <c r="BD98" i="15" s="1"/>
  <c r="BG98" i="15" s="1"/>
  <c r="AM102" i="15"/>
  <c r="AP102" i="15" s="1"/>
  <c r="GJ149" i="14"/>
  <c r="AJ135" i="15" s="1"/>
  <c r="AN135" i="15" s="1"/>
  <c r="AO135" i="15" s="1"/>
  <c r="AR135" i="15" s="1"/>
  <c r="IT121" i="14"/>
  <c r="AY107" i="15" s="1"/>
  <c r="BC107" i="15" s="1"/>
  <c r="BD107" i="15" s="1"/>
  <c r="BG107" i="15" s="1"/>
  <c r="AC57" i="38"/>
  <c r="IT110" i="14"/>
  <c r="AY96" i="15" s="1"/>
  <c r="BC96" i="15" s="1"/>
  <c r="BD96" i="15" s="1"/>
  <c r="BG96" i="15" s="1"/>
  <c r="IT119" i="14"/>
  <c r="AJ103" i="38" s="1"/>
  <c r="IT99" i="14"/>
  <c r="AY85" i="15" s="1"/>
  <c r="BC85" i="15" s="1"/>
  <c r="BD85" i="15" s="1"/>
  <c r="BG85" i="15" s="1"/>
  <c r="GJ130" i="14"/>
  <c r="AJ116" i="15" s="1"/>
  <c r="AN116" i="15" s="1"/>
  <c r="AO116" i="15" s="1"/>
  <c r="AR116" i="15" s="1"/>
  <c r="IT113" i="14"/>
  <c r="AY99" i="15" s="1"/>
  <c r="BC99" i="15" s="1"/>
  <c r="BF99" i="15" s="1"/>
  <c r="IT129" i="14"/>
  <c r="AJ113" i="38" s="1"/>
  <c r="GJ113" i="14"/>
  <c r="AC97" i="38" s="1"/>
  <c r="GJ115" i="14"/>
  <c r="AJ101" i="15" s="1"/>
  <c r="AN101" i="15" s="1"/>
  <c r="AQ101" i="15" s="1"/>
  <c r="IT114" i="14"/>
  <c r="AJ98" i="38" s="1"/>
  <c r="GJ114" i="14"/>
  <c r="AC98" i="38" s="1"/>
  <c r="IT133" i="14"/>
  <c r="AJ117" i="38" s="1"/>
  <c r="AC141" i="38"/>
  <c r="GJ143" i="14"/>
  <c r="AY142" i="15"/>
  <c r="BC142" i="15" s="1"/>
  <c r="BD142" i="15" s="1"/>
  <c r="BG142" i="15" s="1"/>
  <c r="AC44" i="38"/>
  <c r="IT130" i="14"/>
  <c r="AJ114" i="38" s="1"/>
  <c r="GJ124" i="14"/>
  <c r="AJ110" i="15" s="1"/>
  <c r="AN110" i="15" s="1"/>
  <c r="AQ110" i="15" s="1"/>
  <c r="AY58" i="15"/>
  <c r="BC58" i="15" s="1"/>
  <c r="BF58" i="15" s="1"/>
  <c r="GJ126" i="14"/>
  <c r="AJ112" i="15" s="1"/>
  <c r="AN112" i="15" s="1"/>
  <c r="AO112" i="15" s="1"/>
  <c r="AR112" i="15" s="1"/>
  <c r="IT148" i="14"/>
  <c r="AY134" i="15" s="1"/>
  <c r="BC134" i="15" s="1"/>
  <c r="BF134" i="15" s="1"/>
  <c r="AC58" i="38"/>
  <c r="IT141" i="14"/>
  <c r="AY127" i="15" s="1"/>
  <c r="BC127" i="15" s="1"/>
  <c r="BD127" i="15" s="1"/>
  <c r="BG127" i="15" s="1"/>
  <c r="AJ68" i="38"/>
  <c r="IT131" i="14"/>
  <c r="AY117" i="15" s="1"/>
  <c r="BC117" i="15" s="1"/>
  <c r="BD117" i="15" s="1"/>
  <c r="BG117" i="15" s="1"/>
  <c r="AJ48" i="38"/>
  <c r="AJ139" i="38"/>
  <c r="IT124" i="14"/>
  <c r="AJ108" i="38" s="1"/>
  <c r="IT120" i="14"/>
  <c r="AJ104" i="38" s="1"/>
  <c r="AC144" i="38"/>
  <c r="AY57" i="15"/>
  <c r="BC57" i="15" s="1"/>
  <c r="BD57" i="15" s="1"/>
  <c r="BG57" i="15" s="1"/>
  <c r="BT57" i="15" s="1"/>
  <c r="R56" i="40" s="1"/>
  <c r="AJ137" i="38"/>
  <c r="AJ51" i="38"/>
  <c r="AJ141" i="38"/>
  <c r="IT125" i="14"/>
  <c r="AY111" i="15" s="1"/>
  <c r="BC111" i="15" s="1"/>
  <c r="BF111" i="15" s="1"/>
  <c r="GJ147" i="14"/>
  <c r="AJ133" i="15" s="1"/>
  <c r="AN133" i="15" s="1"/>
  <c r="AQ133" i="15" s="1"/>
  <c r="GJ122" i="14"/>
  <c r="AJ108" i="15" s="1"/>
  <c r="AN108" i="15" s="1"/>
  <c r="AQ108" i="15" s="1"/>
  <c r="IT149" i="14"/>
  <c r="AJ66" i="38"/>
  <c r="IT143" i="14"/>
  <c r="AY129" i="15" s="1"/>
  <c r="BC129" i="15" s="1"/>
  <c r="BD129" i="15" s="1"/>
  <c r="BG129" i="15" s="1"/>
  <c r="GJ145" i="14"/>
  <c r="AJ70" i="15"/>
  <c r="AN70" i="15" s="1"/>
  <c r="AO70" i="15" s="1"/>
  <c r="AR70" i="15" s="1"/>
  <c r="BT70" i="15" s="1"/>
  <c r="R69" i="40" s="1"/>
  <c r="AJ44" i="38"/>
  <c r="IT142" i="14"/>
  <c r="AY128" i="15" s="1"/>
  <c r="BC128" i="15" s="1"/>
  <c r="BF128" i="15" s="1"/>
  <c r="AC63" i="38"/>
  <c r="AJ76" i="15"/>
  <c r="AN76" i="15" s="1"/>
  <c r="AQ76" i="15" s="1"/>
  <c r="IT123" i="14"/>
  <c r="AY109" i="15" s="1"/>
  <c r="BC109" i="15" s="1"/>
  <c r="BF109" i="15" s="1"/>
  <c r="GJ146" i="14"/>
  <c r="AC130" i="38" s="1"/>
  <c r="IT132" i="14"/>
  <c r="AY118" i="15" s="1"/>
  <c r="BC118" i="15" s="1"/>
  <c r="BF118" i="15" s="1"/>
  <c r="GJ142" i="14"/>
  <c r="AC126" i="38" s="1"/>
  <c r="GJ144" i="14"/>
  <c r="AJ130" i="15" s="1"/>
  <c r="AN130" i="15" s="1"/>
  <c r="AQ130" i="15" s="1"/>
  <c r="IT126" i="14"/>
  <c r="AY112" i="15" s="1"/>
  <c r="BC112" i="15" s="1"/>
  <c r="BD112" i="15" s="1"/>
  <c r="BG112" i="15" s="1"/>
  <c r="AC77" i="38"/>
  <c r="AC61" i="38"/>
  <c r="GJ148" i="14"/>
  <c r="AJ134" i="15" s="1"/>
  <c r="AN134" i="15" s="1"/>
  <c r="IT128" i="14"/>
  <c r="AY114" i="15" s="1"/>
  <c r="BC114" i="15" s="1"/>
  <c r="BF114" i="15" s="1"/>
  <c r="IT147" i="14"/>
  <c r="AY133" i="15" s="1"/>
  <c r="BC133" i="15" s="1"/>
  <c r="BD133" i="15" s="1"/>
  <c r="BG133" i="15" s="1"/>
  <c r="AC67" i="38"/>
  <c r="IT134" i="14"/>
  <c r="AY120" i="15" s="1"/>
  <c r="BC120" i="15" s="1"/>
  <c r="BD120" i="15" s="1"/>
  <c r="BG120" i="15" s="1"/>
  <c r="IT127" i="14"/>
  <c r="AY113" i="15" s="1"/>
  <c r="BC113" i="15" s="1"/>
  <c r="BD113" i="15" s="1"/>
  <c r="BG113" i="15" s="1"/>
  <c r="AC69" i="38"/>
  <c r="AY56" i="15"/>
  <c r="BC56" i="15" s="1"/>
  <c r="BD56" i="15" s="1"/>
  <c r="BG56" i="15" s="1"/>
  <c r="AJ67" i="15"/>
  <c r="AN67" i="15" s="1"/>
  <c r="AO67" i="15" s="1"/>
  <c r="AR67" i="15" s="1"/>
  <c r="AC73" i="38"/>
  <c r="AC76" i="38"/>
  <c r="AJ62" i="38"/>
  <c r="GJ128" i="14"/>
  <c r="AC112" i="38" s="1"/>
  <c r="AJ47" i="38"/>
  <c r="AC71" i="38"/>
  <c r="AJ59" i="38"/>
  <c r="AC54" i="38"/>
  <c r="IT122" i="14"/>
  <c r="AJ106" i="38" s="1"/>
  <c r="AJ45" i="38"/>
  <c r="IT138" i="14"/>
  <c r="AY124" i="15" s="1"/>
  <c r="BC124" i="15" s="1"/>
  <c r="BD124" i="15" s="1"/>
  <c r="BG124" i="15" s="1"/>
  <c r="AY59" i="15"/>
  <c r="BC59" i="15" s="1"/>
  <c r="BD59" i="15" s="1"/>
  <c r="BG59" i="15" s="1"/>
  <c r="AC66" i="38"/>
  <c r="AJ60" i="38"/>
  <c r="AC142" i="38"/>
  <c r="AJ135" i="38"/>
  <c r="GJ127" i="14"/>
  <c r="AJ113" i="15" s="1"/>
  <c r="AN113" i="15" s="1"/>
  <c r="AO113" i="15" s="1"/>
  <c r="AR113" i="15" s="1"/>
  <c r="AJ67" i="38"/>
  <c r="GJ137" i="14"/>
  <c r="AJ123" i="15" s="1"/>
  <c r="AN123" i="15" s="1"/>
  <c r="AQ123" i="15" s="1"/>
  <c r="AC53" i="38"/>
  <c r="AJ129" i="38"/>
  <c r="AJ54" i="15"/>
  <c r="AN54" i="15" s="1"/>
  <c r="AQ54" i="15" s="1"/>
  <c r="AJ84" i="15"/>
  <c r="AN84" i="15" s="1"/>
  <c r="AQ84" i="15" s="1"/>
  <c r="GJ132" i="14"/>
  <c r="AJ118" i="15" s="1"/>
  <c r="AN118" i="15" s="1"/>
  <c r="AO118" i="15" s="1"/>
  <c r="AR118" i="15" s="1"/>
  <c r="AJ49" i="38"/>
  <c r="AC72" i="38"/>
  <c r="GJ120" i="14"/>
  <c r="AC104" i="38" s="1"/>
  <c r="W40" i="1"/>
  <c r="AJ53" i="38"/>
  <c r="AJ50" i="38"/>
  <c r="AC136" i="38"/>
  <c r="AC139" i="38"/>
  <c r="AJ136" i="38"/>
  <c r="AC51" i="38"/>
  <c r="AC64" i="38"/>
  <c r="AC55" i="38"/>
  <c r="IT135" i="14"/>
  <c r="AJ119" i="38" s="1"/>
  <c r="BK119" i="38"/>
  <c r="W36" i="1"/>
  <c r="AC137" i="38"/>
  <c r="AC70" i="38"/>
  <c r="AJ142" i="38"/>
  <c r="GJ135" i="14"/>
  <c r="AJ121" i="15" s="1"/>
  <c r="AN121" i="15" s="1"/>
  <c r="AO121" i="15" s="1"/>
  <c r="AR121" i="15" s="1"/>
  <c r="GJ129" i="14"/>
  <c r="AJ115" i="15" s="1"/>
  <c r="AN115" i="15" s="1"/>
  <c r="AO115" i="15" s="1"/>
  <c r="AR115" i="15" s="1"/>
  <c r="GJ125" i="14"/>
  <c r="AJ111" i="15" s="1"/>
  <c r="AN111" i="15" s="1"/>
  <c r="AQ111" i="15" s="1"/>
  <c r="AY66" i="15"/>
  <c r="BC66" i="15" s="1"/>
  <c r="BF66" i="15" s="1"/>
  <c r="AJ77" i="38"/>
  <c r="AJ142" i="15"/>
  <c r="AN142" i="15" s="1"/>
  <c r="AO142" i="15" s="1"/>
  <c r="AR142" i="15" s="1"/>
  <c r="AC59" i="38"/>
  <c r="AC135" i="38"/>
  <c r="AC56" i="38"/>
  <c r="AJ65" i="38"/>
  <c r="AJ63" i="38"/>
  <c r="AJ143" i="38"/>
  <c r="AC143" i="38"/>
  <c r="IT136" i="14"/>
  <c r="AJ120" i="38" s="1"/>
  <c r="AC60" i="38"/>
  <c r="GJ136" i="14"/>
  <c r="AC120" i="38" s="1"/>
  <c r="AC75" i="38"/>
  <c r="GJ139" i="14"/>
  <c r="AC123" i="38" s="1"/>
  <c r="AJ144" i="38"/>
  <c r="AJ134" i="38"/>
  <c r="AJ138" i="38"/>
  <c r="AJ96" i="15"/>
  <c r="AN96" i="15" s="1"/>
  <c r="AO96" i="15" s="1"/>
  <c r="AR96" i="15" s="1"/>
  <c r="AC94" i="38"/>
  <c r="H56" i="16"/>
  <c r="W42" i="46" s="1"/>
  <c r="IT137" i="14"/>
  <c r="AJ121" i="38" s="1"/>
  <c r="H24" i="16"/>
  <c r="W39" i="46" s="1"/>
  <c r="GJ134" i="14"/>
  <c r="AJ120" i="15" s="1"/>
  <c r="AN120" i="15" s="1"/>
  <c r="AO120" i="15" s="1"/>
  <c r="AR120" i="15" s="1"/>
  <c r="AC46" i="38"/>
  <c r="GJ131" i="14"/>
  <c r="AJ117" i="15" s="1"/>
  <c r="AN117" i="15" s="1"/>
  <c r="AQ117" i="15" s="1"/>
  <c r="AC49" i="38"/>
  <c r="IT98" i="14"/>
  <c r="AY84" i="15" s="1"/>
  <c r="BC84" i="15" s="1"/>
  <c r="BD84" i="15" s="1"/>
  <c r="BG84" i="15" s="1"/>
  <c r="AJ61" i="38"/>
  <c r="AC50" i="38"/>
  <c r="AC138" i="38"/>
  <c r="H57" i="16"/>
  <c r="W43" i="46" s="1"/>
  <c r="H23" i="16"/>
  <c r="W38" i="46" s="1"/>
  <c r="IT139" i="14"/>
  <c r="AY125" i="15" s="1"/>
  <c r="BC125" i="15" s="1"/>
  <c r="AJ92" i="15"/>
  <c r="AN92" i="15" s="1"/>
  <c r="AQ92" i="15" s="1"/>
  <c r="AJ88" i="15"/>
  <c r="AN88" i="15" s="1"/>
  <c r="AQ88" i="15" s="1"/>
  <c r="AC86" i="38"/>
  <c r="AJ85" i="15"/>
  <c r="AN85" i="15" s="1"/>
  <c r="AO85" i="15" s="1"/>
  <c r="AR85" i="15" s="1"/>
  <c r="AC83" i="38"/>
  <c r="AJ80" i="15"/>
  <c r="AN80" i="15" s="1"/>
  <c r="AQ80" i="15" s="1"/>
  <c r="AC78" i="38"/>
  <c r="AJ90" i="15"/>
  <c r="AN90" i="15" s="1"/>
  <c r="AQ90" i="15" s="1"/>
  <c r="AC88" i="38"/>
  <c r="AJ91" i="15"/>
  <c r="AN91" i="15" s="1"/>
  <c r="AO91" i="15" s="1"/>
  <c r="AR91" i="15" s="1"/>
  <c r="AC89" i="38"/>
  <c r="AJ89" i="15"/>
  <c r="AN89" i="15" s="1"/>
  <c r="AO89" i="15" s="1"/>
  <c r="AR89" i="15" s="1"/>
  <c r="AC87" i="38"/>
  <c r="AJ83" i="15"/>
  <c r="AN83" i="15" s="1"/>
  <c r="AO83" i="15" s="1"/>
  <c r="AR83" i="15" s="1"/>
  <c r="AC81" i="38"/>
  <c r="AC84" i="38"/>
  <c r="AJ86" i="15"/>
  <c r="AN86" i="15" s="1"/>
  <c r="AO86" i="15" s="1"/>
  <c r="AR86" i="15" s="1"/>
  <c r="AJ87" i="15"/>
  <c r="AN87" i="15" s="1"/>
  <c r="AQ87" i="15" s="1"/>
  <c r="AC85" i="38"/>
  <c r="AJ82" i="15"/>
  <c r="AN82" i="15" s="1"/>
  <c r="AO82" i="15" s="1"/>
  <c r="AR82" i="15" s="1"/>
  <c r="AC80" i="38"/>
  <c r="AJ81" i="15"/>
  <c r="AN81" i="15" s="1"/>
  <c r="AQ81" i="15" s="1"/>
  <c r="AC79" i="38"/>
  <c r="W37" i="1"/>
  <c r="AJ74" i="38"/>
  <c r="CW64" i="38"/>
  <c r="Z65" i="40"/>
  <c r="CW136" i="38"/>
  <c r="Z137" i="40"/>
  <c r="CW129" i="38"/>
  <c r="Z130" i="40"/>
  <c r="CW67" i="38"/>
  <c r="Z68" i="40"/>
  <c r="CW131" i="38"/>
  <c r="Z132" i="40"/>
  <c r="AY94" i="15"/>
  <c r="BC94" i="15" s="1"/>
  <c r="BD94" i="15" s="1"/>
  <c r="BG94" i="15" s="1"/>
  <c r="AJ71" i="38"/>
  <c r="AJ84" i="38"/>
  <c r="BT54" i="43"/>
  <c r="Y22" i="45" s="1"/>
  <c r="BT53" i="43"/>
  <c r="Y21" i="45" s="1"/>
  <c r="W41" i="1"/>
  <c r="BT71" i="43"/>
  <c r="Y39" i="45" s="1"/>
  <c r="BT57" i="43"/>
  <c r="Y25" i="45" s="1"/>
  <c r="BT60" i="43"/>
  <c r="Y28" i="45" s="1"/>
  <c r="BT64" i="43"/>
  <c r="Y32" i="45" s="1"/>
  <c r="CU135" i="38"/>
  <c r="CV135" i="38" s="1"/>
  <c r="Z136" i="40" s="1"/>
  <c r="CW109" i="38"/>
  <c r="CX109" i="38"/>
  <c r="CW127" i="38"/>
  <c r="CX127" i="38"/>
  <c r="CW69" i="38"/>
  <c r="CX69" i="38"/>
  <c r="CX64" i="38"/>
  <c r="CX71" i="38"/>
  <c r="CX120" i="38"/>
  <c r="CX105" i="38"/>
  <c r="CX131" i="38"/>
  <c r="CX107" i="38"/>
  <c r="CX128" i="38"/>
  <c r="CX129" i="38"/>
  <c r="CI44" i="38"/>
  <c r="CJ44" i="38" s="1"/>
  <c r="CK44" i="38" s="1"/>
  <c r="CL44" i="38" s="1"/>
  <c r="CM44" i="38" s="1"/>
  <c r="CN44" i="38" s="1"/>
  <c r="CO44" i="38" s="1"/>
  <c r="CP44" i="38" s="1"/>
  <c r="CX139" i="38"/>
  <c r="CX62" i="38"/>
  <c r="CX67" i="38"/>
  <c r="AJ69" i="38"/>
  <c r="AY80" i="15"/>
  <c r="BC80" i="15" s="1"/>
  <c r="BF80" i="15" s="1"/>
  <c r="AJ102" i="15"/>
  <c r="AN102" i="15" s="1"/>
  <c r="AJ112" i="38"/>
  <c r="AJ80" i="38"/>
  <c r="AJ70" i="38"/>
  <c r="AJ91" i="38"/>
  <c r="AJ73" i="38"/>
  <c r="CX118" i="38"/>
  <c r="CX124" i="38"/>
  <c r="CX47" i="38"/>
  <c r="CX60" i="38"/>
  <c r="CX88" i="38"/>
  <c r="CX126" i="38"/>
  <c r="AJ72" i="38"/>
  <c r="BF76" i="15"/>
  <c r="BF144" i="15"/>
  <c r="BF136" i="15"/>
  <c r="AQ57" i="15"/>
  <c r="AO66" i="15"/>
  <c r="AR66" i="15" s="1"/>
  <c r="AQ65" i="15"/>
  <c r="BF70" i="15"/>
  <c r="BF129" i="15"/>
  <c r="BD137" i="15"/>
  <c r="BG137" i="15" s="1"/>
  <c r="BD73" i="15"/>
  <c r="BG73" i="15" s="1"/>
  <c r="BF74" i="15"/>
  <c r="AQ145" i="15"/>
  <c r="BD65" i="15"/>
  <c r="BG65" i="15" s="1"/>
  <c r="BD145" i="15"/>
  <c r="BG145" i="15" s="1"/>
  <c r="BT145" i="15" s="1"/>
  <c r="R144" i="40" s="1"/>
  <c r="BF53" i="15"/>
  <c r="AO47" i="15"/>
  <c r="AR47" i="15" s="1"/>
  <c r="AO51" i="15"/>
  <c r="AR51" i="15" s="1"/>
  <c r="AQ141" i="15"/>
  <c r="BD86" i="15"/>
  <c r="BG86" i="15" s="1"/>
  <c r="AQ52" i="15"/>
  <c r="BD47" i="15"/>
  <c r="BG47" i="15" s="1"/>
  <c r="BF68" i="15"/>
  <c r="AO72" i="15"/>
  <c r="AR72" i="15" s="1"/>
  <c r="BT61" i="15"/>
  <c r="R60" i="40" s="1"/>
  <c r="BS61" i="15"/>
  <c r="BT139" i="15"/>
  <c r="R138" i="40" s="1"/>
  <c r="BS139" i="15"/>
  <c r="BD131" i="15"/>
  <c r="BG131" i="15" s="1"/>
  <c r="AO63" i="15"/>
  <c r="AR63" i="15" s="1"/>
  <c r="AO74" i="15"/>
  <c r="AR74" i="15" s="1"/>
  <c r="AO62" i="15"/>
  <c r="AR62" i="15" s="1"/>
  <c r="BT144" i="15"/>
  <c r="R143" i="40" s="1"/>
  <c r="BS144" i="15"/>
  <c r="BT48" i="15"/>
  <c r="R47" i="40" s="1"/>
  <c r="BS48" i="15"/>
  <c r="AQ48" i="15"/>
  <c r="BS141" i="15"/>
  <c r="BT141" i="15"/>
  <c r="R140" i="40" s="1"/>
  <c r="BF49" i="15"/>
  <c r="BF51" i="15"/>
  <c r="AQ71" i="15"/>
  <c r="AO77" i="15"/>
  <c r="AR77" i="15" s="1"/>
  <c r="BF72" i="15"/>
  <c r="BF93" i="15"/>
  <c r="AO60" i="15"/>
  <c r="AR60" i="15" s="1"/>
  <c r="AQ75" i="15"/>
  <c r="BD50" i="15"/>
  <c r="BG50" i="15" s="1"/>
  <c r="AO68" i="15"/>
  <c r="AR68" i="15" s="1"/>
  <c r="BF63" i="15"/>
  <c r="AQ137" i="15"/>
  <c r="AO140" i="15"/>
  <c r="AR140" i="15" s="1"/>
  <c r="AO69" i="15"/>
  <c r="AR69" i="15" s="1"/>
  <c r="BD82" i="15"/>
  <c r="BG82" i="15" s="1"/>
  <c r="AO49" i="15"/>
  <c r="AR49" i="15" s="1"/>
  <c r="AO146" i="15"/>
  <c r="AR146" i="15" s="1"/>
  <c r="BD67" i="15"/>
  <c r="BG67" i="15" s="1"/>
  <c r="BD75" i="15"/>
  <c r="BG75" i="15" s="1"/>
  <c r="BD114" i="15"/>
  <c r="BG114" i="15" s="1"/>
  <c r="AQ61" i="15"/>
  <c r="AQ79" i="15"/>
  <c r="AQ139" i="15"/>
  <c r="BF138" i="15"/>
  <c r="BF48" i="15"/>
  <c r="AO138" i="15"/>
  <c r="AR138" i="15" s="1"/>
  <c r="BF54" i="15"/>
  <c r="AO59" i="15"/>
  <c r="AR59" i="15" s="1"/>
  <c r="BF141" i="15"/>
  <c r="BD79" i="15"/>
  <c r="BG79" i="15" s="1"/>
  <c r="AO64" i="15"/>
  <c r="AR64" i="15" s="1"/>
  <c r="AO56" i="15"/>
  <c r="AR56" i="15" s="1"/>
  <c r="BD146" i="15"/>
  <c r="BG146" i="15" s="1"/>
  <c r="BF139" i="15"/>
  <c r="AO46" i="15"/>
  <c r="AR46" i="15" s="1"/>
  <c r="AO53" i="15"/>
  <c r="AR53" i="15" s="1"/>
  <c r="AQ73" i="15"/>
  <c r="BF62" i="15"/>
  <c r="BF140" i="15"/>
  <c r="BF143" i="15"/>
  <c r="AO78" i="15"/>
  <c r="AR78" i="15" s="1"/>
  <c r="BF69" i="15"/>
  <c r="BD46" i="15"/>
  <c r="BG46" i="15" s="1"/>
  <c r="AO58" i="15"/>
  <c r="AR58" i="15" s="1"/>
  <c r="BD52" i="15"/>
  <c r="BG52" i="15" s="1"/>
  <c r="BT52" i="15" s="1"/>
  <c r="R51" i="40" s="1"/>
  <c r="BF64" i="15"/>
  <c r="BD71" i="15"/>
  <c r="BG71" i="15" s="1"/>
  <c r="BS71" i="15" s="1"/>
  <c r="BD60" i="15"/>
  <c r="BG60" i="15" s="1"/>
  <c r="AQ143" i="15"/>
  <c r="BD55" i="15"/>
  <c r="BG55" i="15" s="1"/>
  <c r="BF61" i="15"/>
  <c r="AQ144" i="15"/>
  <c r="AO55" i="15"/>
  <c r="AR55" i="15" s="1"/>
  <c r="BD92" i="15" l="1"/>
  <c r="BG92" i="15" s="1"/>
  <c r="AY102" i="15"/>
  <c r="BC102" i="15" s="1"/>
  <c r="BD102" i="15" s="1"/>
  <c r="BG102" i="15" s="1"/>
  <c r="AO134" i="15"/>
  <c r="AR134" i="15" s="1"/>
  <c r="P22" i="15"/>
  <c r="X15" i="46" s="1"/>
  <c r="AJ124" i="15"/>
  <c r="AN124" i="15" s="1"/>
  <c r="AO124" i="15" s="1"/>
  <c r="AR124" i="15" s="1"/>
  <c r="AJ90" i="38"/>
  <c r="BD118" i="15"/>
  <c r="BG118" i="15" s="1"/>
  <c r="AY116" i="15"/>
  <c r="BC116" i="15" s="1"/>
  <c r="BD116" i="15" s="1"/>
  <c r="BG116" i="15" s="1"/>
  <c r="BT116" i="15" s="1"/>
  <c r="R115" i="40" s="1"/>
  <c r="AJ94" i="15"/>
  <c r="AN94" i="15" s="1"/>
  <c r="AO94" i="15" s="1"/>
  <c r="AR94" i="15" s="1"/>
  <c r="BT94" i="15" s="1"/>
  <c r="R93" i="40" s="1"/>
  <c r="BF117" i="15"/>
  <c r="AJ115" i="38"/>
  <c r="AO101" i="15"/>
  <c r="AR101" i="15" s="1"/>
  <c r="AC99" i="38"/>
  <c r="BD83" i="15"/>
  <c r="BG83" i="15" s="1"/>
  <c r="BT83" i="15" s="1"/>
  <c r="R82" i="40" s="1"/>
  <c r="AJ81" i="38"/>
  <c r="AJ127" i="15"/>
  <c r="AN127" i="15" s="1"/>
  <c r="AQ127" i="15" s="1"/>
  <c r="AY91" i="15"/>
  <c r="BC91" i="15" s="1"/>
  <c r="BF91" i="15" s="1"/>
  <c r="AO136" i="15"/>
  <c r="AR136" i="15" s="1"/>
  <c r="BS136" i="15" s="1"/>
  <c r="AJ102" i="38"/>
  <c r="BD104" i="15"/>
  <c r="BG104" i="15" s="1"/>
  <c r="AY126" i="15"/>
  <c r="BC126" i="15" s="1"/>
  <c r="BF126" i="15" s="1"/>
  <c r="BF103" i="15"/>
  <c r="AJ101" i="38"/>
  <c r="BS79" i="15"/>
  <c r="AJ107" i="15"/>
  <c r="AN107" i="15" s="1"/>
  <c r="AQ107" i="15" s="1"/>
  <c r="BF88" i="15"/>
  <c r="AJ125" i="15"/>
  <c r="AN125" i="15" s="1"/>
  <c r="AO125" i="15" s="1"/>
  <c r="AR125" i="15" s="1"/>
  <c r="AJ86" i="38"/>
  <c r="BS143" i="15"/>
  <c r="BU143" i="15" s="1"/>
  <c r="S142" i="40" s="1"/>
  <c r="AC114" i="38"/>
  <c r="AO98" i="15"/>
  <c r="AR98" i="15" s="1"/>
  <c r="BS98" i="15" s="1"/>
  <c r="AC96" i="38"/>
  <c r="BT73" i="15"/>
  <c r="R72" i="40" s="1"/>
  <c r="AJ97" i="38"/>
  <c r="AJ76" i="38"/>
  <c r="AY97" i="15"/>
  <c r="BC97" i="15" s="1"/>
  <c r="BD97" i="15" s="1"/>
  <c r="BG97" i="15" s="1"/>
  <c r="BF78" i="15"/>
  <c r="AJ97" i="15"/>
  <c r="AN97" i="15" s="1"/>
  <c r="AQ97" i="15" s="1"/>
  <c r="AO102" i="15"/>
  <c r="AR102" i="15" s="1"/>
  <c r="BS102" i="15" s="1"/>
  <c r="AO76" i="15"/>
  <c r="AR76" i="15" s="1"/>
  <c r="BT76" i="15" s="1"/>
  <c r="R75" i="40" s="1"/>
  <c r="AY89" i="15"/>
  <c r="BC89" i="15" s="1"/>
  <c r="BD89" i="15" s="1"/>
  <c r="BG89" i="15" s="1"/>
  <c r="BT89" i="15" s="1"/>
  <c r="R88" i="40" s="1"/>
  <c r="AJ128" i="38"/>
  <c r="BD130" i="15"/>
  <c r="BG130" i="15" s="1"/>
  <c r="BF90" i="15"/>
  <c r="AJ88" i="38"/>
  <c r="AJ83" i="38"/>
  <c r="AC101" i="38"/>
  <c r="AY119" i="15"/>
  <c r="BC119" i="15" s="1"/>
  <c r="BD119" i="15" s="1"/>
  <c r="BG119" i="15" s="1"/>
  <c r="BT119" i="15" s="1"/>
  <c r="R118" i="40" s="1"/>
  <c r="BT85" i="15"/>
  <c r="R84" i="40" s="1"/>
  <c r="BF85" i="15"/>
  <c r="AY77" i="15"/>
  <c r="BC77" i="15" s="1"/>
  <c r="BF77" i="15" s="1"/>
  <c r="AQ142" i="15"/>
  <c r="AC106" i="38"/>
  <c r="BF98" i="15"/>
  <c r="AJ104" i="15"/>
  <c r="AN104" i="15" s="1"/>
  <c r="AQ104" i="15" s="1"/>
  <c r="AC117" i="38"/>
  <c r="AC93" i="38"/>
  <c r="AQ116" i="15"/>
  <c r="AQ119" i="15"/>
  <c r="AJ96" i="38"/>
  <c r="BF127" i="15"/>
  <c r="AC103" i="38"/>
  <c r="BT50" i="15"/>
  <c r="R49" i="40" s="1"/>
  <c r="BL51" i="43" s="1"/>
  <c r="Q19" i="45" s="1"/>
  <c r="AO105" i="15"/>
  <c r="AR105" i="15" s="1"/>
  <c r="AQ50" i="15"/>
  <c r="BF57" i="15"/>
  <c r="AJ85" i="38"/>
  <c r="AJ99" i="38"/>
  <c r="BD101" i="15"/>
  <c r="BG101" i="15" s="1"/>
  <c r="AO110" i="15"/>
  <c r="AR110" i="15" s="1"/>
  <c r="BD87" i="15"/>
  <c r="BG87" i="15" s="1"/>
  <c r="AY132" i="15"/>
  <c r="BC132" i="15" s="1"/>
  <c r="BF142" i="15"/>
  <c r="BF81" i="15"/>
  <c r="AJ107" i="38"/>
  <c r="BT142" i="15"/>
  <c r="R141" i="40" s="1"/>
  <c r="AC133" i="38"/>
  <c r="BS57" i="15"/>
  <c r="BU57" i="15" s="1"/>
  <c r="S56" i="40" s="1"/>
  <c r="BD109" i="15"/>
  <c r="BG109" i="15" s="1"/>
  <c r="BF107" i="15"/>
  <c r="AQ134" i="15"/>
  <c r="AY95" i="15"/>
  <c r="BC95" i="15" s="1"/>
  <c r="BF95" i="15" s="1"/>
  <c r="AO109" i="15"/>
  <c r="AR109" i="15" s="1"/>
  <c r="AQ135" i="15"/>
  <c r="AJ79" i="38"/>
  <c r="AC107" i="38"/>
  <c r="AJ125" i="38"/>
  <c r="AJ126" i="15"/>
  <c r="AN126" i="15" s="1"/>
  <c r="BF56" i="15"/>
  <c r="AJ105" i="38"/>
  <c r="AY115" i="15"/>
  <c r="BC115" i="15" s="1"/>
  <c r="BD115" i="15" s="1"/>
  <c r="BG115" i="15" s="1"/>
  <c r="BT115" i="15" s="1"/>
  <c r="AJ99" i="15"/>
  <c r="AN99" i="15" s="1"/>
  <c r="AQ99" i="15" s="1"/>
  <c r="AQ70" i="15"/>
  <c r="BS70" i="15"/>
  <c r="BU70" i="15" s="1"/>
  <c r="S69" i="40" s="1"/>
  <c r="AJ93" i="15"/>
  <c r="AN93" i="15" s="1"/>
  <c r="AQ93" i="15" s="1"/>
  <c r="BD58" i="15"/>
  <c r="BG58" i="15" s="1"/>
  <c r="BS58" i="15" s="1"/>
  <c r="AY105" i="15"/>
  <c r="BC105" i="15" s="1"/>
  <c r="BD105" i="15" s="1"/>
  <c r="BG105" i="15" s="1"/>
  <c r="AJ128" i="15"/>
  <c r="AN128" i="15" s="1"/>
  <c r="AQ128" i="15" s="1"/>
  <c r="AJ100" i="15"/>
  <c r="AN100" i="15" s="1"/>
  <c r="AQ100" i="15" s="1"/>
  <c r="BS96" i="15"/>
  <c r="AC108" i="38"/>
  <c r="AJ94" i="38"/>
  <c r="AY100" i="15"/>
  <c r="BC100" i="15" s="1"/>
  <c r="BF100" i="15" s="1"/>
  <c r="AJ127" i="38"/>
  <c r="AJ116" i="38"/>
  <c r="BF96" i="15"/>
  <c r="BS120" i="15"/>
  <c r="AO108" i="15"/>
  <c r="AR108" i="15" s="1"/>
  <c r="BD99" i="15"/>
  <c r="BG99" i="15" s="1"/>
  <c r="AJ114" i="15"/>
  <c r="AN114" i="15" s="1"/>
  <c r="AO114" i="15" s="1"/>
  <c r="AR114" i="15" s="1"/>
  <c r="BT114" i="15" s="1"/>
  <c r="R113" i="40" s="1"/>
  <c r="AJ132" i="38"/>
  <c r="AQ86" i="15"/>
  <c r="BD134" i="15"/>
  <c r="BG134" i="15" s="1"/>
  <c r="BS134" i="15" s="1"/>
  <c r="AQ112" i="15"/>
  <c r="BD111" i="15"/>
  <c r="BG111" i="15" s="1"/>
  <c r="AC132" i="38"/>
  <c r="AY110" i="15"/>
  <c r="BC110" i="15" s="1"/>
  <c r="BF110" i="15" s="1"/>
  <c r="AC110" i="38"/>
  <c r="AY122" i="15"/>
  <c r="BC122" i="15" s="1"/>
  <c r="BF122" i="15" s="1"/>
  <c r="BT120" i="15"/>
  <c r="R119" i="40" s="1"/>
  <c r="AC127" i="38"/>
  <c r="AJ129" i="15"/>
  <c r="AN129" i="15" s="1"/>
  <c r="AJ109" i="38"/>
  <c r="BT112" i="15"/>
  <c r="R111" i="40" s="1"/>
  <c r="BL64" i="43" s="1"/>
  <c r="Q32" i="45" s="1"/>
  <c r="BS112" i="15"/>
  <c r="AC131" i="38"/>
  <c r="AY106" i="15"/>
  <c r="BC106" i="15" s="1"/>
  <c r="BD106" i="15" s="1"/>
  <c r="BG106" i="15" s="1"/>
  <c r="AO133" i="15"/>
  <c r="AR133" i="15" s="1"/>
  <c r="BT133" i="15" s="1"/>
  <c r="R132" i="40" s="1"/>
  <c r="AJ111" i="38"/>
  <c r="AJ126" i="38"/>
  <c r="BF112" i="15"/>
  <c r="AJ110" i="38"/>
  <c r="BD128" i="15"/>
  <c r="BG128" i="15" s="1"/>
  <c r="AC129" i="38"/>
  <c r="AJ131" i="15"/>
  <c r="AN131" i="15" s="1"/>
  <c r="AJ133" i="38"/>
  <c r="AY135" i="15"/>
  <c r="BC135" i="15" s="1"/>
  <c r="AO80" i="15"/>
  <c r="AR80" i="15" s="1"/>
  <c r="AO130" i="15"/>
  <c r="AR130" i="15" s="1"/>
  <c r="BT130" i="15" s="1"/>
  <c r="R129" i="40" s="1"/>
  <c r="AC128" i="38"/>
  <c r="AJ118" i="38"/>
  <c r="AC118" i="38"/>
  <c r="AQ120" i="15"/>
  <c r="BF120" i="15"/>
  <c r="X15" i="1"/>
  <c r="AJ132" i="15"/>
  <c r="AN132" i="15" s="1"/>
  <c r="BF59" i="15"/>
  <c r="AJ131" i="38"/>
  <c r="BF133" i="15"/>
  <c r="AO111" i="15"/>
  <c r="AR111" i="15" s="1"/>
  <c r="BS67" i="15"/>
  <c r="AQ67" i="15"/>
  <c r="AJ82" i="38"/>
  <c r="BD66" i="15"/>
  <c r="BG66" i="15" s="1"/>
  <c r="BS66" i="15" s="1"/>
  <c r="BF84" i="15"/>
  <c r="AC121" i="38"/>
  <c r="W39" i="1"/>
  <c r="BT86" i="15"/>
  <c r="R85" i="40" s="1"/>
  <c r="AO84" i="15"/>
  <c r="AR84" i="15" s="1"/>
  <c r="BT84" i="15" s="1"/>
  <c r="R83" i="40" s="1"/>
  <c r="AC119" i="38"/>
  <c r="BT96" i="15"/>
  <c r="R95" i="40" s="1"/>
  <c r="AY108" i="15"/>
  <c r="BC108" i="15" s="1"/>
  <c r="BF108" i="15" s="1"/>
  <c r="W43" i="1"/>
  <c r="AQ118" i="15"/>
  <c r="AQ113" i="15"/>
  <c r="AO54" i="15"/>
  <c r="AR54" i="15" s="1"/>
  <c r="BT54" i="15" s="1"/>
  <c r="R53" i="40" s="1"/>
  <c r="BS142" i="15"/>
  <c r="AC111" i="38"/>
  <c r="AJ122" i="38"/>
  <c r="BS113" i="15"/>
  <c r="AJ106" i="15"/>
  <c r="AN106" i="15" s="1"/>
  <c r="AQ106" i="15" s="1"/>
  <c r="AC116" i="38"/>
  <c r="AY121" i="15"/>
  <c r="BC121" i="15" s="1"/>
  <c r="BF121" i="15" s="1"/>
  <c r="BT124" i="15"/>
  <c r="R123" i="40" s="1"/>
  <c r="AQ125" i="15"/>
  <c r="AQ115" i="15"/>
  <c r="AQ83" i="15"/>
  <c r="AC113" i="38"/>
  <c r="AC109" i="38"/>
  <c r="AQ96" i="15"/>
  <c r="AQ85" i="15"/>
  <c r="AJ122" i="15"/>
  <c r="AN122" i="15" s="1"/>
  <c r="AQ122" i="15" s="1"/>
  <c r="AO81" i="15"/>
  <c r="AR81" i="15" s="1"/>
  <c r="BT81" i="15" s="1"/>
  <c r="R80" i="40" s="1"/>
  <c r="W42" i="1"/>
  <c r="W38" i="1"/>
  <c r="BS85" i="15"/>
  <c r="AO117" i="15"/>
  <c r="AR117" i="15" s="1"/>
  <c r="BT117" i="15" s="1"/>
  <c r="R116" i="40" s="1"/>
  <c r="AY123" i="15"/>
  <c r="BC123" i="15" s="1"/>
  <c r="AQ124" i="15"/>
  <c r="BF94" i="15"/>
  <c r="AO95" i="15"/>
  <c r="AR95" i="15" s="1"/>
  <c r="AC115" i="38"/>
  <c r="AO87" i="15"/>
  <c r="AR87" i="15" s="1"/>
  <c r="AO88" i="15"/>
  <c r="AR88" i="15" s="1"/>
  <c r="BS88" i="15" s="1"/>
  <c r="BS124" i="15"/>
  <c r="AQ89" i="15"/>
  <c r="BF105" i="15"/>
  <c r="AQ91" i="15"/>
  <c r="AO103" i="15"/>
  <c r="AR103" i="15" s="1"/>
  <c r="BS103" i="15" s="1"/>
  <c r="AO92" i="15"/>
  <c r="AR92" i="15" s="1"/>
  <c r="BS92" i="15" s="1"/>
  <c r="AJ123" i="38"/>
  <c r="AO123" i="15"/>
  <c r="AR123" i="15" s="1"/>
  <c r="BF125" i="15"/>
  <c r="BD125" i="15"/>
  <c r="BG125" i="15" s="1"/>
  <c r="BS125" i="15" s="1"/>
  <c r="BT113" i="15"/>
  <c r="R112" i="40" s="1"/>
  <c r="BF124" i="15"/>
  <c r="AQ82" i="15"/>
  <c r="BF113" i="15"/>
  <c r="AO90" i="15"/>
  <c r="AR90" i="15" s="1"/>
  <c r="BS90" i="15" s="1"/>
  <c r="AQ102" i="15"/>
  <c r="BT134" i="15"/>
  <c r="R133" i="40" s="1"/>
  <c r="BT102" i="15"/>
  <c r="R101" i="40" s="1"/>
  <c r="BT70" i="43"/>
  <c r="Y38" i="45" s="1"/>
  <c r="BT56" i="43"/>
  <c r="Y24" i="45" s="1"/>
  <c r="BT55" i="43"/>
  <c r="Y23" i="45" s="1"/>
  <c r="BT68" i="43"/>
  <c r="Y36" i="45" s="1"/>
  <c r="BT67" i="43"/>
  <c r="Y35" i="45" s="1"/>
  <c r="BT63" i="43"/>
  <c r="Y31" i="45" s="1"/>
  <c r="BT66" i="43"/>
  <c r="Y34" i="45" s="1"/>
  <c r="BS86" i="15"/>
  <c r="BL70" i="43"/>
  <c r="Q38" i="45" s="1"/>
  <c r="CW135" i="38"/>
  <c r="CX135" i="38"/>
  <c r="CQ44" i="38"/>
  <c r="CR44" i="38" s="1"/>
  <c r="BD80" i="15"/>
  <c r="BG80" i="15" s="1"/>
  <c r="BT98" i="15"/>
  <c r="BD91" i="15"/>
  <c r="BG91" i="15" s="1"/>
  <c r="BS91" i="15" s="1"/>
  <c r="BF102" i="15"/>
  <c r="CX108" i="38"/>
  <c r="CX132" i="38"/>
  <c r="CX134" i="38"/>
  <c r="CX136" i="38"/>
  <c r="CX130" i="38"/>
  <c r="BS51" i="15"/>
  <c r="BT51" i="15"/>
  <c r="BS73" i="15"/>
  <c r="BS145" i="15"/>
  <c r="BU145" i="15" s="1"/>
  <c r="S144" i="40" s="1"/>
  <c r="BT137" i="15"/>
  <c r="R136" i="40" s="1"/>
  <c r="BS65" i="15"/>
  <c r="BT65" i="15"/>
  <c r="R64" i="40" s="1"/>
  <c r="BS137" i="15"/>
  <c r="BT47" i="15"/>
  <c r="R46" i="40" s="1"/>
  <c r="R45" i="40" s="1"/>
  <c r="BS118" i="15"/>
  <c r="BS47" i="15"/>
  <c r="BT118" i="15"/>
  <c r="R117" i="40" s="1"/>
  <c r="BU144" i="15"/>
  <c r="S143" i="40" s="1"/>
  <c r="BU61" i="15"/>
  <c r="S60" i="40" s="1"/>
  <c r="BU141" i="15"/>
  <c r="S140" i="40" s="1"/>
  <c r="BS52" i="15"/>
  <c r="BU52" i="15" s="1"/>
  <c r="S51" i="40" s="1"/>
  <c r="BS63" i="15"/>
  <c r="BT63" i="15"/>
  <c r="R62" i="40" s="1"/>
  <c r="BS50" i="15"/>
  <c r="BS82" i="15"/>
  <c r="BT67" i="15"/>
  <c r="BS75" i="15"/>
  <c r="BT79" i="15"/>
  <c r="BT46" i="15"/>
  <c r="BS46" i="15"/>
  <c r="BT55" i="15"/>
  <c r="R54" i="40" s="1"/>
  <c r="BS55" i="15"/>
  <c r="BT49" i="15"/>
  <c r="R48" i="40" s="1"/>
  <c r="BS49" i="15"/>
  <c r="BT68" i="15"/>
  <c r="R67" i="40" s="1"/>
  <c r="BS68" i="15"/>
  <c r="BT82" i="15"/>
  <c r="R81" i="40" s="1"/>
  <c r="BU139" i="15"/>
  <c r="S138" i="40" s="1"/>
  <c r="BT75" i="15"/>
  <c r="R74" i="40" s="1"/>
  <c r="BT146" i="15"/>
  <c r="R145" i="40" s="1"/>
  <c r="BS146" i="15"/>
  <c r="BT56" i="15"/>
  <c r="R55" i="40" s="1"/>
  <c r="BS56" i="15"/>
  <c r="BT62" i="15"/>
  <c r="R61" i="40" s="1"/>
  <c r="BS62" i="15"/>
  <c r="BT72" i="15"/>
  <c r="R71" i="40" s="1"/>
  <c r="BS72" i="15"/>
  <c r="BS78" i="15"/>
  <c r="BT78" i="15"/>
  <c r="R77" i="40" s="1"/>
  <c r="BT53" i="15"/>
  <c r="R52" i="40" s="1"/>
  <c r="BS53" i="15"/>
  <c r="BS64" i="15"/>
  <c r="BT64" i="15"/>
  <c r="R63" i="40" s="1"/>
  <c r="BT69" i="15"/>
  <c r="R68" i="40" s="1"/>
  <c r="BS69" i="15"/>
  <c r="BS114" i="15"/>
  <c r="BT71" i="15"/>
  <c r="BS83" i="15"/>
  <c r="BT60" i="15"/>
  <c r="R59" i="40" s="1"/>
  <c r="BS60" i="15"/>
  <c r="BT74" i="15"/>
  <c r="R73" i="40" s="1"/>
  <c r="BS74" i="15"/>
  <c r="BT138" i="15"/>
  <c r="R137" i="40" s="1"/>
  <c r="BS138" i="15"/>
  <c r="BT140" i="15"/>
  <c r="R139" i="40" s="1"/>
  <c r="BS140" i="15"/>
  <c r="BS59" i="15"/>
  <c r="BT59" i="15"/>
  <c r="R58" i="40" s="1"/>
  <c r="BU48" i="15"/>
  <c r="S47" i="40" s="1"/>
  <c r="AQ121" i="15"/>
  <c r="AO127" i="15" l="1"/>
  <c r="AR127" i="15" s="1"/>
  <c r="BT127" i="15" s="1"/>
  <c r="R126" i="40" s="1"/>
  <c r="BF116" i="15"/>
  <c r="BS116" i="15"/>
  <c r="AQ94" i="15"/>
  <c r="BS94" i="15"/>
  <c r="BT136" i="15"/>
  <c r="R135" i="40" s="1"/>
  <c r="BT101" i="15"/>
  <c r="R100" i="40" s="1"/>
  <c r="BD126" i="15"/>
  <c r="BG126" i="15" s="1"/>
  <c r="AQ114" i="15"/>
  <c r="AO97" i="15"/>
  <c r="AR97" i="15" s="1"/>
  <c r="BT97" i="15" s="1"/>
  <c r="R96" i="40" s="1"/>
  <c r="BU116" i="15"/>
  <c r="S115" i="40" s="1"/>
  <c r="BS101" i="15"/>
  <c r="BS130" i="15"/>
  <c r="BU130" i="15" s="1"/>
  <c r="S129" i="40" s="1"/>
  <c r="BD110" i="15"/>
  <c r="BG110" i="15" s="1"/>
  <c r="BT110" i="15" s="1"/>
  <c r="R109" i="40" s="1"/>
  <c r="AO107" i="15"/>
  <c r="AR107" i="15" s="1"/>
  <c r="BS107" i="15" s="1"/>
  <c r="AO104" i="15"/>
  <c r="AR104" i="15" s="1"/>
  <c r="BT104" i="15" s="1"/>
  <c r="R103" i="40" s="1"/>
  <c r="BS89" i="15"/>
  <c r="BU73" i="15"/>
  <c r="S72" i="40" s="1"/>
  <c r="BS76" i="15"/>
  <c r="BU76" i="15" s="1"/>
  <c r="S75" i="40" s="1"/>
  <c r="BF97" i="15"/>
  <c r="BU50" i="15"/>
  <c r="S49" i="40" s="1"/>
  <c r="BM51" i="43" s="1"/>
  <c r="R19" i="45" s="1"/>
  <c r="BS119" i="15"/>
  <c r="BU119" i="15" s="1"/>
  <c r="S118" i="40" s="1"/>
  <c r="BF119" i="15"/>
  <c r="BT87" i="15"/>
  <c r="R86" i="40" s="1"/>
  <c r="BT105" i="15"/>
  <c r="R104" i="40" s="1"/>
  <c r="BF89" i="15"/>
  <c r="BT58" i="15"/>
  <c r="R57" i="40" s="1"/>
  <c r="BS105" i="15"/>
  <c r="BU94" i="15"/>
  <c r="S93" i="40" s="1"/>
  <c r="BU85" i="15"/>
  <c r="S84" i="40" s="1"/>
  <c r="BD77" i="15"/>
  <c r="BG77" i="15" s="1"/>
  <c r="BS77" i="15" s="1"/>
  <c r="BS115" i="15"/>
  <c r="BU115" i="15" s="1"/>
  <c r="S114" i="40" s="1"/>
  <c r="BF115" i="15"/>
  <c r="AO100" i="15"/>
  <c r="AR100" i="15" s="1"/>
  <c r="AO99" i="15"/>
  <c r="AR99" i="15" s="1"/>
  <c r="BT99" i="15" s="1"/>
  <c r="R98" i="40" s="1"/>
  <c r="BS109" i="15"/>
  <c r="BU142" i="15"/>
  <c r="S141" i="40" s="1"/>
  <c r="AO128" i="15"/>
  <c r="AR128" i="15" s="1"/>
  <c r="BT128" i="15" s="1"/>
  <c r="R127" i="40" s="1"/>
  <c r="BD95" i="15"/>
  <c r="BG95" i="15" s="1"/>
  <c r="BT95" i="15" s="1"/>
  <c r="R94" i="40" s="1"/>
  <c r="BF106" i="15"/>
  <c r="BF132" i="15"/>
  <c r="BD132" i="15"/>
  <c r="BG132" i="15" s="1"/>
  <c r="BS127" i="15"/>
  <c r="BU127" i="15" s="1"/>
  <c r="S126" i="40" s="1"/>
  <c r="BD100" i="15"/>
  <c r="BG100" i="15" s="1"/>
  <c r="AO93" i="15"/>
  <c r="AR93" i="15" s="1"/>
  <c r="BT93" i="15" s="1"/>
  <c r="R92" i="40" s="1"/>
  <c r="BL60" i="43" s="1"/>
  <c r="Q28" i="45" s="1"/>
  <c r="BU96" i="15"/>
  <c r="S95" i="40" s="1"/>
  <c r="BS133" i="15"/>
  <c r="BU133" i="15" s="1"/>
  <c r="S132" i="40" s="1"/>
  <c r="BU120" i="15"/>
  <c r="S119" i="40" s="1"/>
  <c r="AO126" i="15"/>
  <c r="AR126" i="15" s="1"/>
  <c r="AQ126" i="15"/>
  <c r="BT109" i="15"/>
  <c r="R108" i="40" s="1"/>
  <c r="BD122" i="15"/>
  <c r="BG122" i="15" s="1"/>
  <c r="BU134" i="15"/>
  <c r="S133" i="40" s="1"/>
  <c r="BD108" i="15"/>
  <c r="BG108" i="15" s="1"/>
  <c r="BS108" i="15" s="1"/>
  <c r="BT111" i="15"/>
  <c r="R110" i="40" s="1"/>
  <c r="BT66" i="15"/>
  <c r="R65" i="40" s="1"/>
  <c r="BS54" i="15"/>
  <c r="BU54" i="15" s="1"/>
  <c r="S53" i="40" s="1"/>
  <c r="BS84" i="15"/>
  <c r="BU84" i="15" s="1"/>
  <c r="S83" i="40" s="1"/>
  <c r="BS111" i="15"/>
  <c r="AQ129" i="15"/>
  <c r="AO129" i="15"/>
  <c r="AR129" i="15" s="1"/>
  <c r="BU112" i="15"/>
  <c r="S111" i="40" s="1"/>
  <c r="BM64" i="43" s="1"/>
  <c r="R32" i="45" s="1"/>
  <c r="BT80" i="15"/>
  <c r="R79" i="40" s="1"/>
  <c r="BF135" i="15"/>
  <c r="BD135" i="15"/>
  <c r="BG135" i="15" s="1"/>
  <c r="AO131" i="15"/>
  <c r="AR131" i="15" s="1"/>
  <c r="AQ131" i="15"/>
  <c r="AQ132" i="15"/>
  <c r="AO132" i="15"/>
  <c r="AR132" i="15" s="1"/>
  <c r="BU86" i="15"/>
  <c r="S85" i="40" s="1"/>
  <c r="BT103" i="15"/>
  <c r="R102" i="40" s="1"/>
  <c r="BL62" i="43" s="1"/>
  <c r="Q30" i="45" s="1"/>
  <c r="BS117" i="15"/>
  <c r="BU117" i="15" s="1"/>
  <c r="S116" i="40" s="1"/>
  <c r="BS81" i="15"/>
  <c r="BU81" i="15" s="1"/>
  <c r="S80" i="40" s="1"/>
  <c r="BU124" i="15"/>
  <c r="S123" i="40" s="1"/>
  <c r="BD121" i="15"/>
  <c r="BG121" i="15" s="1"/>
  <c r="BS87" i="15"/>
  <c r="AO106" i="15"/>
  <c r="AR106" i="15" s="1"/>
  <c r="BS106" i="15" s="1"/>
  <c r="BT92" i="15"/>
  <c r="R91" i="40" s="1"/>
  <c r="BT90" i="15"/>
  <c r="BU90" i="15" s="1"/>
  <c r="S89" i="40" s="1"/>
  <c r="BT125" i="15"/>
  <c r="R124" i="40" s="1"/>
  <c r="AO122" i="15"/>
  <c r="AR122" i="15" s="1"/>
  <c r="BU102" i="15"/>
  <c r="S101" i="40" s="1"/>
  <c r="BF123" i="15"/>
  <c r="BD123" i="15"/>
  <c r="BG123" i="15" s="1"/>
  <c r="BT88" i="15"/>
  <c r="BU88" i="15" s="1"/>
  <c r="S87" i="40" s="1"/>
  <c r="BU89" i="15"/>
  <c r="S88" i="40" s="1"/>
  <c r="BU113" i="15"/>
  <c r="S112" i="40" s="1"/>
  <c r="BS80" i="15"/>
  <c r="BU47" i="15"/>
  <c r="S46" i="40" s="1"/>
  <c r="S45" i="40" s="1"/>
  <c r="BT69" i="43"/>
  <c r="Y37" i="45" s="1"/>
  <c r="BL69" i="43"/>
  <c r="Q37" i="45" s="1"/>
  <c r="BM70" i="43"/>
  <c r="R38" i="45" s="1"/>
  <c r="BL53" i="43"/>
  <c r="Q21" i="45" s="1"/>
  <c r="BL71" i="43"/>
  <c r="Q39" i="45" s="1"/>
  <c r="BU79" i="15"/>
  <c r="S78" i="40" s="1"/>
  <c r="R78" i="40"/>
  <c r="BL65" i="43"/>
  <c r="Q33" i="45" s="1"/>
  <c r="R114" i="40"/>
  <c r="BL55" i="43"/>
  <c r="Q23" i="45" s="1"/>
  <c r="BL50" i="43"/>
  <c r="Q18" i="45" s="1"/>
  <c r="BU51" i="15"/>
  <c r="S50" i="40" s="1"/>
  <c r="R50" i="40"/>
  <c r="BU98" i="15"/>
  <c r="S97" i="40" s="1"/>
  <c r="R97" i="40"/>
  <c r="BU67" i="15"/>
  <c r="S66" i="40" s="1"/>
  <c r="R66" i="40"/>
  <c r="BL56" i="43"/>
  <c r="Q24" i="45" s="1"/>
  <c r="BL52" i="43"/>
  <c r="Q20" i="45" s="1"/>
  <c r="BL54" i="43"/>
  <c r="Q22" i="45" s="1"/>
  <c r="BU71" i="15"/>
  <c r="S70" i="40" s="1"/>
  <c r="R70" i="40"/>
  <c r="BL58" i="43"/>
  <c r="Q26" i="45" s="1"/>
  <c r="CS44" i="38"/>
  <c r="CT44" i="38" s="1"/>
  <c r="CU44" i="38" s="1"/>
  <c r="CV44" i="38" s="1"/>
  <c r="BT91" i="15"/>
  <c r="BU65" i="15"/>
  <c r="S64" i="40" s="1"/>
  <c r="BU137" i="15"/>
  <c r="S136" i="40" s="1"/>
  <c r="BU118" i="15"/>
  <c r="S117" i="40" s="1"/>
  <c r="BU56" i="15"/>
  <c r="S55" i="40" s="1"/>
  <c r="BU114" i="15"/>
  <c r="S113" i="40" s="1"/>
  <c r="BU83" i="15"/>
  <c r="S82" i="40" s="1"/>
  <c r="BU146" i="15"/>
  <c r="S145" i="40" s="1"/>
  <c r="BU60" i="15"/>
  <c r="S59" i="40" s="1"/>
  <c r="BU53" i="15"/>
  <c r="S52" i="40" s="1"/>
  <c r="BU136" i="15"/>
  <c r="S135" i="40" s="1"/>
  <c r="BU63" i="15"/>
  <c r="S62" i="40" s="1"/>
  <c r="BU46" i="15"/>
  <c r="BU58" i="15"/>
  <c r="S57" i="40" s="1"/>
  <c r="BU101" i="15"/>
  <c r="S100" i="40" s="1"/>
  <c r="BU62" i="15"/>
  <c r="S61" i="40" s="1"/>
  <c r="BU75" i="15"/>
  <c r="S74" i="40" s="1"/>
  <c r="BU140" i="15"/>
  <c r="S139" i="40" s="1"/>
  <c r="BU74" i="15"/>
  <c r="S73" i="40" s="1"/>
  <c r="BU72" i="15"/>
  <c r="S71" i="40" s="1"/>
  <c r="BU68" i="15"/>
  <c r="S67" i="40" s="1"/>
  <c r="BU82" i="15"/>
  <c r="S81" i="40" s="1"/>
  <c r="BU64" i="15"/>
  <c r="S63" i="40" s="1"/>
  <c r="BU138" i="15"/>
  <c r="S137" i="40" s="1"/>
  <c r="BU69" i="15"/>
  <c r="S68" i="40" s="1"/>
  <c r="BU78" i="15"/>
  <c r="S77" i="40" s="1"/>
  <c r="BU49" i="15"/>
  <c r="S48" i="40" s="1"/>
  <c r="BU59" i="15"/>
  <c r="S58" i="40" s="1"/>
  <c r="BU55" i="15"/>
  <c r="S54" i="40" s="1"/>
  <c r="BU87" i="15" l="1"/>
  <c r="S86" i="40" s="1"/>
  <c r="BS97" i="15"/>
  <c r="BT126" i="15"/>
  <c r="R125" i="40" s="1"/>
  <c r="BU109" i="15"/>
  <c r="S108" i="40" s="1"/>
  <c r="BU97" i="15"/>
  <c r="S96" i="40" s="1"/>
  <c r="BS110" i="15"/>
  <c r="BU110" i="15" s="1"/>
  <c r="S109" i="40" s="1"/>
  <c r="BT107" i="15"/>
  <c r="BU107" i="15" s="1"/>
  <c r="S106" i="40" s="1"/>
  <c r="BM63" i="43" s="1"/>
  <c r="R31" i="45" s="1"/>
  <c r="BS104" i="15"/>
  <c r="BU104" i="15" s="1"/>
  <c r="S103" i="40" s="1"/>
  <c r="BT77" i="15"/>
  <c r="R76" i="40" s="1"/>
  <c r="BT100" i="15"/>
  <c r="R99" i="40" s="1"/>
  <c r="BS95" i="15"/>
  <c r="BU95" i="15" s="1"/>
  <c r="S94" i="40" s="1"/>
  <c r="BU105" i="15"/>
  <c r="S104" i="40" s="1"/>
  <c r="BS99" i="15"/>
  <c r="BU99" i="15" s="1"/>
  <c r="S98" i="40" s="1"/>
  <c r="BS100" i="15"/>
  <c r="BU80" i="15"/>
  <c r="S79" i="40" s="1"/>
  <c r="O28" i="15"/>
  <c r="W21" i="46" s="1"/>
  <c r="BS128" i="15"/>
  <c r="BU128" i="15" s="1"/>
  <c r="S127" i="40" s="1"/>
  <c r="BT108" i="15"/>
  <c r="R107" i="40" s="1"/>
  <c r="BS93" i="15"/>
  <c r="BU93" i="15" s="1"/>
  <c r="S92" i="40" s="1"/>
  <c r="BM60" i="43" s="1"/>
  <c r="R28" i="45" s="1"/>
  <c r="P23" i="15"/>
  <c r="X16" i="46" s="1"/>
  <c r="BU111" i="15"/>
  <c r="S110" i="40" s="1"/>
  <c r="BU66" i="15"/>
  <c r="S65" i="40" s="1"/>
  <c r="BS126" i="15"/>
  <c r="BU126" i="15" s="1"/>
  <c r="S125" i="40" s="1"/>
  <c r="BM67" i="43" s="1"/>
  <c r="R35" i="45" s="1"/>
  <c r="BU92" i="15"/>
  <c r="S91" i="40" s="1"/>
  <c r="BS129" i="15"/>
  <c r="BT129" i="15"/>
  <c r="R128" i="40" s="1"/>
  <c r="BT131" i="15"/>
  <c r="R130" i="40" s="1"/>
  <c r="BL68" i="43" s="1"/>
  <c r="Q36" i="45" s="1"/>
  <c r="BS131" i="15"/>
  <c r="BT135" i="15"/>
  <c r="R134" i="40" s="1"/>
  <c r="BS135" i="15"/>
  <c r="BU103" i="15"/>
  <c r="S102" i="40" s="1"/>
  <c r="BM62" i="43" s="1"/>
  <c r="R30" i="45" s="1"/>
  <c r="BT132" i="15"/>
  <c r="R131" i="40" s="1"/>
  <c r="BS132" i="15"/>
  <c r="BU125" i="15"/>
  <c r="S124" i="40" s="1"/>
  <c r="N24" i="15"/>
  <c r="V17" i="46" s="1"/>
  <c r="BT106" i="15"/>
  <c r="N18" i="15"/>
  <c r="V11" i="46" s="1"/>
  <c r="O21" i="15"/>
  <c r="W14" i="46" s="1"/>
  <c r="BT121" i="15"/>
  <c r="R120" i="40" s="1"/>
  <c r="BS121" i="15"/>
  <c r="R89" i="40"/>
  <c r="R87" i="40"/>
  <c r="BL59" i="43" s="1"/>
  <c r="Q27" i="45" s="1"/>
  <c r="R106" i="40"/>
  <c r="BL63" i="43" s="1"/>
  <c r="Q31" i="45" s="1"/>
  <c r="BS122" i="15"/>
  <c r="BT122" i="15"/>
  <c r="R121" i="40" s="1"/>
  <c r="BL66" i="43" s="1"/>
  <c r="Q34" i="45" s="1"/>
  <c r="BT123" i="15"/>
  <c r="R122" i="40" s="1"/>
  <c r="BS123" i="15"/>
  <c r="BU108" i="15"/>
  <c r="S107" i="40" s="1"/>
  <c r="CW44" i="38"/>
  <c r="Z45" i="40"/>
  <c r="BM58" i="43"/>
  <c r="R26" i="45" s="1"/>
  <c r="BM69" i="43"/>
  <c r="R37" i="45" s="1"/>
  <c r="BU91" i="15"/>
  <c r="S90" i="40" s="1"/>
  <c r="R90" i="40"/>
  <c r="BM55" i="43"/>
  <c r="R23" i="45" s="1"/>
  <c r="BM56" i="43"/>
  <c r="R24" i="45" s="1"/>
  <c r="BM65" i="43"/>
  <c r="R33" i="45" s="1"/>
  <c r="BM61" i="43"/>
  <c r="R29" i="45" s="1"/>
  <c r="BM53" i="43"/>
  <c r="R21" i="45" s="1"/>
  <c r="BM50" i="43"/>
  <c r="R18" i="45" s="1"/>
  <c r="BM59" i="43"/>
  <c r="R27" i="45" s="1"/>
  <c r="BM57" i="43"/>
  <c r="R25" i="45" s="1"/>
  <c r="BM52" i="43"/>
  <c r="R20" i="45" s="1"/>
  <c r="BM71" i="43"/>
  <c r="R39" i="45" s="1"/>
  <c r="BM54" i="43"/>
  <c r="R22" i="45" s="1"/>
  <c r="BL67" i="43"/>
  <c r="Q35" i="45" s="1"/>
  <c r="BL61" i="43"/>
  <c r="Q29" i="45" s="1"/>
  <c r="BL57" i="43"/>
  <c r="Q25" i="45" s="1"/>
  <c r="BU77" i="15" l="1"/>
  <c r="S76" i="40" s="1"/>
  <c r="BU100" i="15"/>
  <c r="S99" i="40" s="1"/>
  <c r="W21" i="1"/>
  <c r="V11" i="1"/>
  <c r="X16" i="1"/>
  <c r="BU135" i="15"/>
  <c r="S134" i="40" s="1"/>
  <c r="BU131" i="15"/>
  <c r="S130" i="40" s="1"/>
  <c r="BM68" i="43" s="1"/>
  <c r="R36" i="45" s="1"/>
  <c r="N29" i="15"/>
  <c r="V22" i="46" s="1"/>
  <c r="W14" i="1"/>
  <c r="BU123" i="15"/>
  <c r="S122" i="40" s="1"/>
  <c r="BU121" i="15"/>
  <c r="S120" i="40" s="1"/>
  <c r="BU132" i="15"/>
  <c r="S131" i="40" s="1"/>
  <c r="BU129" i="15"/>
  <c r="S128" i="40" s="1"/>
  <c r="V17" i="1"/>
  <c r="R105" i="40"/>
  <c r="BU106" i="15"/>
  <c r="S105" i="40" s="1"/>
  <c r="BT148" i="15"/>
  <c r="BU122" i="15"/>
  <c r="S121" i="40" s="1"/>
  <c r="BM66" i="43" s="1"/>
  <c r="R34" i="45" s="1"/>
  <c r="CX44" i="38"/>
  <c r="L50" i="43"/>
  <c r="L55" i="43"/>
  <c r="L54" i="43"/>
  <c r="L51" i="43"/>
  <c r="V22" i="1" l="1"/>
  <c r="N30" i="15"/>
  <c r="V23" i="46" s="1"/>
  <c r="BT50" i="43"/>
  <c r="Y18" i="45" s="1"/>
  <c r="AF25" i="44"/>
  <c r="V23" i="1" l="1"/>
  <c r="AV25" i="44"/>
  <c r="AV24" i="44" l="1"/>
  <c r="AF24" i="44"/>
</calcChain>
</file>

<file path=xl/sharedStrings.xml><?xml version="1.0" encoding="utf-8"?>
<sst xmlns="http://schemas.openxmlformats.org/spreadsheetml/2006/main" count="2612" uniqueCount="1116">
  <si>
    <t>Description</t>
  </si>
  <si>
    <t>Symbol</t>
  </si>
  <si>
    <t>Unit</t>
  </si>
  <si>
    <t>Input Values</t>
  </si>
  <si>
    <t>in</t>
  </si>
  <si>
    <t>psi</t>
  </si>
  <si>
    <t>b/2</t>
  </si>
  <si>
    <t>ft</t>
  </si>
  <si>
    <t>Root Chord</t>
  </si>
  <si>
    <t>Half-Span</t>
  </si>
  <si>
    <t>C_r</t>
  </si>
  <si>
    <t>Tip Chord</t>
  </si>
  <si>
    <t>C_t</t>
  </si>
  <si>
    <t>Planform</t>
  </si>
  <si>
    <t>-</t>
  </si>
  <si>
    <t>AW_x/c_tip</t>
  </si>
  <si>
    <t>AW_t/c</t>
  </si>
  <si>
    <t>lb</t>
  </si>
  <si>
    <t>Spar Height/Chord</t>
  </si>
  <si>
    <t>Aft Web Height/Chord</t>
  </si>
  <si>
    <t>Spar Location % Chord</t>
  </si>
  <si>
    <t>Aft Web Location % Chord</t>
  </si>
  <si>
    <t>Plotting</t>
  </si>
  <si>
    <t>Root Chord LE</t>
  </si>
  <si>
    <t>Root Chord TE</t>
  </si>
  <si>
    <t>Factor of Safety, Stress</t>
  </si>
  <si>
    <t>Design Limit Loads</t>
  </si>
  <si>
    <t>FS_stress</t>
  </si>
  <si>
    <t>FS_buckling</t>
  </si>
  <si>
    <t>Structural Factors</t>
  </si>
  <si>
    <t>Spar Cap Density</t>
  </si>
  <si>
    <t>Spar Cap Modulus</t>
  </si>
  <si>
    <t>Spar Cap Compression Ult. Allowable (Uni)</t>
  </si>
  <si>
    <t>Spar Cap Tension Ult Allowable (Uni)</t>
  </si>
  <si>
    <t>K_Fab</t>
  </si>
  <si>
    <t>Bonded Joint Weight  (W_joints/W_laminate)</t>
  </si>
  <si>
    <t>Assumes Straight Quarter-chord</t>
  </si>
  <si>
    <t>E11_Cap</t>
  </si>
  <si>
    <t>rho_Cap</t>
  </si>
  <si>
    <t>lb/in^3</t>
  </si>
  <si>
    <t>Assumes +/- 45 deg Fabric</t>
  </si>
  <si>
    <t>Material - Skins and Webs</t>
  </si>
  <si>
    <t>Shear Ult. Allowable</t>
  </si>
  <si>
    <t>F1_CU_Cap</t>
  </si>
  <si>
    <t>F1_TU_Cap</t>
  </si>
  <si>
    <t>Shear Modulus</t>
  </si>
  <si>
    <t>E11_Bias</t>
  </si>
  <si>
    <t>F12_Bias</t>
  </si>
  <si>
    <t>G12_Bias</t>
  </si>
  <si>
    <t>Skin Density</t>
  </si>
  <si>
    <t>Skin Cured Ply Thickness</t>
  </si>
  <si>
    <t>rho_Bias</t>
  </si>
  <si>
    <t>CPT_Bias</t>
  </si>
  <si>
    <t>Core Modulus (E11=E22=E33)</t>
  </si>
  <si>
    <t>E_Core</t>
  </si>
  <si>
    <t>Core Compression Strength</t>
  </si>
  <si>
    <t>Core Shear Strength</t>
  </si>
  <si>
    <t>Fsu_Core</t>
  </si>
  <si>
    <t>Core Density</t>
  </si>
  <si>
    <t>rho_Core</t>
  </si>
  <si>
    <t>Skin Compression Modulus</t>
  </si>
  <si>
    <t>Material - Skin and Web Core</t>
  </si>
  <si>
    <t>Materials - Spar Caps</t>
  </si>
  <si>
    <t>Manufacturing Weight Factors</t>
  </si>
  <si>
    <t>Name</t>
  </si>
  <si>
    <t>Type</t>
  </si>
  <si>
    <t>E1</t>
  </si>
  <si>
    <t>E2</t>
  </si>
  <si>
    <t>E3</t>
  </si>
  <si>
    <t>NU12</t>
  </si>
  <si>
    <t>NU13</t>
  </si>
  <si>
    <t>NU23</t>
  </si>
  <si>
    <t>G12</t>
  </si>
  <si>
    <t>G13</t>
  </si>
  <si>
    <t>G23</t>
  </si>
  <si>
    <t>CTE1</t>
  </si>
  <si>
    <t>CTE2</t>
  </si>
  <si>
    <t>CTE3</t>
  </si>
  <si>
    <t>K1</t>
  </si>
  <si>
    <t>K2</t>
  </si>
  <si>
    <t>K3</t>
  </si>
  <si>
    <t>CP</t>
  </si>
  <si>
    <t>rho</t>
  </si>
  <si>
    <t>Tensile1</t>
  </si>
  <si>
    <t>Tensile2</t>
  </si>
  <si>
    <t>Tensile3</t>
  </si>
  <si>
    <t>Compressive1</t>
  </si>
  <si>
    <t>Compressive2</t>
  </si>
  <si>
    <t>Compressive3</t>
  </si>
  <si>
    <t>Shear12</t>
  </si>
  <si>
    <t>Shear13</t>
  </si>
  <si>
    <t>Shear23</t>
  </si>
  <si>
    <t>Tsai-Wu</t>
  </si>
  <si>
    <t>mN/mm^2(kPa)</t>
  </si>
  <si>
    <t>Unitless</t>
  </si>
  <si>
    <t>1/C</t>
  </si>
  <si>
    <t>microW/mm-C</t>
  </si>
  <si>
    <t>microJ/kg-K</t>
  </si>
  <si>
    <t>kg/mm^3</t>
  </si>
  <si>
    <t>mm^4/mN^2</t>
  </si>
  <si>
    <t>Orthotropic</t>
  </si>
  <si>
    <t>Blank</t>
  </si>
  <si>
    <t>Carbon_Fiber_Plain_Weave_T700S</t>
  </si>
  <si>
    <t>Core_Foam_PVC_Divinycell_HP60</t>
  </si>
  <si>
    <t>Isotropic</t>
  </si>
  <si>
    <t>HP60 (4 pcf)</t>
  </si>
  <si>
    <t>(T700PW)</t>
  </si>
  <si>
    <t>From Laminate Theory -T700S +/- 45deg Bias</t>
  </si>
  <si>
    <t>Laminate Props:</t>
  </si>
  <si>
    <t>nu12</t>
  </si>
  <si>
    <t>Allowables</t>
  </si>
  <si>
    <t>NX, T</t>
  </si>
  <si>
    <t>lbs/in</t>
  </si>
  <si>
    <t>NX, C</t>
  </si>
  <si>
    <t>NY, T</t>
  </si>
  <si>
    <t>NY, C</t>
  </si>
  <si>
    <t>NXY</t>
  </si>
  <si>
    <t>CPT</t>
  </si>
  <si>
    <t>Sigma</t>
  </si>
  <si>
    <t>Tip Chord LE</t>
  </si>
  <si>
    <t>Tip Chord TE</t>
  </si>
  <si>
    <t>T700S Fabric</t>
  </si>
  <si>
    <t>T700S PW Fabric, 45 Bias, Ref. Direction along spar</t>
  </si>
  <si>
    <t>Spar Root</t>
  </si>
  <si>
    <t>Spar Tip</t>
  </si>
  <si>
    <t>Aft Web Root</t>
  </si>
  <si>
    <t>Aft Web Tip</t>
  </si>
  <si>
    <t>X [ft]</t>
  </si>
  <si>
    <t>Y [ft]</t>
  </si>
  <si>
    <t>Notes:</t>
  </si>
  <si>
    <t xml:space="preserve">Segment </t>
  </si>
  <si>
    <t>Chord [ft]</t>
  </si>
  <si>
    <t>BL [ft] - OB Edge</t>
  </si>
  <si>
    <t>Segment Width [ft]</t>
  </si>
  <si>
    <t>Segment Area [ft/2]</t>
  </si>
  <si>
    <t>lb/ft^2</t>
  </si>
  <si>
    <t>Trapezoidal Lift Dist.</t>
  </si>
  <si>
    <t>Segment Lift [lbs]</t>
  </si>
  <si>
    <t>b</t>
  </si>
  <si>
    <t>Elliptical Chord [ft]</t>
  </si>
  <si>
    <t>Shrenk Chord [ft]</t>
  </si>
  <si>
    <t>Shrenk Lift Dist.</t>
  </si>
  <si>
    <t>ft-lb</t>
  </si>
  <si>
    <t>Root Quarter-Chord</t>
  </si>
  <si>
    <t>+Y Wing, Right-Side</t>
  </si>
  <si>
    <t>Segment 
Width [ft]</t>
  </si>
  <si>
    <t>Schrenk loading assumption; average of trapezoidal and elliptical lift distribution.</t>
  </si>
  <si>
    <t>Shear [lbs] -
 OB Edge - Vz</t>
  </si>
  <si>
    <t>Moment [ft-lbs] -
 OB Edge - Mx</t>
  </si>
  <si>
    <t>Lift</t>
  </si>
  <si>
    <t>Horizontal Shear
Vx [lb]</t>
  </si>
  <si>
    <t>Vertical Shear 
Vz [lb]</t>
  </si>
  <si>
    <t>ECHO</t>
  </si>
  <si>
    <t>Segment 
Area [ft^2]</t>
  </si>
  <si>
    <t>Segment Area [ft^2]</t>
  </si>
  <si>
    <t>Units - FEET  - Inch Conversions to the --&gt;&gt;</t>
  </si>
  <si>
    <t>Segment 
Area [in^2]</t>
  </si>
  <si>
    <t>Horizontal Bending and Shear Dimensions</t>
  </si>
  <si>
    <t>Torsion Dimensions</t>
  </si>
  <si>
    <t>Torque Box Height [in]</t>
  </si>
  <si>
    <t>Elliptical
Torque Box
Area [in^2]</t>
  </si>
  <si>
    <t>Torque Box Width [in]</t>
  </si>
  <si>
    <t>Aft Web Offset 
from LE 
[in]</t>
  </si>
  <si>
    <t>Aft Web 
Height [in]</t>
  </si>
  <si>
    <t>Minimum Number of OML Plies</t>
  </si>
  <si>
    <t>MG_OML</t>
  </si>
  <si>
    <t>MG_IML</t>
  </si>
  <si>
    <t>Minimum Number of IML Plies</t>
  </si>
  <si>
    <t>MT_Core</t>
  </si>
  <si>
    <t>Vertical 
Bending 
Mx [in-lb]</t>
  </si>
  <si>
    <t>Torsion 
My [in-lb]</t>
  </si>
  <si>
    <t>All stress calculations are in inches and pounds.</t>
  </si>
  <si>
    <t>Horizontal Bending
Mz [in-lb]</t>
  </si>
  <si>
    <t>BL 
[in]</t>
  </si>
  <si>
    <t>Chord
[in]</t>
  </si>
  <si>
    <t xml:space="preserve"> Segment
Width
[in]</t>
  </si>
  <si>
    <t>Segment</t>
  </si>
  <si>
    <t>Spar Cap - Compression</t>
  </si>
  <si>
    <t>Spar Cap - Tension</t>
  </si>
  <si>
    <t>Stress</t>
  </si>
  <si>
    <t>Skins - Horizontal Bending</t>
  </si>
  <si>
    <t>F = M/h, A = F/sigma</t>
  </si>
  <si>
    <t>Running Load = V/h, t = RL/sigma</t>
  </si>
  <si>
    <t>Fwd and Aft Web Caps</t>
  </si>
  <si>
    <t>Main Spar is assumed to react all vertical bending and shear.</t>
  </si>
  <si>
    <t xml:space="preserve">Forward and Aft Webs have cap material added to react horizontal bending.  All horizontal bending is assumed to be reacted through the fwd and aft web caps.  </t>
  </si>
  <si>
    <t>Horizontal shear is carried through the lower skin.</t>
  </si>
  <si>
    <t>Running Load = T/2A, t = RL/sigma</t>
  </si>
  <si>
    <t>Distance 
from Spar 
to 
Aft Web 
[in]</t>
  </si>
  <si>
    <t>Spar 
Offset 
from LE 
[in]</t>
  </si>
  <si>
    <t>Vertical Shear Web Height [in]</t>
  </si>
  <si>
    <t>Vertical Shear Web [lbs/in]</t>
  </si>
  <si>
    <t>Horizontal Shear [lbs/in]</t>
  </si>
  <si>
    <t>Skin Shear Flow from Torsion [lbs/in]</t>
  </si>
  <si>
    <t>1st Pass -Horizontal Bending Cap Loads [lbs/in]</t>
  </si>
  <si>
    <t>Skins, Fwd, and Aft Webs</t>
  </si>
  <si>
    <t>Vert Spar
Comp.
Cap Area [in^2]</t>
  </si>
  <si>
    <t>Vert Spar
Tension
Cap Area [in^2]</t>
  </si>
  <si>
    <t>1st-pass Skin Thickness [in]</t>
  </si>
  <si>
    <t>Spar Web
 Plies [n]</t>
  </si>
  <si>
    <t>Spar Web Facesheet 1, Plies [n]</t>
  </si>
  <si>
    <t>Spar Web Facesheet 2, Plies [n]</t>
  </si>
  <si>
    <t>Facesheet Wrinkling Stress</t>
  </si>
  <si>
    <t>Core Shear Modulus (G12=G13)</t>
  </si>
  <si>
    <t>G_Core</t>
  </si>
  <si>
    <t>Buckling</t>
  </si>
  <si>
    <t xml:space="preserve">Wrinkling </t>
  </si>
  <si>
    <t>Shear-Crimp</t>
  </si>
  <si>
    <t>Thin Facesheet Assumption, NASA 99 CR-08994</t>
  </si>
  <si>
    <r>
      <rPr>
        <sz val="11"/>
        <color theme="1"/>
        <rFont val="Calibri"/>
        <family val="2"/>
      </rPr>
      <t>σ</t>
    </r>
    <r>
      <rPr>
        <sz val="11"/>
        <color theme="1"/>
        <rFont val="Calibri"/>
        <family val="2"/>
        <scheme val="minor"/>
      </rPr>
      <t>_Wrinkle</t>
    </r>
  </si>
  <si>
    <r>
      <rPr>
        <sz val="11"/>
        <color theme="1"/>
        <rFont val="Calibri"/>
        <family val="2"/>
      </rPr>
      <t>σ</t>
    </r>
    <r>
      <rPr>
        <sz val="11"/>
        <color theme="1"/>
        <rFont val="Calibri"/>
        <family val="2"/>
        <scheme val="minor"/>
      </rPr>
      <t>_DLL</t>
    </r>
  </si>
  <si>
    <t xml:space="preserve">DLL Facesheet Shear Stress Allowable </t>
  </si>
  <si>
    <t>Bias Shear Ult. Allowable</t>
  </si>
  <si>
    <t>Bias Shear Modulus</t>
  </si>
  <si>
    <t>Bias Skin Compression Modulus</t>
  </si>
  <si>
    <t>E11=E22</t>
  </si>
  <si>
    <t>Warp Fabric Modulus</t>
  </si>
  <si>
    <t>1st-pass Skin Plies [n]</t>
  </si>
  <si>
    <t>Skin Facesheet OML Plies [n]</t>
  </si>
  <si>
    <t>Minimum Core Thickness and Increments</t>
  </si>
  <si>
    <t>Global</t>
  </si>
  <si>
    <t>As-built Min Facesheet Thickness
[in]</t>
  </si>
  <si>
    <t>NASA CR-1457</t>
  </si>
  <si>
    <t>Structural Stability of Sandwich Panels and Shells</t>
  </si>
  <si>
    <t>V</t>
  </si>
  <si>
    <t>Tc</t>
  </si>
  <si>
    <t>Ef</t>
  </si>
  <si>
    <t>tf</t>
  </si>
  <si>
    <t>Gca</t>
  </si>
  <si>
    <t>Kf</t>
  </si>
  <si>
    <t>Ks</t>
  </si>
  <si>
    <t>Fs</t>
  </si>
  <si>
    <t>b &lt;&lt; a  (b/a = 0)</t>
  </si>
  <si>
    <t>tf &lt;&lt; h</t>
  </si>
  <si>
    <t>KM (fit)</t>
  </si>
  <si>
    <t>KM (table)</t>
  </si>
  <si>
    <t>Avg. K</t>
  </si>
  <si>
    <t>Error</t>
  </si>
  <si>
    <t>1st Pass Min Core Thickness Shear Crimp [in]</t>
  </si>
  <si>
    <t>DUL Buckling Min req'd Facesheet Stress [psi]</t>
  </si>
  <si>
    <t>Tc
Core Thickness [in]</t>
  </si>
  <si>
    <t>Facesheet
Thickness
[in]</t>
  </si>
  <si>
    <t>Facesheet
Modulus
[psi]</t>
  </si>
  <si>
    <t>NASA CR-1457 Core Sizing Iteration 1</t>
  </si>
  <si>
    <t>Min 
Spar Web Thickness [in]</t>
  </si>
  <si>
    <t>Panel Width
[in]</t>
  </si>
  <si>
    <t>Core 
Shear
Modulus
[psi]</t>
  </si>
  <si>
    <t>Core vs. 
Facesheet
Param
V</t>
  </si>
  <si>
    <t>Buckling Factor
Ks</t>
  </si>
  <si>
    <t>Shear Crimp Core Sizing</t>
  </si>
  <si>
    <t xml:space="preserve"> Core Thickness
as Fab'd  [in]</t>
  </si>
  <si>
    <t>Wing Skin Facesheet Sizing</t>
  </si>
  <si>
    <t>Skin Facesheet IML Plies
[n]</t>
  </si>
  <si>
    <t>NASA CR-1457 Core Sizing Iteration 2</t>
  </si>
  <si>
    <t>NASA CR-1457 Core Sizing Iteration 3</t>
  </si>
  <si>
    <t>Main Spar Web Sizing</t>
  </si>
  <si>
    <t>Additional Parameters Notes:</t>
  </si>
  <si>
    <t>Shear panel buckling coded for NASA CR-1457 methods. Assumes facesheet bending stiffness is small relative to core thickness.</t>
  </si>
  <si>
    <t>See all panel buckling columns, parameter V, to change methods.</t>
  </si>
  <si>
    <t>Core Shear and Panel Buckling</t>
  </si>
  <si>
    <t>Spar caps sized assuming continous core.  Reduced spar height.  See "Spar Height" parameter to change methods.</t>
  </si>
  <si>
    <t>Spar Cap Outer Height
[in]</t>
  </si>
  <si>
    <t>Vertical Shear Dimensions</t>
  </si>
  <si>
    <t>Vertical Bending Dimentions and 1st Spar Cap Iteration</t>
  </si>
  <si>
    <t>Initial Wing 
Height at Spar [in]</t>
  </si>
  <si>
    <t>Spar Web Facesheet 1, Thickness
[in]</t>
  </si>
  <si>
    <t>Spar Web Facesheet 2, Thickness
[in]</t>
  </si>
  <si>
    <t>Skin Facesheet OML Thickness [in]</t>
  </si>
  <si>
    <t>Skin Facesheet IML Thickness [in]</t>
  </si>
  <si>
    <t>Comp Cap Square
Side Length 
[in]</t>
  </si>
  <si>
    <t>Tension
 Cap Square
Side Length 
[in]</t>
  </si>
  <si>
    <t>Vertical Bending Dimentions and 2nd Spar Cap Iteration</t>
  </si>
  <si>
    <t>Vertical Bending Dimentions and 3rd Spar Cap Iteration</t>
  </si>
  <si>
    <t>Spar Cap Centroid Dist
[in]</t>
  </si>
  <si>
    <t>Vertical Bending Dimentions and 4th Spar Cap Iteration</t>
  </si>
  <si>
    <t>Vertical Bending Dimentions, Final Iteration</t>
  </si>
  <si>
    <t>Main Spar Cap Sizing</t>
  </si>
  <si>
    <t>Upper and Lower Wing Skins and Core Sizing</t>
  </si>
  <si>
    <t>Vertical Bending Cap Loads
DLL
 [lbs/in]</t>
  </si>
  <si>
    <t>1st Pass -Vertical Bending Cap Loads - DLL
 [lbs/in]</t>
  </si>
  <si>
    <t>Web Facesheet Sizing</t>
  </si>
  <si>
    <t>Min 
Web Thickness [in]</t>
  </si>
  <si>
    <t>Web
 Plies [n]</t>
  </si>
  <si>
    <t>Aft Web Sizing</t>
  </si>
  <si>
    <t>Web Facesheet 1, Thickness
[in]</t>
  </si>
  <si>
    <t>Web Facesheet 2, Thickness
[in]</t>
  </si>
  <si>
    <t>Horizontal 
Drag Spar
Comp.
Cap Area 
[in^2]</t>
  </si>
  <si>
    <t>Horizontal
Drag Spar
Tension
Cap Area 
[in^2]</t>
  </si>
  <si>
    <t xml:space="preserve">
 Cap Square
Side Length 
[in]</t>
  </si>
  <si>
    <t>Horizontal - Drag Cap Sizing</t>
  </si>
  <si>
    <t>Main Spar Final Core Thickness
[in]</t>
  </si>
  <si>
    <t>Aft Web Final Core Thickness
[in]</t>
  </si>
  <si>
    <t>Web Caps for Thrust/Drag Loads</t>
  </si>
  <si>
    <t>NASA CR-8994: Thin face-sheet assumption, used for all cores.</t>
  </si>
  <si>
    <t>NASA CR-1457: Thin face-sheet assumption, used for all cores.</t>
  </si>
  <si>
    <t>Spar  Web</t>
  </si>
  <si>
    <t>Goodrich, K=0.5: All core sized by min of shear crimp.</t>
  </si>
  <si>
    <t>Wing Skin Final Sized Core Thickness
[in]</t>
  </si>
  <si>
    <t>Design for Manufacturing</t>
  </si>
  <si>
    <t>Zone 1 - Core Thickness [in]</t>
  </si>
  <si>
    <t>Zone 2 - Core Thickness [in]</t>
  </si>
  <si>
    <t>Zone 3 - Core Thickness [in]</t>
  </si>
  <si>
    <t>Zone 4 - Core Thickness [in]</t>
  </si>
  <si>
    <t>Zone 1 - Max Core Thickness [in]</t>
  </si>
  <si>
    <t>Zone 2 - Max Core Thickness [in]</t>
  </si>
  <si>
    <t>Zone 3 - Max Core Thickness [in]</t>
  </si>
  <si>
    <t>Zone 4 - Max Core Thickness [in]</t>
  </si>
  <si>
    <t>Wing Skin As-Built Core Thickness
[in]</t>
  </si>
  <si>
    <t>Zone 1 - OML Thickness [in]</t>
  </si>
  <si>
    <t>Zone 2 - OML Thickness [in]</t>
  </si>
  <si>
    <t>Zone 3 - OML Thickness [in]</t>
  </si>
  <si>
    <t>Zone 4 - OML Thickness [in]</t>
  </si>
  <si>
    <t>Zone 1 - Max OML Thickness [in]</t>
  </si>
  <si>
    <t>Zone 2 - Max OML Thickness [in]</t>
  </si>
  <si>
    <t>Zone 3 - Max OML Thickness [in]</t>
  </si>
  <si>
    <t>Zone 4 - Max OML Thickness [in]</t>
  </si>
  <si>
    <t>Zone 1 - IML Thickness [in]</t>
  </si>
  <si>
    <t>Zone 2 - IML Thickness [in]</t>
  </si>
  <si>
    <t>Zone 3 - IML Thickness [in]</t>
  </si>
  <si>
    <t>Zone 4 - IML Thickness [in]</t>
  </si>
  <si>
    <t>Zone 1 - Max IML Thickness [in]</t>
  </si>
  <si>
    <t>Zone 2 - Max IML Thickness [in]</t>
  </si>
  <si>
    <t>Zone 3 - Max IML Thickness [in]</t>
  </si>
  <si>
    <t>Zone 4 - Max IML Thickness [in]</t>
  </si>
  <si>
    <t>As-built Skin Facesheet OML Thickness [in]</t>
  </si>
  <si>
    <t>As-built Skin Facesheet IML Thickness [in]</t>
  </si>
  <si>
    <t>Zone 1 - FS 1 Thickness [in]</t>
  </si>
  <si>
    <t>Zone 2 - FS 1 Thickness [in]</t>
  </si>
  <si>
    <t>Zone 3 - FS 1 Thickness [in]</t>
  </si>
  <si>
    <t>Zone 4 - FS 1 Thickness [in]</t>
  </si>
  <si>
    <t>Zone 1 - Max FS 1 Thickness [in]</t>
  </si>
  <si>
    <t>Zone 2 - Max FS 1 Thickness [in]</t>
  </si>
  <si>
    <t>Zone 3 - Max FS 1 Thickness [in]</t>
  </si>
  <si>
    <t>Zone 4 - Max FS 1 Thickness [in]</t>
  </si>
  <si>
    <t>Zone 1 - FS 2 Thickness [in]</t>
  </si>
  <si>
    <t>Zone 2 - FS 2 Thickness [in]</t>
  </si>
  <si>
    <t>Zone 3 - FS 2 Thickness [in]</t>
  </si>
  <si>
    <t>Zone 4 - FS 2 Thickness [in]</t>
  </si>
  <si>
    <t>Zone 1 - Max FS 2 Thickness [in]</t>
  </si>
  <si>
    <t>Zone 2 - Max FS 2 Thickness [in]</t>
  </si>
  <si>
    <t>Zone 3 - Max FS 2 Thickness [in]</t>
  </si>
  <si>
    <t>Zone 4 - Max FS 2 Thickness [in]</t>
  </si>
  <si>
    <t>As-built Skin Facesheet 1 Thickness [in]</t>
  </si>
  <si>
    <t>As-built Skin Facesheet 2 Thickness [in]</t>
  </si>
  <si>
    <t>As-built Facesheet 2 Thickness [in]</t>
  </si>
  <si>
    <t>As-built Facesheet 1 Thickness [in]</t>
  </si>
  <si>
    <t>Spar caps are sized for 10 discrete lay-up zones.</t>
  </si>
  <si>
    <t>As-built
Vert Spar
Comp.
Cap Area [in^2]</t>
  </si>
  <si>
    <t>As-built
Vert Spar
Tension
Cap Area [in^2]</t>
  </si>
  <si>
    <t>As-built 
Comp Cap Square
Side Length 
[in]</t>
  </si>
  <si>
    <t>As-built
Tension
 Cap Square
Side Length 
[in]</t>
  </si>
  <si>
    <t xml:space="preserve">
 As-Built
Cap Square
Side Length 
[in]</t>
  </si>
  <si>
    <t>As-Built Spar Core Thickness
[in]</t>
  </si>
  <si>
    <t>As-Built Aft Web Core Thickness
[in]</t>
  </si>
  <si>
    <t>Upper Surface Length vs. Chord</t>
  </si>
  <si>
    <t>Lower Surface Length vs. Chord</t>
  </si>
  <si>
    <t>L_lower/C</t>
  </si>
  <si>
    <t>L_upper/C</t>
  </si>
  <si>
    <t>Additional Parameters:</t>
  </si>
  <si>
    <t>Echo - As-Sized Dimensions</t>
  </si>
  <si>
    <t>Wing Skins</t>
  </si>
  <si>
    <t>Assumes trapezoidal wing and full chord length for wing skin weights.  No consideration for control surface details or booms.</t>
  </si>
  <si>
    <t>Wing Skin
Laminate Areal Weight [lb/in^2]</t>
  </si>
  <si>
    <t>Wing Skin
Core 
Areal Weight [lb/in^2]</t>
  </si>
  <si>
    <t>Wing Skin
Total
Areal Weight [lb/in^2]</t>
  </si>
  <si>
    <t>Upper Wing Skin
Laminate Segment Weight 
[lb]</t>
  </si>
  <si>
    <t>Upper Wing Skin
Total
Segment Weight [lb]</t>
  </si>
  <si>
    <t>Upper Wing Skin
Core 
Segment Weight 
[lb]</t>
  </si>
  <si>
    <t>Lower Wing Skin
Laminate Segment Weight 
[lb]</t>
  </si>
  <si>
    <t>Lower Wing Skin
Core 
Segment Weight 
[lb]</t>
  </si>
  <si>
    <t>Lower Wing Skin
Total
Segment Weight
[lb]</t>
  </si>
  <si>
    <t>Spar</t>
  </si>
  <si>
    <t>Vertical Dimensions</t>
  </si>
  <si>
    <t>Wing 
Height at Spar [in]</t>
  </si>
  <si>
    <t>Spar Web Segment Area
[in^2]</t>
  </si>
  <si>
    <t>Aft Web Segment Area
[in^2]</t>
  </si>
  <si>
    <t>Upper Wing Skin</t>
  </si>
  <si>
    <t>Upper Wing Skin Laminate</t>
  </si>
  <si>
    <t>Upper Wing Skin Core</t>
  </si>
  <si>
    <t>Lower Wing Skin</t>
  </si>
  <si>
    <t>Lower Wing Skin Laminate</t>
  </si>
  <si>
    <t>Lower Wing Skin Core</t>
  </si>
  <si>
    <t>Upper Cap</t>
  </si>
  <si>
    <t>Lower Cap</t>
  </si>
  <si>
    <t>Web</t>
  </si>
  <si>
    <t>Web Laminate</t>
  </si>
  <si>
    <t>Web Core</t>
  </si>
  <si>
    <t>Aft Web</t>
  </si>
  <si>
    <t>Web
Laminate Areal Weight [lb/in^2]</t>
  </si>
  <si>
    <t>Web
Core 
Areal Weight [lb/in^2]</t>
  </si>
  <si>
    <t>Web
Total
Areal Weight [lb/in^2]</t>
  </si>
  <si>
    <t>Web
Laminate Segment Weight 
[lb]</t>
  </si>
  <si>
    <t>Web
Core 
Segment Weight 
[lb]</t>
  </si>
  <si>
    <t>Web
Total
Segment Weight [lb]</t>
  </si>
  <si>
    <t>Comp.
Cap
Segment Weight [lb]</t>
  </si>
  <si>
    <t>Tens. 
Cap
Segment Weight [lb]</t>
  </si>
  <si>
    <t>As-Built Sandwich Weight Factor  (W_built/W_laminate)</t>
  </si>
  <si>
    <t>Core</t>
  </si>
  <si>
    <t>Total - Right Wing</t>
  </si>
  <si>
    <t>[lb]</t>
  </si>
  <si>
    <t>Bond Allowance</t>
  </si>
  <si>
    <t>Zone</t>
  </si>
  <si>
    <t>OML Plies
[-]</t>
  </si>
  <si>
    <t>Core 
Thickness
 [in]</t>
  </si>
  <si>
    <t>BL [in]
Inboard</t>
  </si>
  <si>
    <t>BL [in]
Outboard</t>
  </si>
  <si>
    <t>dSpan [in]</t>
  </si>
  <si>
    <t>Spar Web</t>
  </si>
  <si>
    <t>Main Spar Upper Cap [in^2]</t>
  </si>
  <si>
    <t>Main Spar Lower Cap [in^2]</t>
  </si>
  <si>
    <t>FS1 Plies
[-]</t>
  </si>
  <si>
    <t>IML Plies
[-]</t>
  </si>
  <si>
    <t>FS2 Plies
[-]</t>
  </si>
  <si>
    <t>Cap Square Side Length [in]</t>
  </si>
  <si>
    <t>Notes</t>
  </si>
  <si>
    <t>Main Spar Upper Cap - Centroid Offset from OML</t>
  </si>
  <si>
    <t>Main Spar Lower Cap - Centroid Offset from OML</t>
  </si>
  <si>
    <t>Upper - Wing Skins</t>
  </si>
  <si>
    <t>Lower - Wing Skins</t>
  </si>
  <si>
    <t>Lower - Spar Cap</t>
  </si>
  <si>
    <t>Upper - Spar Cap</t>
  </si>
  <si>
    <t>G</t>
  </si>
  <si>
    <t>Fc_Core</t>
  </si>
  <si>
    <t xml:space="preserve">Sized Weight Summary - Composite Structure </t>
  </si>
  <si>
    <t>Wing Skin -Panel 1 (Root)</t>
  </si>
  <si>
    <t>Wing Skin -Panel 2</t>
  </si>
  <si>
    <t>Wing Skin -Panel 3</t>
  </si>
  <si>
    <t>Wing Skin -Panel 4 (Tip)</t>
  </si>
  <si>
    <t>Spar Web -Panel 1 (Root)</t>
  </si>
  <si>
    <t>Spar Web -Panel 2</t>
  </si>
  <si>
    <t>Spar Web -Panel 3</t>
  </si>
  <si>
    <t>Spar Web -Panel 4 (Tip)</t>
  </si>
  <si>
    <t>Aft Web -Panel 1 (Root)</t>
  </si>
  <si>
    <t>Aft Web -Panel 2</t>
  </si>
  <si>
    <t>Aft Web -Panel 3</t>
  </si>
  <si>
    <t>Aft Web -Panel 4 (Tip)</t>
  </si>
  <si>
    <t>in^2</t>
  </si>
  <si>
    <t>Spar - Root Tension Cap Area</t>
  </si>
  <si>
    <t>Spar - Root Compression Cap Area</t>
  </si>
  <si>
    <t>Facesheet 1</t>
  </si>
  <si>
    <t>[plies]</t>
  </si>
  <si>
    <t>Facesheet 2</t>
  </si>
  <si>
    <t>Core Thickness</t>
  </si>
  <si>
    <t>Structural Design Parameter - Summary</t>
  </si>
  <si>
    <t>2y/b</t>
  </si>
  <si>
    <t>Web Distance Between Caps
[in]</t>
  </si>
  <si>
    <t>Web - Min Distance Between Spar Caps</t>
  </si>
  <si>
    <t>Factor of Safety, Buckling/Wrinkling/Crimp</t>
  </si>
  <si>
    <t>Boolean_Core</t>
  </si>
  <si>
    <t xml:space="preserve">Pandown Core at Spar? </t>
  </si>
  <si>
    <t>Skin Shear Loads (DLL)</t>
  </si>
  <si>
    <t>DLL Spar
 Web Loads</t>
  </si>
  <si>
    <t>Stress/Wrinkling Sized Web Plies</t>
  </si>
  <si>
    <t>Spar Cap Thickness 
Sized Plies</t>
  </si>
  <si>
    <t xml:space="preserve">Max Cap Thickness Per Shear Ply </t>
  </si>
  <si>
    <t>Cap cross-section assumed square</t>
  </si>
  <si>
    <t>dtCap_WebPly</t>
  </si>
  <si>
    <t>Additional shear plies are added for cap shear</t>
  </si>
  <si>
    <t>Core influences Spar Height</t>
  </si>
  <si>
    <t>Spar Web 
Facesheet Sizing</t>
  </si>
  <si>
    <t>Spar_t/c</t>
  </si>
  <si>
    <t>Spar_x/c</t>
  </si>
  <si>
    <t>All panels are assumed to be cored for buckling resistance.</t>
  </si>
  <si>
    <t>Facesheets are assumed thin relative to core thickness for all panel sizing.</t>
  </si>
  <si>
    <t>Facesheets are assumed to have no transverse load capability.</t>
  </si>
  <si>
    <t>For closed-form sizing, the stiffest load path in a given direction is assumed to carry all applied load in that direction.</t>
  </si>
  <si>
    <t>All panels are sized for shear buckling only.</t>
  </si>
  <si>
    <t>Compression edge-loading of panels is neglected in buckling calcs.</t>
  </si>
  <si>
    <t>Overview:</t>
  </si>
  <si>
    <t>Intended Usage:</t>
  </si>
  <si>
    <t>Cross-checks of more sophisticated sizing methods.</t>
  </si>
  <si>
    <t>Simplifying load and sizing assumptions are made to streamline closed-form sizing.</t>
  </si>
  <si>
    <t>In general, the stiffest load path is assumed to react all load in a given direction for sizing.</t>
  </si>
  <si>
    <r>
      <t xml:space="preserve">User inputs are marked in </t>
    </r>
    <r>
      <rPr>
        <sz val="11"/>
        <color rgb="FF66FF66"/>
        <rFont val="Calibri"/>
        <family val="2"/>
        <scheme val="minor"/>
      </rPr>
      <t>neon</t>
    </r>
    <r>
      <rPr>
        <sz val="11"/>
        <color theme="1"/>
        <rFont val="Calibri"/>
        <family val="2"/>
        <scheme val="minor"/>
      </rPr>
      <t xml:space="preserve"> green.</t>
    </r>
  </si>
  <si>
    <t>Begin at top of inputs and work downward.</t>
  </si>
  <si>
    <t>Spar caps are sized assuming pure tension and compression in caps.  This is reasonably valid if spars are well-separated.  An error flag is shown if spar cap separation is less than 1".</t>
  </si>
  <si>
    <t>Review tabs from left to right to match data-flow:</t>
  </si>
  <si>
    <t>Weight Estimate</t>
  </si>
  <si>
    <t>Laminate Zones</t>
  </si>
  <si>
    <t>Structural Sizing of Caps, Skins, and Webs</t>
  </si>
  <si>
    <t>Review input labeling and notes for each entry.</t>
  </si>
  <si>
    <t>Monitor output summary on right-side of page for non-physical results due to inadequate cross-section or material allowables to react applied loads.</t>
  </si>
  <si>
    <t>Review assumptions list below.</t>
  </si>
  <si>
    <t>Values Below are copied into the INPUTS Tab</t>
  </si>
  <si>
    <t>This spreadsheet performs initial sizing on skins and spars of a cantilevered lifting surface.</t>
  </si>
  <si>
    <t>Loads are developed from simple Schrenk lift-distribution assumptions for a maximum CL condition.</t>
  </si>
  <si>
    <t xml:space="preserve">Sheet sizes spar, skin, and web structure for maximum loads at a given wing butt-line. </t>
  </si>
  <si>
    <t>Quick, preliminary design level weight estimates for a lifting-surface sized to a limited number of conservative load cases.</t>
  </si>
  <si>
    <t>Airfoil L/D</t>
  </si>
  <si>
    <t>Airfoil Cm (Ref. Quarter-Chord)</t>
  </si>
  <si>
    <t>Airfoil_L/D</t>
  </si>
  <si>
    <t>Airfoil_CM</t>
  </si>
  <si>
    <t>Carbon_Fiber_Unidirectional_T700S_(90%)</t>
  </si>
  <si>
    <t>(T700S Uni)</t>
  </si>
  <si>
    <t>T700 Uni</t>
  </si>
  <si>
    <t>Parameter</t>
  </si>
  <si>
    <t>Value</t>
  </si>
  <si>
    <t>Wing Airfoils</t>
  </si>
  <si>
    <t>(Root to Tip)</t>
  </si>
  <si>
    <t>MB_1_18-45</t>
  </si>
  <si>
    <t>MB_1_17-42</t>
  </si>
  <si>
    <t>MB_1_16-38</t>
  </si>
  <si>
    <t>MB_1_15-35</t>
  </si>
  <si>
    <t>Canard Airfoil</t>
  </si>
  <si>
    <t>MB_2_18-45</t>
  </si>
  <si>
    <t>Cruise Speed</t>
  </si>
  <si>
    <t>Altitude</t>
  </si>
  <si>
    <t>Date:</t>
  </si>
  <si>
    <t>Units</t>
  </si>
  <si>
    <t>m^2</t>
  </si>
  <si>
    <t>m</t>
  </si>
  <si>
    <t>S, Ref. Area</t>
  </si>
  <si>
    <t>b, Ref. Span</t>
  </si>
  <si>
    <t>C, Ref. Chord</t>
  </si>
  <si>
    <t>Reference CG Location</t>
  </si>
  <si>
    <t>1G Cruise Conditions</t>
  </si>
  <si>
    <t>Design CL</t>
  </si>
  <si>
    <t>% Wing Lift</t>
  </si>
  <si>
    <t>% Canard Lift</t>
  </si>
  <si>
    <t>Reference:</t>
  </si>
  <si>
    <t>Material Props 20230324.xlsx</t>
  </si>
  <si>
    <t>Total Weight</t>
  </si>
  <si>
    <t>kg</t>
  </si>
  <si>
    <t>KEAS</t>
  </si>
  <si>
    <t>ft^2</t>
  </si>
  <si>
    <t>m/s</t>
  </si>
  <si>
    <t>Aerodynamic Parameters:</t>
  </si>
  <si>
    <t>Mass Estimation:</t>
  </si>
  <si>
    <t>Maximum Local Airfoil Lift Coeefficients</t>
  </si>
  <si>
    <t>Conservative Load Case Estimation</t>
  </si>
  <si>
    <t>Max, Positive Nz</t>
  </si>
  <si>
    <t>Max, Negative Nz</t>
  </si>
  <si>
    <t>Wing Root Chord</t>
  </si>
  <si>
    <t>Wing Half-Span</t>
  </si>
  <si>
    <t>Canard Root Chord</t>
  </si>
  <si>
    <t>Canard Half-Span</t>
  </si>
  <si>
    <t>Vertical Root Chord</t>
  </si>
  <si>
    <t>Vertical Tip Chord</t>
  </si>
  <si>
    <t>Vertical Height</t>
  </si>
  <si>
    <t>Vertical Area</t>
  </si>
  <si>
    <t>Wing Tip Chord, Est.</t>
  </si>
  <si>
    <t>Trapezoidal Assumption</t>
  </si>
  <si>
    <t>Wing Half-Area, Est.</t>
  </si>
  <si>
    <t>Canard Tip Chord, Est.</t>
  </si>
  <si>
    <t>Canard Half-Area, Est.</t>
  </si>
  <si>
    <t>Est CL_Max</t>
  </si>
  <si>
    <t>Manuevering Speed</t>
  </si>
  <si>
    <t>Q</t>
  </si>
  <si>
    <t>psf</t>
  </si>
  <si>
    <t>Wing Total Lift @ Max G</t>
  </si>
  <si>
    <t>m/s, EAS</t>
  </si>
  <si>
    <t>kg/m^2</t>
  </si>
  <si>
    <t xml:space="preserve">Total Load @ Manuevering Speed </t>
  </si>
  <si>
    <t>Vertical Tail (No Flap Deflection)</t>
  </si>
  <si>
    <t>Canard (Elevator Deflected)</t>
  </si>
  <si>
    <t>Wing (No Flap Deflection)</t>
  </si>
  <si>
    <t>Max Load @ Manuevering Speed (Single Vertical)</t>
  </si>
  <si>
    <t>DLL Loads</t>
  </si>
  <si>
    <t>Surface Lift  (Half-Span Wing, Full-Span Vertical Tail)</t>
  </si>
  <si>
    <t>Area</t>
  </si>
  <si>
    <t>Loading</t>
  </si>
  <si>
    <t>Sheet calculates aerodynamic lift distribution.</t>
  </si>
  <si>
    <t>DUL = DLL * FS</t>
  </si>
  <si>
    <t>R.O.T</t>
  </si>
  <si>
    <t>Typ. R.O.T</t>
  </si>
  <si>
    <t>Airfoil</t>
  </si>
  <si>
    <t>Lift/Area</t>
  </si>
  <si>
    <t>Surface Area</t>
  </si>
  <si>
    <t>Full-Span</t>
  </si>
  <si>
    <t>S/2_Lift</t>
  </si>
  <si>
    <t>Root Moment Cross-Check,
 Taper-ratio = 0.5</t>
  </si>
  <si>
    <t>Segment Drag [lbs]</t>
  </si>
  <si>
    <t>Lead-Lag Shear [lbs] -
 Vx</t>
  </si>
  <si>
    <t>Lead-Lag Moment
[ft-lbs] -
Mz</t>
  </si>
  <si>
    <t>Segment Torsion [ft-lb]</t>
  </si>
  <si>
    <t>Wing Torsion
[ft-lbs] -
 My</t>
  </si>
  <si>
    <t>Skins and Aft Webs are sized assuming an elliptical torque box from the leading edge to the aft-web, with a height that is equal to the aft web.</t>
  </si>
  <si>
    <t>No taper or sweep effects are included.</t>
  </si>
  <si>
    <t>Main Spar</t>
  </si>
  <si>
    <t>Aft Shear Web</t>
  </si>
  <si>
    <t xml:space="preserve">Distance LE to 
Aft Web 
[in] </t>
  </si>
  <si>
    <t>Core_Split1</t>
  </si>
  <si>
    <t>Core_Split2</t>
  </si>
  <si>
    <t>Core_Split3</t>
  </si>
  <si>
    <t>Shear center is assumed at 0.25c.  Aero forces applied at 0.25c.</t>
  </si>
  <si>
    <t>Spar and 
Aft Web
 Dist
[in]</t>
  </si>
  <si>
    <t>These are assumed to be added to aft web as a "rear spar"</t>
  </si>
  <si>
    <t>Core Zone Split (% Half-Span)</t>
  </si>
  <si>
    <t>As-Built
Drag Spar
Cap Area 
[in^2]</t>
  </si>
  <si>
    <t>Drag Spar
Cap Area
[in^2]</t>
  </si>
  <si>
    <t>Summary of laminate zones.</t>
  </si>
  <si>
    <t>For Surface Bending Loads</t>
  </si>
  <si>
    <t>For Surface Drag Loads</t>
  </si>
  <si>
    <t>For Surface Torsion Loads</t>
  </si>
  <si>
    <t>Sizing assumes ~trapezoidal wing</t>
  </si>
  <si>
    <t>Sheet estimates weight of wing skins, spar, and aft web.</t>
  </si>
  <si>
    <t>Loads - Aerodynamic (Schrenk)</t>
  </si>
  <si>
    <t>Spar is assumed to be relatively stiff (limiting strain), and shear panels relatively soft (mainly bias plies, low modulus along wing span)</t>
  </si>
  <si>
    <t>Weight Build-up - Summary [lb]</t>
  </si>
  <si>
    <t>Drag Loads</t>
  </si>
  <si>
    <t>Lift Loads</t>
  </si>
  <si>
    <t>Planning Meeting 2/27/2023 Structural and Aeroelastic Planning</t>
  </si>
  <si>
    <t>Date Code</t>
  </si>
  <si>
    <t>Initial Release</t>
  </si>
  <si>
    <t>Initial strength only sizing of single wing.  Single main spar with aft web configuration.</t>
  </si>
  <si>
    <t>A</t>
  </si>
  <si>
    <t>Updates to add EI, GJ calculations.</t>
  </si>
  <si>
    <t>ASW Theory Doc:</t>
  </si>
  <si>
    <t>EA</t>
  </si>
  <si>
    <t>Examples:</t>
  </si>
  <si>
    <t>Variable</t>
  </si>
  <si>
    <t>--------</t>
  </si>
  <si>
    <t>----</t>
  </si>
  <si>
    <t>Chord</t>
  </si>
  <si>
    <t>L</t>
  </si>
  <si>
    <t>reference chord</t>
  </si>
  <si>
    <t>t</t>
  </si>
  <si>
    <t>F</t>
  </si>
  <si>
    <t>L^3</t>
  </si>
  <si>
    <t>FL</t>
  </si>
  <si>
    <t>Beam Definition Blocks</t>
  </si>
  <si>
    <t>Beam 1  20              ! beam 1 definition begins, optional physical index 20</t>
  </si>
  <si>
    <t>Main wing                     ! beam name string</t>
  </si>
  <si>
    <t>#                             ! comment line</t>
  </si>
  <si>
    <t xml:space="preserve">   t     chord    alpha       ! distribution block for chord,alpha begins</t>
  </si>
  <si>
    <t>+ 0.     0.       3.          ! optional additive-constant line</t>
  </si>
  <si>
    <t>* 1.     1.       1.          ! optional scaling-factor line</t>
  </si>
  <si>
    <t xml:space="preserve">  0.0    1.3      3.0         ! data</t>
  </si>
  <si>
    <t xml:space="preserve"> 20.0    1.2      2.8         !  "</t>
  </si>
  <si>
    <t xml:space="preserve"> 31.0    0.8      2.0         !  "</t>
  </si>
  <si>
    <t xml:space="preserve"> 34.0    0.7      1.7         !  "</t>
  </si>
  <si>
    <t xml:space="preserve">#                             </t>
  </si>
  <si>
    <t xml:space="preserve">   t      x      y     z      ! new distribution block for x,y,z begins</t>
  </si>
  <si>
    <t xml:space="preserve">  0.0    0.0    0.0   0.5     ! data</t>
  </si>
  <si>
    <t xml:space="preserve"> 17.0    5.0   15.0  -0.2     !  "</t>
  </si>
  <si>
    <t xml:space="preserve"> 34.0   10.0   30.0  -2.0     !  "</t>
  </si>
  <si>
    <t>End                           ! end of beam 1 definition</t>
  </si>
  <si>
    <t>Beam 2                        ! new beam 2 definition begins</t>
  </si>
  <si>
    <t>Fuselage                      ! beam name string</t>
  </si>
  <si>
    <t xml:space="preserve"> 10.0    5.0    0.0   0.6     !  "</t>
  </si>
  <si>
    <t xml:space="preserve"> 20.0   10.0    0.0   0.7     !  "</t>
  </si>
  <si>
    <t>End                           ! end of beam 2 definition</t>
  </si>
  <si>
    <t>Spanwise parameter "t"</t>
  </si>
  <si>
    <t>Needs to increase from left wingtip to right wingtip.</t>
  </si>
  <si>
    <t>t = 0, means surface parameter will be reflected</t>
  </si>
  <si>
    <t>Default</t>
  </si>
  <si>
    <t>x</t>
  </si>
  <si>
    <t>zero-load x location</t>
  </si>
  <si>
    <t>y</t>
  </si>
  <si>
    <t>zero-load y location</t>
  </si>
  <si>
    <t>z</t>
  </si>
  <si>
    <t>zero-load z location</t>
  </si>
  <si>
    <t>twist</t>
  </si>
  <si>
    <t>deg</t>
  </si>
  <si>
    <t>zero-load twist angle about s-axis</t>
  </si>
  <si>
    <t>EIcc</t>
  </si>
  <si>
    <t>FLL</t>
  </si>
  <si>
    <t>infinity</t>
  </si>
  <si>
    <t>bending stiffness about c-axis (out-of-plane bend)</t>
  </si>
  <si>
    <t>EInn</t>
  </si>
  <si>
    <t>bending stiffness about n-axis (in-plane bend)</t>
  </si>
  <si>
    <t>EIcn</t>
  </si>
  <si>
    <t>bending cross-stiffness</t>
  </si>
  <si>
    <t>EIcs</t>
  </si>
  <si>
    <t>n-bending/torsion coupling stiffness</t>
  </si>
  <si>
    <t>EIsn</t>
  </si>
  <si>
    <t>c-bending/torsion coupling stiffness</t>
  </si>
  <si>
    <t>GJ</t>
  </si>
  <si>
    <t>torsional stiffness</t>
  </si>
  <si>
    <t>extensional stiffness</t>
  </si>
  <si>
    <t>GKc</t>
  </si>
  <si>
    <t>c-shear stiffness</t>
  </si>
  <si>
    <t>GKn</t>
  </si>
  <si>
    <t>n-shear stiffness</t>
  </si>
  <si>
    <t>mgcc</t>
  </si>
  <si>
    <t>weight-inertia/span  about c-axis</t>
  </si>
  <si>
    <t>mgnn</t>
  </si>
  <si>
    <t>weight-inertia/span  about n-axis</t>
  </si>
  <si>
    <t>mg</t>
  </si>
  <si>
    <t>F/L</t>
  </si>
  <si>
    <t>weight/span</t>
  </si>
  <si>
    <t>Ccg</t>
  </si>
  <si>
    <t>c-location of section mass centroid</t>
  </si>
  <si>
    <t>Ncg</t>
  </si>
  <si>
    <t>n-location of section mass centroid</t>
  </si>
  <si>
    <t>Dmgcc</t>
  </si>
  <si>
    <t>additional weight-inertia/span  about c-axis</t>
  </si>
  <si>
    <t>Dmgnn</t>
  </si>
  <si>
    <t>additional weight-inertia/span  about n-axis</t>
  </si>
  <si>
    <t>Dmg</t>
  </si>
  <si>
    <t>additional weight/span</t>
  </si>
  <si>
    <t>DCcg</t>
  </si>
  <si>
    <t>c-location of additional-mass centroid</t>
  </si>
  <si>
    <t>DNcg</t>
  </si>
  <si>
    <t>n-location of additional-mass centroid</t>
  </si>
  <si>
    <t>Cea</t>
  </si>
  <si>
    <t>c-location of elastic axis</t>
  </si>
  <si>
    <t>Nea</t>
  </si>
  <si>
    <t>n-location of elastic axis</t>
  </si>
  <si>
    <t>Cta</t>
  </si>
  <si>
    <t>c-location of tension axis</t>
  </si>
  <si>
    <t>Nta</t>
  </si>
  <si>
    <t>n-location of tension axis</t>
  </si>
  <si>
    <t>tdeps</t>
  </si>
  <si>
    <t>T</t>
  </si>
  <si>
    <t>normal strain damping time</t>
  </si>
  <si>
    <t>tdgam</t>
  </si>
  <si>
    <t>shear  strain damping time</t>
  </si>
  <si>
    <t>Cshell</t>
  </si>
  <si>
    <t>c-Cea  where strain is evaluated (for display only)</t>
  </si>
  <si>
    <t>Nshell</t>
  </si>
  <si>
    <t>n-Nea  where strain is evaluated (for display only)</t>
  </si>
  <si>
    <t>Atshell</t>
  </si>
  <si>
    <t>A*T for shear stress evaluation (display only),</t>
  </si>
  <si>
    <t>where A is the torsion shell enclosed area,</t>
  </si>
  <si>
    <t>T is the torsion shell thickness.</t>
  </si>
  <si>
    <t>radius</t>
  </si>
  <si>
    <t>beam cylinder radius (for fuselage beam only)</t>
  </si>
  <si>
    <t>Cdf</t>
  </si>
  <si>
    <t>section profile friction drag coefficient</t>
  </si>
  <si>
    <t>Cdp</t>
  </si>
  <si>
    <t>section profile pressure drag coefficient</t>
  </si>
  <si>
    <t>chord</t>
  </si>
  <si>
    <t>---</t>
  </si>
  <si>
    <t>wing chord</t>
  </si>
  <si>
    <t>Xax</t>
  </si>
  <si>
    <t>distance/chord of s-axis from leading edge</t>
  </si>
  <si>
    <t>alpha</t>
  </si>
  <si>
    <t>angle of zero-lift line above c-axis</t>
  </si>
  <si>
    <t>Cm</t>
  </si>
  <si>
    <t>section pitching moment coefficient about chord/4</t>
  </si>
  <si>
    <t>CLmax</t>
  </si>
  <si>
    <t>section maximum lift coefficient</t>
  </si>
  <si>
    <t>CLmin</t>
  </si>
  <si>
    <t>section minimum lift coefficient</t>
  </si>
  <si>
    <t>dCLda</t>
  </si>
  <si>
    <t>1/rad</t>
  </si>
  <si>
    <t>2 pi</t>
  </si>
  <si>
    <t>section lift-curve slope</t>
  </si>
  <si>
    <t>dCLdF1</t>
  </si>
  <si>
    <t>1/flap</t>
  </si>
  <si>
    <t>dCL/dFlap1 derivative ("flap" is in any units)</t>
  </si>
  <si>
    <t>dCMdF1</t>
  </si>
  <si>
    <t>dCM/dFlap1 derivative</t>
  </si>
  <si>
    <t>dCDdF1</t>
  </si>
  <si>
    <t>dCDp/dFlap1 derivative</t>
  </si>
  <si>
    <t>dCLdF2</t>
  </si>
  <si>
    <t>dCL/dFlap2 derivative</t>
  </si>
  <si>
    <t>dCMdF2</t>
  </si>
  <si>
    <t>dCM/dFlap2 derivative</t>
  </si>
  <si>
    <t>dCDdF2</t>
  </si>
  <si>
    <t>dCDp/dFlap2 derivative</t>
  </si>
  <si>
    <t>.</t>
  </si>
  <si>
    <t>For Manufacturing Splits</t>
  </si>
  <si>
    <t>Updates to add discrete lift and moment sources for partial span flaps.</t>
  </si>
  <si>
    <t>Net Segment Lift</t>
  </si>
  <si>
    <t>For V, M Loads</t>
  </si>
  <si>
    <t>Local dLift [lbs]</t>
  </si>
  <si>
    <t>Input</t>
  </si>
  <si>
    <t>Segment 
Base Torsion [CM]</t>
  </si>
  <si>
    <t>Local dCm</t>
  </si>
  <si>
    <t>Net CM</t>
  </si>
  <si>
    <t>Note:</t>
  </si>
  <si>
    <t>Dependent on segment lift.</t>
  </si>
  <si>
    <t>s</t>
  </si>
  <si>
    <t>Airfoil assumed symmetric about "c" chordwise axis. "n"=0 on this bending axis.</t>
  </si>
  <si>
    <t>Centroid:</t>
  </si>
  <si>
    <t>Bending Inertia:</t>
  </si>
  <si>
    <t>Cap local centroid inertia ignored.</t>
  </si>
  <si>
    <t>Main Spar contribution only.  Objective is correct order of magnitude stiffness.</t>
  </si>
  <si>
    <t>Comp. Cap. 
Icc [in^4]</t>
  </si>
  <si>
    <t>Tens. Cap. 
Icc [in^4]</t>
  </si>
  <si>
    <t>Net. Cap. 
Icc [in^4]</t>
  </si>
  <si>
    <t>Main Spar and Aft Spar Contributions only.</t>
  </si>
  <si>
    <t>Assumes skins are soft in bending. i.e., mainly sized for torsion.</t>
  </si>
  <si>
    <t>Horizontal Dimensions</t>
  </si>
  <si>
    <t>Centroid [n, in]
(+, above c-axis)</t>
  </si>
  <si>
    <t>Centroid [c, in]
(+, aft of LE)</t>
  </si>
  <si>
    <t>Fwd Spar
Inn [in^4]</t>
  </si>
  <si>
    <t>Aft Spar
Inn [in^4]</t>
  </si>
  <si>
    <t>Net
Inn [in^4]</t>
  </si>
  <si>
    <t>Closed Cross-section:</t>
  </si>
  <si>
    <t>Total Skin Ply Thickness [in]</t>
  </si>
  <si>
    <t>Outer skin thickness used fo J calculation</t>
  </si>
  <si>
    <t>A = Area, T = Skin  thickness, S = perimeter length</t>
  </si>
  <si>
    <t>Spar Web Ply Thickness
[in]</t>
  </si>
  <si>
    <t>Aft Spar Web Ply Thickness
[in]</t>
  </si>
  <si>
    <t>Enclosed area assumed elliptical, with thickness of wing, and length from LE to Aft Spar</t>
  </si>
  <si>
    <t>Enclosed Area [in^2]</t>
  </si>
  <si>
    <t>Perimeter</t>
  </si>
  <si>
    <t>Perimeter [in]</t>
  </si>
  <si>
    <t>J [in^4]</t>
  </si>
  <si>
    <t>Net EInn
[lb-in^2]</t>
  </si>
  <si>
    <t>Net EIcc
[lb-in^2]</t>
  </si>
  <si>
    <t>GJ 
[lb-in^2]</t>
  </si>
  <si>
    <t>Geometry Defintion</t>
  </si>
  <si>
    <t>Wing Root LE</t>
  </si>
  <si>
    <t>X</t>
  </si>
  <si>
    <t>Y</t>
  </si>
  <si>
    <t>Z</t>
  </si>
  <si>
    <t>Wing TIP LE</t>
  </si>
  <si>
    <t>Wing Root TE</t>
  </si>
  <si>
    <t>Wing Tip TE</t>
  </si>
  <si>
    <t>% Chord</t>
  </si>
  <si>
    <t>Twist</t>
  </si>
  <si>
    <t>Sum Moment Calc</t>
  </si>
  <si>
    <t>Spar ChordWise Location</t>
  </si>
  <si>
    <t>Strain Recovery</t>
  </si>
  <si>
    <t>Spar C-location</t>
  </si>
  <si>
    <t>Spar Thickness</t>
  </si>
  <si>
    <t>1/2 Wing Thickness</t>
  </si>
  <si>
    <t>Freq</t>
  </si>
  <si>
    <t>Crtical Damping Ratio</t>
  </si>
  <si>
    <t>Upper Wing Center of Mass [ft]</t>
  </si>
  <si>
    <t>*positions relative to tip of wing along x axis</t>
  </si>
  <si>
    <t>Lower Wing Center of Mass [ft]</t>
  </si>
  <si>
    <t>Spar Web CoM [ft]</t>
  </si>
  <si>
    <t>Spar Comp. Cap CoM [ft]</t>
  </si>
  <si>
    <t>Spar Tens. Cap CoM [ft]</t>
  </si>
  <si>
    <t>Aft Tens. Cap CoM [ft]</t>
  </si>
  <si>
    <t>Aft Comp. Cap CoM [ft]</t>
  </si>
  <si>
    <t>Aft Web  CoM [ft]</t>
  </si>
  <si>
    <t>Sum of Moments [ft*lb]</t>
  </si>
  <si>
    <t>Sum of Masses [lb]</t>
  </si>
  <si>
    <t>CoM location [ft]</t>
  </si>
  <si>
    <t>Spar x location [ft]</t>
  </si>
  <si>
    <t>Spar Height [ft]</t>
  </si>
  <si>
    <t>Ellipse Length [ft]</t>
  </si>
  <si>
    <t>Web thickness [ft]</t>
  </si>
  <si>
    <t>Ellipse Height [ft]</t>
  </si>
  <si>
    <t>Skin thickness [ft]</t>
  </si>
  <si>
    <t>Comp. Cap Thickness [ft]</t>
  </si>
  <si>
    <t>Tension Cap Thickness [ft]</t>
  </si>
  <si>
    <t>Fictional load located in y axis direction on upper spar intersection [lb]</t>
  </si>
  <si>
    <t>sum(q1 * L/t) = A1 / A2 * sum(q2 * L/t)</t>
  </si>
  <si>
    <t>Segment Lengths</t>
  </si>
  <si>
    <t>Leading Skin [ft]</t>
  </si>
  <si>
    <t>Trailing Skin [ft]</t>
  </si>
  <si>
    <t>Comp. Cap Length [ft]</t>
  </si>
  <si>
    <t>Tension Cap Length [ft]</t>
  </si>
  <si>
    <t>Web Length [ft]</t>
  </si>
  <si>
    <t>q1 [lb/ft]</t>
  </si>
  <si>
    <t>q2  [lb/ft]</t>
  </si>
  <si>
    <t>A2 [ft^2]</t>
  </si>
  <si>
    <t>A1 [ft^2]</t>
  </si>
  <si>
    <t>Cea [ft]</t>
  </si>
  <si>
    <t>Iyy [ft^4]</t>
  </si>
  <si>
    <t>check</t>
  </si>
  <si>
    <t>q2 [lb/ft]</t>
  </si>
  <si>
    <t xml:space="preserve">iteration1 </t>
  </si>
  <si>
    <t xml:space="preserve">iteration2 </t>
  </si>
  <si>
    <t>iteration3</t>
  </si>
  <si>
    <t>iteration4</t>
  </si>
  <si>
    <t>iteration5</t>
  </si>
  <si>
    <t>iteration6</t>
  </si>
  <si>
    <t>Using NACA 64-215</t>
  </si>
  <si>
    <t>*tdgam characterizes damping time of material resisting shearing (ex: torsion skin)</t>
  </si>
  <si>
    <t>*tdeps characterizes damping time of beam material resisting spanwise strains (ex: sparcaps)</t>
  </si>
  <si>
    <t>Length</t>
  </si>
  <si>
    <t>Mass</t>
  </si>
  <si>
    <t>Time</t>
  </si>
  <si>
    <t>Constants</t>
  </si>
  <si>
    <t>gravity</t>
  </si>
  <si>
    <t>air density</t>
  </si>
  <si>
    <t>speed of sound</t>
  </si>
  <si>
    <t>wing area</t>
  </si>
  <si>
    <t>wing span</t>
  </si>
  <si>
    <t>ref. Moments</t>
  </si>
  <si>
    <t>ref. Velocities</t>
  </si>
  <si>
    <t>Labels</t>
  </si>
  <si>
    <t>ref. Accelerations</t>
  </si>
  <si>
    <t>Main Wing</t>
  </si>
  <si>
    <t>Incidence: (+Add to Ainc)</t>
  </si>
  <si>
    <t>Xle</t>
  </si>
  <si>
    <t>Yle</t>
  </si>
  <si>
    <t>Zle</t>
  </si>
  <si>
    <t>Ainc</t>
  </si>
  <si>
    <t>MB_1_18-45.dat</t>
  </si>
  <si>
    <t>MB_1_17-42.dat</t>
  </si>
  <si>
    <t>MB_1_15-35.dat</t>
  </si>
  <si>
    <t>Canard</t>
  </si>
  <si>
    <t>MB_2_18-45_Canard.dat</t>
  </si>
  <si>
    <t>Incidence:</t>
  </si>
  <si>
    <t>Boom 1</t>
  </si>
  <si>
    <t>Boom 2</t>
  </si>
  <si>
    <t>Point Mass Table [kg]</t>
  </si>
  <si>
    <t xml:space="preserve">V2000_P0C4-2 COG </t>
  </si>
  <si>
    <t>X [m]</t>
  </si>
  <si>
    <t>Component Description</t>
  </si>
  <si>
    <t>Lift system-1</t>
  </si>
  <si>
    <t>Lift system-2</t>
  </si>
  <si>
    <t>Lift system-3</t>
  </si>
  <si>
    <t>Lift system-4</t>
  </si>
  <si>
    <t>Lift system-5</t>
  </si>
  <si>
    <t>Lift system-6</t>
  </si>
  <si>
    <t>Lift system-7</t>
  </si>
  <si>
    <t>Lift system-8</t>
  </si>
  <si>
    <t>Lift system-9</t>
  </si>
  <si>
    <t>Lift system-10</t>
  </si>
  <si>
    <t>push system-1</t>
  </si>
  <si>
    <t>push system-2</t>
  </si>
  <si>
    <t>Battery-1+Bolt</t>
  </si>
  <si>
    <t>Battery-2+Bolt</t>
  </si>
  <si>
    <t>Battery-3+Bolt</t>
  </si>
  <si>
    <t>Battery-4+Bolt</t>
  </si>
  <si>
    <t>Battery-5+Bolt</t>
  </si>
  <si>
    <t>Battery-6+Bolt</t>
  </si>
  <si>
    <t>Battery-7+Bolt</t>
  </si>
  <si>
    <t>Cargo</t>
  </si>
  <si>
    <t>Boom 3</t>
  </si>
  <si>
    <t>Boom 4</t>
  </si>
  <si>
    <t>M</t>
  </si>
  <si>
    <t>Radius</t>
  </si>
  <si>
    <t>(From Streamline)</t>
  </si>
  <si>
    <t>Generated Data for Main Wing</t>
  </si>
  <si>
    <t>t1</t>
  </si>
  <si>
    <t>t2</t>
  </si>
  <si>
    <t>Boom1</t>
  </si>
  <si>
    <t>Boom2</t>
  </si>
  <si>
    <t>Copied Data for Canard</t>
  </si>
  <si>
    <t>Joint Connections</t>
  </si>
  <si>
    <t>*Joint Type = 0 indicates a rigid joint</t>
  </si>
  <si>
    <t>Copied Data for Vertical Stabilizer 1</t>
  </si>
  <si>
    <t>Copied Data for Vertical Stabilizer 2</t>
  </si>
  <si>
    <t xml:space="preserve"> [lb]</t>
  </si>
  <si>
    <t>Final Iteration</t>
  </si>
  <si>
    <t>Shear Center - Estimation approach:  Bruhn Section A.15</t>
  </si>
  <si>
    <t>Moment Check</t>
  </si>
  <si>
    <t>Shear Center - 
% Chord</t>
  </si>
  <si>
    <t>Spar Chord-location</t>
  </si>
  <si>
    <t>LocalAlpha</t>
  </si>
  <si>
    <t>Assumes constant shear flow in each cell</t>
  </si>
  <si>
    <t>Added ASWING format sheet for input matrices</t>
  </si>
  <si>
    <t>Added Shear Center Calculations</t>
  </si>
  <si>
    <t>Shear panel corrections, Bruhn A.15</t>
  </si>
  <si>
    <t>Added Sectional Mass Properties Calculations</t>
  </si>
  <si>
    <t>Added Vehicle Mass configuration</t>
  </si>
  <si>
    <t xml:space="preserve"> </t>
  </si>
  <si>
    <t>AERO Geometry</t>
  </si>
  <si>
    <t>Xte</t>
  </si>
  <si>
    <t>Legend for Connection Points</t>
  </si>
  <si>
    <t>Number</t>
  </si>
  <si>
    <t>Front Right Boom</t>
  </si>
  <si>
    <t>Wing</t>
  </si>
  <si>
    <t>Vertical Stabilizer 1 (Right)</t>
  </si>
  <si>
    <t>Vertical Stabilizer 2 (Left)</t>
  </si>
  <si>
    <t>tloc</t>
  </si>
  <si>
    <t>Boom 5</t>
  </si>
  <si>
    <t>Boom 6</t>
  </si>
  <si>
    <t>Boom Properties</t>
  </si>
  <si>
    <t>Elevator</t>
  </si>
  <si>
    <t>cP offset</t>
  </si>
  <si>
    <t>[1/deg]</t>
  </si>
  <si>
    <t>Must verify in ASWING that CG location falls at this location</t>
  </si>
  <si>
    <t>dCLdf</t>
  </si>
  <si>
    <t>dCMdf</t>
  </si>
  <si>
    <t>Front Left Boom</t>
  </si>
  <si>
    <t>Back Right Boom</t>
  </si>
  <si>
    <t>Back Left boom</t>
  </si>
  <si>
    <t>Outboard Right Boom</t>
  </si>
  <si>
    <t>Outboard Left Boom</t>
  </si>
  <si>
    <t>reference x loc.</t>
  </si>
  <si>
    <t>reference y loc.</t>
  </si>
  <si>
    <t>reference z loc.</t>
  </si>
  <si>
    <t>Cabin</t>
  </si>
  <si>
    <t>Central avionics warehouse</t>
  </si>
  <si>
    <t>High-Voltage module</t>
  </si>
  <si>
    <t>Battery harness</t>
  </si>
  <si>
    <t>Clmax</t>
  </si>
  <si>
    <t>Clmin</t>
  </si>
  <si>
    <t>Wing Aero Parameters</t>
  </si>
  <si>
    <t>Canard Aero Parameters</t>
  </si>
  <si>
    <t>Vertical Stabilizer Aero Parameters</t>
  </si>
  <si>
    <t>Number of Points</t>
  </si>
  <si>
    <t>Trapezoidal Structure</t>
  </si>
  <si>
    <t>Total From Point Masses [lb]:</t>
  </si>
  <si>
    <t>X_Spar</t>
  </si>
  <si>
    <t>Horizontal Stabilizer</t>
  </si>
  <si>
    <t>Trailing Edge</t>
  </si>
  <si>
    <t>Spar x_chord</t>
  </si>
  <si>
    <t>Note: Vertical Stabilizer plots more accurately when Chord is close to vertical</t>
  </si>
  <si>
    <t>Point Mass Shift</t>
  </si>
  <si>
    <t>B</t>
  </si>
  <si>
    <t>Corrected Units Error in EI/GJ Output</t>
  </si>
  <si>
    <t>Added STRUCT and AERO as separate input sheets</t>
  </si>
  <si>
    <t>Modified beam locations to straighten booms</t>
  </si>
  <si>
    <t>Modified CG locations to match AVL reference value</t>
  </si>
  <si>
    <t>*Used to adjust Center of Mass to correct location</t>
  </si>
  <si>
    <t>Inputs</t>
  </si>
  <si>
    <t>Prosperity</t>
  </si>
  <si>
    <t>Mg [weight/length]</t>
  </si>
  <si>
    <t>ASWING Damping Demo Calculator - Not Used in Solutions</t>
  </si>
  <si>
    <t>Critical Damping Ratio</t>
  </si>
  <si>
    <t>Estimated using wing stiffness to capture ROM</t>
  </si>
  <si>
    <t>Mass-Beam Connection</t>
  </si>
  <si>
    <t>dX [ft]</t>
  </si>
  <si>
    <t>dy [ft]</t>
  </si>
  <si>
    <t>dz [ft]</t>
  </si>
  <si>
    <t>X raw [m]</t>
  </si>
  <si>
    <t>Y raw [m]</t>
  </si>
  <si>
    <t>Z raw [m]</t>
  </si>
  <si>
    <t>Canard Control Moment Parameters</t>
  </si>
  <si>
    <t>kg/m^3</t>
  </si>
  <si>
    <t>cm</t>
  </si>
  <si>
    <t>MPa</t>
  </si>
  <si>
    <t>Mpa</t>
  </si>
  <si>
    <t>[ft]</t>
  </si>
  <si>
    <t>[ft^2]</t>
  </si>
  <si>
    <t>[slug/ft^3]</t>
  </si>
  <si>
    <t>[ft/s]</t>
  </si>
  <si>
    <t>[ft/s^2]</t>
  </si>
  <si>
    <t>[m]</t>
  </si>
  <si>
    <t>[kg/m]</t>
  </si>
  <si>
    <t>[lb/ft]</t>
  </si>
  <si>
    <t>[deg]</t>
  </si>
  <si>
    <t>[lb*ft^2]</t>
  </si>
  <si>
    <t>[lb*ft]</t>
  </si>
  <si>
    <t>[s]</t>
  </si>
  <si>
    <t>[ft^3]</t>
  </si>
  <si>
    <t>[1/rad]</t>
  </si>
  <si>
    <t>[m^3]</t>
  </si>
  <si>
    <t>[kg*m]</t>
  </si>
  <si>
    <t>[N*m^2]</t>
  </si>
  <si>
    <t>[N]</t>
  </si>
  <si>
    <t>[lbf*ft^2]</t>
  </si>
  <si>
    <t>[lbf]</t>
  </si>
  <si>
    <t>Weight&amp;Balance.xlsx (04/26/2023)</t>
  </si>
  <si>
    <t>POC 4-1-13</t>
  </si>
  <si>
    <t>Prosperity_I_POC4_1-13.xml</t>
  </si>
  <si>
    <t>GPa</t>
  </si>
  <si>
    <t>mm</t>
  </si>
  <si>
    <t>Pandown Core at Spar? (FALSE reduces spar height)</t>
  </si>
  <si>
    <t>Airfoil Height/Chord @ Spar Location</t>
  </si>
  <si>
    <t>Wing Root Airfoil Cross-Section</t>
  </si>
  <si>
    <t>Y [m]</t>
  </si>
  <si>
    <t>Weight Build-up - Summary [kg]</t>
  </si>
  <si>
    <t>[kg]</t>
  </si>
  <si>
    <t>cm^2</t>
  </si>
  <si>
    <t>Chord_avl</t>
  </si>
  <si>
    <t>Chord_asw</t>
  </si>
  <si>
    <t>X_S</t>
  </si>
  <si>
    <t>X_s/C</t>
  </si>
  <si>
    <t>*this only affects aerodynamic plotting</t>
  </si>
  <si>
    <t>C</t>
  </si>
  <si>
    <t>Updated Inputs and Output to use SI Units</t>
  </si>
  <si>
    <t>(7.277, -0.00, 2.490)</t>
  </si>
  <si>
    <t>Updated Model to POC 4-1-13 Values</t>
  </si>
  <si>
    <r>
      <t>Surface Lift  (</t>
    </r>
    <r>
      <rPr>
        <b/>
        <sz val="11"/>
        <color theme="1"/>
        <rFont val="Calibri"/>
        <family val="2"/>
        <scheme val="minor"/>
      </rPr>
      <t xml:space="preserve">Half-Span </t>
    </r>
    <r>
      <rPr>
        <sz val="11"/>
        <color theme="1"/>
        <rFont val="Calibri"/>
        <family val="2"/>
        <scheme val="minor"/>
      </rPr>
      <t>Wing)</t>
    </r>
  </si>
  <si>
    <t>For Surface Drag Loads Est.</t>
  </si>
  <si>
    <t>For Surface Torsion Loads Est.</t>
  </si>
  <si>
    <t>kgf</t>
  </si>
  <si>
    <t>Spar caps are sized to specified stress levels.  Spar caps are assumed to be square.  Webs and skins are size as cored sandwich panels for stress, wrinkling, shear crimp, and global buckling.</t>
  </si>
  <si>
    <t xml:space="preserve">Wing shear center is assumed to be at the main spar for closed-form torsion sizing calculations.  </t>
  </si>
  <si>
    <t>Echo</t>
  </si>
  <si>
    <t>"Inputs" tab contains all relevant inputs and outputs for quick lifting surface weight trades.</t>
  </si>
  <si>
    <t>Spar Location</t>
  </si>
  <si>
    <t>Aft Spar Location</t>
  </si>
  <si>
    <t>Assumes Shear Center Between Spars</t>
  </si>
  <si>
    <t>Assumes A.C. at quarter-chord</t>
  </si>
  <si>
    <t>Shear center is estimated using a shear-flow calculation derived from Bruhn, Flight Vehicle Structures, A.15</t>
  </si>
  <si>
    <t>Sheet estimates wing stiffness, EI/GJs, resulting from stresss-based sizing.</t>
  </si>
  <si>
    <t>Sheet creates a data-structure for a simple trapezoidal wing, that is then mapped to the more complex elliptical, swept Prosperity planform.</t>
  </si>
  <si>
    <t>Mapping is based on matched "span-wise" stations.  The user must ensure the trapezoidal wing approximation is a suitable geometry for mapping.</t>
  </si>
  <si>
    <t>ASWING Workflow:</t>
  </si>
  <si>
    <t>In addition to generating weight estimates for a simple trapezoidal wing, this spreadsheet also creates stiffness estimates to be used for a Prosperity configuration ASWING model.</t>
  </si>
  <si>
    <t xml:space="preserve">Users should read the ASWING Theory documents available at: </t>
  </si>
  <si>
    <t>https://web.mit.edu/drela/Public/web/aswing/</t>
  </si>
  <si>
    <t>Wing Sizing Assumptions:</t>
  </si>
  <si>
    <t>In general, the vehicle created in ASWING must be a "real", trimmable vehicle of releasitic weight, speed, wing area, and CG location.</t>
  </si>
  <si>
    <t>Recommend sizing the vehicle in a "rigid-body" vortex lattice tool, such as AV or XFLR5, to check stability and select a CG location, before inputting any data into ASWING.</t>
  </si>
  <si>
    <t>INPUTS</t>
  </si>
  <si>
    <t>Aerodynamic planform data is entered in the Sheet:  ASWING AERO</t>
  </si>
  <si>
    <t>Inputs:</t>
  </si>
  <si>
    <t>Structural layout and point mass data is entered in the Sheet:  ASWING AERO</t>
  </si>
  <si>
    <t>1.  Start by entering planform data for the wing, canard, and vertical tails.</t>
  </si>
  <si>
    <t>"XYZ_LE" are the points that define the wing leading edge.</t>
  </si>
  <si>
    <t>Format follows AVL conventions and a streamwise chordlength and aerodynamic twist, CL_Max, etc. are defined at each station along the wing span.</t>
  </si>
  <si>
    <t>Work left to right, top to bottom.</t>
  </si>
  <si>
    <t>Data Blocks:</t>
  </si>
  <si>
    <t>Right Vertical Stabilizer</t>
  </si>
  <si>
    <t>Left Vertical Stabilizer (Mirror of Right Stabilizer)</t>
  </si>
  <si>
    <t>Sheet: "ASWING STRUCT"</t>
  </si>
  <si>
    <t>Sheet: "ASWING AERO"</t>
  </si>
  <si>
    <t xml:space="preserve">Note that realistic sectional max lift, lift-slope, and moment coefficients are required for ASWING results to converge.  Recommend generating properties from a 2D panel code such as XFOIL. </t>
  </si>
  <si>
    <t>Driven by AERO Inputs</t>
  </si>
  <si>
    <t>General ASWING phsyics inputs (units, acceleration due to gravity, reference locations,)etc.</t>
  </si>
  <si>
    <t>Point Mass - locations and mass</t>
  </si>
  <si>
    <t>Joint connections between wing, booms, canard, etc.</t>
  </si>
  <si>
    <t>Booms</t>
  </si>
  <si>
    <t>Aero forces applied at 0.25c.</t>
  </si>
  <si>
    <t xml:space="preserve">Initial shear center is assumed between spars.  </t>
  </si>
  <si>
    <t>A realistic "Weight and Balance" and mass-distrubtion is also required to ensure that the as-built ASWING model will have a CG location that corresponds to the desired point.</t>
  </si>
  <si>
    <t>2.  Enter initial structural layout details for discrete masses and booms</t>
  </si>
  <si>
    <t>Canard* - Must be sized with tool.</t>
  </si>
  <si>
    <t>Wing*  - Must be sized with tool.</t>
  </si>
  <si>
    <t>Vertical Stabilizers* - Must be sized with tool.</t>
  </si>
  <si>
    <t>Sheet: "Inputs"</t>
  </si>
  <si>
    <t>A representative trapezoidal surface must be sized for the wing, canard, and verticals.  See "Prosperity Reference" for examples of sizing loads to be used for initial weight and stiffness estimates.</t>
  </si>
  <si>
    <t>Create trazoidal approximation for "Canard" surface sizing in Sheet "Input".</t>
  </si>
  <si>
    <t>Create trazoidal approximation for "Wing" surface sizing in Sheet "Input".</t>
  </si>
  <si>
    <t>Wing data will be used directly for ASWING model.</t>
  </si>
  <si>
    <t>Wing data can be varied quickly from Sheet "Input" for AWING wing stiffness trades studies.</t>
  </si>
  <si>
    <t>3.  Size Lifting Surfaces</t>
  </si>
  <si>
    <t>Copy data in sheet "ASWING STRUCT" AW50:CK71 to vertical stabilizer blocks (Far-right).  Ensure left stabilizer has a negative "y" value.</t>
  </si>
  <si>
    <t>Copy data in sheet "ASWING STRUCT" AW50:CK71 to canard block to right.</t>
  </si>
  <si>
    <t>Note wing stiffness properties (Section AV48:CL71) are generated from the sizing spreadsheet stiffness calculator.  See hidden tab "Stiffness" for calculation details.</t>
  </si>
  <si>
    <t>Recommended sizing order:</t>
  </si>
  <si>
    <t>4. Generate ASWING Input file</t>
  </si>
  <si>
    <t>Run MATLAB script:  ASWING_FileGen_20230501.m</t>
  </si>
  <si>
    <t>This script with create a "*.asw" file that can be read into ASWING for structural loads and flutter results.</t>
  </si>
  <si>
    <t>Example ASWING .pnt and .set files for structural and flutter runs are provided in accompanying folders.</t>
  </si>
  <si>
    <t>Create trapezoidal approximation for "Vertical" surface sizing in Sheet "Input".</t>
  </si>
  <si>
    <t xml:space="preserve">Ensure AWING model has center of gravity in desired location.  </t>
  </si>
  <si>
    <t>dClda</t>
  </si>
  <si>
    <t>Generated Data for Canard</t>
  </si>
  <si>
    <t>Canard AERO pts.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</si>
</sst>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
    <numFmt numFmtId="167" formatCode="#,##0.000"/>
    <numFmt numFmtId="168" formatCode="0.00000"/>
    <numFmt numFmtId="169" formatCode="0.00000000"/>
    <numFmt numFmtId="170" formatCode="0.000000"/>
  </numFmts>
  <fonts count="16" x14ac:knownFonts="1">
    <font>
      <sz val="11"/>
      <color theme="1"/>
      <name val="Calibri"/>
      <family val="2"/>
      <scheme val="minor"/>
    </font>
    <font>
      <sz val="11"/>
      <color theme="1"/>
      <name val="Calibri"/>
      <family val="2"/>
      <scheme val="minor"/>
    </font>
    <font>
      <sz val="11"/>
      <color rgb="FF9C6500"/>
      <name val="Calibri"/>
      <family val="2"/>
      <scheme val="minor"/>
    </font>
    <font>
      <b/>
      <sz val="11"/>
      <color theme="1"/>
      <name val="Calibri"/>
      <family val="2"/>
      <scheme val="minor"/>
    </font>
    <font>
      <sz val="11"/>
      <name val="Calibri"/>
      <family val="2"/>
      <scheme val="minor"/>
    </font>
    <font>
      <i/>
      <sz val="11"/>
      <color theme="1"/>
      <name val="Calibri"/>
      <family val="2"/>
      <scheme val="minor"/>
    </font>
    <font>
      <b/>
      <sz val="11"/>
      <color theme="1"/>
      <name val="Arial"/>
      <family val="2"/>
    </font>
    <font>
      <sz val="10"/>
      <color theme="1"/>
      <name val="Arial"/>
      <family val="2"/>
    </font>
    <font>
      <sz val="11"/>
      <color theme="1"/>
      <name val="Arial"/>
      <family val="2"/>
    </font>
    <font>
      <b/>
      <i/>
      <sz val="11"/>
      <color theme="1"/>
      <name val="Calibri"/>
      <family val="2"/>
      <scheme val="minor"/>
    </font>
    <font>
      <sz val="11"/>
      <color theme="1"/>
      <name val="Calibri"/>
      <family val="2"/>
    </font>
    <font>
      <b/>
      <sz val="11"/>
      <name val="Calibri"/>
      <family val="2"/>
      <scheme val="minor"/>
    </font>
    <font>
      <b/>
      <i/>
      <sz val="11"/>
      <name val="Calibri"/>
      <family val="2"/>
      <scheme val="minor"/>
    </font>
    <font>
      <sz val="11"/>
      <color rgb="FF66FF66"/>
      <name val="Calibri"/>
      <family val="2"/>
      <scheme val="minor"/>
    </font>
    <font>
      <sz val="11"/>
      <color theme="1"/>
      <name val="Consolas"/>
      <family val="3"/>
    </font>
    <font>
      <u/>
      <sz val="11"/>
      <color theme="10"/>
      <name val="Calibri"/>
      <family val="2"/>
      <scheme val="minor"/>
    </font>
  </fonts>
  <fills count="34">
    <fill>
      <patternFill patternType="none"/>
    </fill>
    <fill>
      <patternFill patternType="gray125"/>
    </fill>
    <fill>
      <patternFill patternType="solid">
        <fgColor rgb="FFFFEB9C"/>
      </patternFill>
    </fill>
    <fill>
      <patternFill patternType="solid">
        <fgColor theme="0" tint="-0.14999847407452621"/>
        <bgColor indexed="64"/>
      </patternFill>
    </fill>
    <fill>
      <patternFill patternType="solid">
        <fgColor theme="2" tint="-9.9978637043366805E-2"/>
        <bgColor indexed="64"/>
      </patternFill>
    </fill>
    <fill>
      <patternFill patternType="solid">
        <fgColor rgb="FFFFFF00"/>
        <bgColor indexed="64"/>
      </patternFill>
    </fill>
    <fill>
      <patternFill patternType="solid">
        <fgColor rgb="FF9FC5E8"/>
        <bgColor rgb="FF9FC5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5B7F6"/>
        <bgColor indexed="64"/>
      </patternFill>
    </fill>
    <fill>
      <patternFill patternType="solid">
        <fgColor theme="8" tint="0.79998168889431442"/>
        <bgColor indexed="64"/>
      </patternFill>
    </fill>
    <fill>
      <patternFill patternType="solid">
        <fgColor rgb="FFDEC0F2"/>
        <bgColor indexed="64"/>
      </patternFill>
    </fill>
    <fill>
      <patternFill patternType="solid">
        <fgColor rgb="FFFF66FF"/>
        <bgColor indexed="64"/>
      </patternFill>
    </fill>
    <fill>
      <patternFill patternType="lightUp"/>
    </fill>
    <fill>
      <patternFill patternType="solid">
        <fgColor theme="9" tint="0.39997558519241921"/>
        <bgColor indexed="64"/>
      </patternFill>
    </fill>
    <fill>
      <patternFill patternType="solid">
        <fgColor theme="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66FF66"/>
        <bgColor indexed="64"/>
      </patternFill>
    </fill>
    <fill>
      <patternFill patternType="solid">
        <fgColor theme="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rgb="FFFF66FF"/>
        <bgColor rgb="FF000000"/>
      </patternFill>
    </fill>
    <fill>
      <patternFill patternType="solid">
        <fgColor rgb="FFFF0000"/>
        <bgColor indexed="64"/>
      </patternFill>
    </fill>
    <fill>
      <patternFill patternType="solid">
        <fgColor rgb="FFCC66FF"/>
        <bgColor rgb="FF000000"/>
      </patternFill>
    </fill>
  </fills>
  <borders count="95">
    <border>
      <left/>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bottom style="medium">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rgb="FF000000"/>
      </right>
      <top style="thin">
        <color rgb="FF000000"/>
      </top>
      <bottom style="medium">
        <color indexed="64"/>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rgb="FF000000"/>
      </top>
      <bottom style="thin">
        <color rgb="FF000000"/>
      </bottom>
      <diagonal/>
    </border>
    <border>
      <left style="medium">
        <color indexed="64"/>
      </left>
      <right/>
      <top style="thin">
        <color rgb="FF000000"/>
      </top>
      <bottom style="medium">
        <color indexed="64"/>
      </bottom>
      <diagonal/>
    </border>
    <border>
      <left style="thin">
        <color rgb="FF000000"/>
      </left>
      <right/>
      <top style="thin">
        <color rgb="FF000000"/>
      </top>
      <bottom style="medium">
        <color indexed="64"/>
      </bottom>
      <diagonal/>
    </border>
    <border>
      <left style="medium">
        <color indexed="64"/>
      </left>
      <right/>
      <top style="medium">
        <color indexed="64"/>
      </top>
      <bottom style="thin">
        <color rgb="FF000000"/>
      </bottom>
      <diagonal/>
    </border>
    <border>
      <left/>
      <right style="thin">
        <color rgb="FF000000"/>
      </right>
      <top style="medium">
        <color indexed="64"/>
      </top>
      <bottom/>
      <diagonal/>
    </border>
    <border>
      <left style="thin">
        <color rgb="FF000000"/>
      </left>
      <right/>
      <top style="medium">
        <color indexed="64"/>
      </top>
      <bottom/>
      <diagonal/>
    </border>
    <border>
      <left style="thin">
        <color rgb="FF000000"/>
      </left>
      <right/>
      <top style="medium">
        <color indexed="64"/>
      </top>
      <bottom style="thin">
        <color rgb="FF000000"/>
      </bottom>
      <diagonal/>
    </border>
    <border>
      <left/>
      <right/>
      <top style="thin">
        <color rgb="FF000000"/>
      </top>
      <bottom style="thin">
        <color rgb="FF000000"/>
      </bottom>
      <diagonal/>
    </border>
    <border>
      <left/>
      <right/>
      <top style="thin">
        <color rgb="FF000000"/>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rgb="FF000000"/>
      </right>
      <top style="medium">
        <color indexed="64"/>
      </top>
      <bottom style="thin">
        <color rgb="FF000000"/>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medium">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s>
  <cellStyleXfs count="5">
    <xf numFmtId="0" fontId="0" fillId="0" borderId="0"/>
    <xf numFmtId="0" fontId="2" fillId="2" borderId="0" applyNumberFormat="0" applyBorder="0" applyAlignment="0" applyProtection="0"/>
    <xf numFmtId="9" fontId="1" fillId="0" borderId="0" applyFont="0" applyFill="0" applyBorder="0" applyAlignment="0" applyProtection="0"/>
    <xf numFmtId="0" fontId="15" fillId="0" borderId="0" applyNumberFormat="0" applyFill="0" applyBorder="0" applyAlignment="0" applyProtection="0"/>
    <xf numFmtId="43" fontId="1" fillId="0" borderId="0" applyFont="0" applyFill="0" applyBorder="0" applyAlignment="0" applyProtection="0"/>
  </cellStyleXfs>
  <cellXfs count="810">
    <xf numFmtId="0" fontId="0" fillId="0" borderId="0" xfId="0"/>
    <xf numFmtId="0" fontId="0" fillId="0" borderId="2"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3" fillId="0" borderId="0" xfId="0" applyFont="1"/>
    <xf numFmtId="0" fontId="0" fillId="0" borderId="0" xfId="0" applyAlignment="1">
      <alignment horizontal="left"/>
    </xf>
    <xf numFmtId="0" fontId="0" fillId="0" borderId="0" xfId="0" quotePrefix="1" applyAlignment="1">
      <alignment horizontal="center"/>
    </xf>
    <xf numFmtId="0" fontId="4" fillId="0" borderId="0" xfId="0" applyFont="1" applyAlignment="1">
      <alignment horizontal="center"/>
    </xf>
    <xf numFmtId="2" fontId="0" fillId="0" borderId="0" xfId="0" applyNumberFormat="1" applyAlignment="1">
      <alignment horizontal="center"/>
    </xf>
    <xf numFmtId="0" fontId="0" fillId="0" borderId="6" xfId="0" applyBorder="1" applyAlignment="1">
      <alignment horizontal="center"/>
    </xf>
    <xf numFmtId="0" fontId="0" fillId="0" borderId="2" xfId="0" quotePrefix="1" applyBorder="1"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0" fontId="4" fillId="0" borderId="2" xfId="0" applyFont="1" applyBorder="1" applyAlignment="1">
      <alignment horizontal="center"/>
    </xf>
    <xf numFmtId="0" fontId="3" fillId="0" borderId="0" xfId="0" applyFont="1" applyAlignment="1">
      <alignment horizontal="center"/>
    </xf>
    <xf numFmtId="0" fontId="0" fillId="0" borderId="11" xfId="0" applyBorder="1" applyAlignment="1">
      <alignment horizontal="center"/>
    </xf>
    <xf numFmtId="165" fontId="0" fillId="0" borderId="12" xfId="0" applyNumberFormat="1" applyBorder="1" applyAlignment="1">
      <alignment horizontal="center"/>
    </xf>
    <xf numFmtId="165" fontId="0" fillId="0" borderId="13" xfId="0" applyNumberFormat="1" applyBorder="1" applyAlignment="1">
      <alignment horizontal="center"/>
    </xf>
    <xf numFmtId="0" fontId="0" fillId="0" borderId="13" xfId="0" applyBorder="1" applyAlignment="1">
      <alignment horizontal="center"/>
    </xf>
    <xf numFmtId="164" fontId="0" fillId="0" borderId="12" xfId="0" applyNumberFormat="1" applyBorder="1" applyAlignment="1">
      <alignment horizontal="center"/>
    </xf>
    <xf numFmtId="0" fontId="0" fillId="0" borderId="12" xfId="0" applyBorder="1" applyAlignment="1">
      <alignment horizontal="center"/>
    </xf>
    <xf numFmtId="164" fontId="0" fillId="0" borderId="13" xfId="0" applyNumberFormat="1" applyBorder="1" applyAlignment="1">
      <alignment horizontal="center"/>
    </xf>
    <xf numFmtId="1" fontId="0" fillId="0" borderId="13" xfId="0" applyNumberFormat="1" applyBorder="1" applyAlignment="1">
      <alignment horizontal="center"/>
    </xf>
    <xf numFmtId="0" fontId="5" fillId="4" borderId="8" xfId="0" applyFont="1" applyFill="1" applyBorder="1" applyAlignment="1">
      <alignment horizontal="left"/>
    </xf>
    <xf numFmtId="0" fontId="0" fillId="0" borderId="9" xfId="0" applyBorder="1" applyAlignment="1">
      <alignment horizontal="center"/>
    </xf>
    <xf numFmtId="0" fontId="0" fillId="0" borderId="15" xfId="0" applyBorder="1" applyAlignment="1">
      <alignment horizontal="left"/>
    </xf>
    <xf numFmtId="0" fontId="0" fillId="0" borderId="16" xfId="0" applyBorder="1" applyAlignment="1">
      <alignment horizontal="left"/>
    </xf>
    <xf numFmtId="0" fontId="5" fillId="4" borderId="17" xfId="0" applyFont="1" applyFill="1" applyBorder="1" applyAlignment="1">
      <alignment horizontal="left"/>
    </xf>
    <xf numFmtId="0" fontId="0" fillId="0" borderId="18" xfId="0" applyBorder="1" applyAlignment="1">
      <alignment horizontal="left"/>
    </xf>
    <xf numFmtId="0" fontId="0" fillId="0" borderId="19" xfId="0" applyBorder="1" applyAlignment="1">
      <alignment horizontal="center"/>
    </xf>
    <xf numFmtId="0" fontId="0" fillId="0" borderId="14" xfId="0" applyBorder="1" applyAlignment="1">
      <alignment horizontal="center"/>
    </xf>
    <xf numFmtId="14" fontId="0" fillId="0" borderId="0" xfId="0" applyNumberFormat="1" applyAlignment="1">
      <alignment horizontal="left"/>
    </xf>
    <xf numFmtId="0" fontId="6" fillId="0" borderId="20" xfId="0" applyFont="1" applyBorder="1"/>
    <xf numFmtId="0" fontId="7" fillId="0" borderId="20" xfId="0" applyFont="1" applyBorder="1"/>
    <xf numFmtId="0" fontId="8" fillId="6" borderId="20" xfId="0" applyFont="1" applyFill="1" applyBorder="1"/>
    <xf numFmtId="0" fontId="8" fillId="6" borderId="20" xfId="0" applyFont="1" applyFill="1" applyBorder="1" applyAlignment="1">
      <alignment horizontal="right"/>
    </xf>
    <xf numFmtId="0" fontId="7" fillId="6" borderId="20" xfId="0" applyFont="1" applyFill="1" applyBorder="1"/>
    <xf numFmtId="11" fontId="7" fillId="6" borderId="20" xfId="0" applyNumberFormat="1" applyFont="1" applyFill="1" applyBorder="1" applyAlignment="1">
      <alignment horizontal="right"/>
    </xf>
    <xf numFmtId="0" fontId="7" fillId="0" borderId="0" xfId="0" applyFont="1" applyAlignment="1">
      <alignment horizontal="right"/>
    </xf>
    <xf numFmtId="0" fontId="7" fillId="0" borderId="0" xfId="0" applyFont="1"/>
    <xf numFmtId="11" fontId="7" fillId="0" borderId="0" xfId="0" applyNumberFormat="1" applyFont="1" applyAlignment="1">
      <alignment horizontal="right"/>
    </xf>
    <xf numFmtId="0" fontId="5" fillId="0" borderId="0" xfId="0" applyFont="1"/>
    <xf numFmtId="0" fontId="8" fillId="0" borderId="20" xfId="0" applyFont="1" applyBorder="1"/>
    <xf numFmtId="11" fontId="8" fillId="0" borderId="20" xfId="0" applyNumberFormat="1" applyFont="1" applyBorder="1" applyAlignment="1">
      <alignment horizontal="right"/>
    </xf>
    <xf numFmtId="0" fontId="7" fillId="0" borderId="21" xfId="0" applyFont="1" applyBorder="1"/>
    <xf numFmtId="0" fontId="7" fillId="0" borderId="22" xfId="0" applyFont="1" applyBorder="1"/>
    <xf numFmtId="11" fontId="7" fillId="0" borderId="28" xfId="0" applyNumberFormat="1" applyFont="1" applyBorder="1" applyAlignment="1">
      <alignment horizontal="right"/>
    </xf>
    <xf numFmtId="0" fontId="7" fillId="11" borderId="29" xfId="0" applyFont="1" applyFill="1" applyBorder="1"/>
    <xf numFmtId="0" fontId="7" fillId="11" borderId="31" xfId="0" applyFont="1" applyFill="1" applyBorder="1"/>
    <xf numFmtId="3" fontId="8" fillId="11" borderId="33" xfId="0" applyNumberFormat="1" applyFont="1" applyFill="1" applyBorder="1" applyAlignment="1">
      <alignment horizontal="center"/>
    </xf>
    <xf numFmtId="3" fontId="8" fillId="11" borderId="32" xfId="0" applyNumberFormat="1" applyFont="1" applyFill="1" applyBorder="1" applyAlignment="1">
      <alignment horizontal="center"/>
    </xf>
    <xf numFmtId="3" fontId="8" fillId="11" borderId="34" xfId="0" applyNumberFormat="1" applyFont="1" applyFill="1" applyBorder="1" applyAlignment="1">
      <alignment horizontal="center"/>
    </xf>
    <xf numFmtId="3" fontId="8" fillId="11" borderId="35" xfId="0" applyNumberFormat="1" applyFont="1" applyFill="1" applyBorder="1" applyAlignment="1">
      <alignment horizontal="center"/>
    </xf>
    <xf numFmtId="3" fontId="8" fillId="11" borderId="36" xfId="0" applyNumberFormat="1" applyFont="1" applyFill="1" applyBorder="1" applyAlignment="1">
      <alignment horizontal="center"/>
    </xf>
    <xf numFmtId="3" fontId="8" fillId="11" borderId="37" xfId="0" applyNumberFormat="1" applyFont="1" applyFill="1" applyBorder="1" applyAlignment="1">
      <alignment horizontal="center"/>
    </xf>
    <xf numFmtId="0" fontId="7" fillId="11" borderId="31" xfId="0" applyFont="1" applyFill="1" applyBorder="1" applyAlignment="1">
      <alignment horizontal="center"/>
    </xf>
    <xf numFmtId="0" fontId="7" fillId="11" borderId="3" xfId="0" applyFont="1" applyFill="1" applyBorder="1" applyAlignment="1">
      <alignment horizontal="center"/>
    </xf>
    <xf numFmtId="3" fontId="8" fillId="11" borderId="38" xfId="0" applyNumberFormat="1" applyFont="1" applyFill="1" applyBorder="1" applyAlignment="1">
      <alignment horizontal="center"/>
    </xf>
    <xf numFmtId="3" fontId="8" fillId="11" borderId="39" xfId="0" applyNumberFormat="1" applyFont="1" applyFill="1" applyBorder="1" applyAlignment="1">
      <alignment horizontal="center"/>
    </xf>
    <xf numFmtId="11" fontId="8" fillId="0" borderId="22" xfId="0" applyNumberFormat="1" applyFont="1" applyBorder="1" applyAlignment="1">
      <alignment horizontal="right"/>
    </xf>
    <xf numFmtId="0" fontId="7" fillId="11" borderId="41" xfId="0" applyFont="1" applyFill="1" applyBorder="1" applyAlignment="1">
      <alignment horizontal="center"/>
    </xf>
    <xf numFmtId="165" fontId="8" fillId="12" borderId="22" xfId="0" applyNumberFormat="1" applyFont="1" applyFill="1" applyBorder="1" applyAlignment="1">
      <alignment horizontal="center"/>
    </xf>
    <xf numFmtId="0" fontId="7" fillId="0" borderId="23" xfId="0" quotePrefix="1" applyFont="1" applyBorder="1"/>
    <xf numFmtId="0" fontId="7" fillId="0" borderId="24" xfId="0" quotePrefix="1" applyFont="1" applyBorder="1"/>
    <xf numFmtId="165" fontId="8" fillId="12" borderId="26" xfId="0" applyNumberFormat="1" applyFont="1" applyFill="1" applyBorder="1" applyAlignment="1">
      <alignment horizontal="center"/>
    </xf>
    <xf numFmtId="165" fontId="8" fillId="12" borderId="27" xfId="0" applyNumberFormat="1" applyFont="1" applyFill="1" applyBorder="1" applyAlignment="1">
      <alignment horizontal="center"/>
    </xf>
    <xf numFmtId="165" fontId="8" fillId="12" borderId="42" xfId="0" applyNumberFormat="1" applyFont="1" applyFill="1" applyBorder="1" applyAlignment="1">
      <alignment horizontal="center"/>
    </xf>
    <xf numFmtId="11" fontId="8" fillId="0" borderId="21" xfId="0" applyNumberFormat="1" applyFont="1" applyBorder="1" applyAlignment="1">
      <alignment horizontal="right"/>
    </xf>
    <xf numFmtId="0" fontId="0" fillId="13" borderId="3" xfId="0" applyFill="1" applyBorder="1" applyAlignment="1">
      <alignment horizontal="center"/>
    </xf>
    <xf numFmtId="166" fontId="7" fillId="13" borderId="43" xfId="0" applyNumberFormat="1" applyFont="1" applyFill="1" applyBorder="1" applyAlignment="1">
      <alignment horizontal="center"/>
    </xf>
    <xf numFmtId="166" fontId="7" fillId="13" borderId="44" xfId="0" applyNumberFormat="1" applyFont="1" applyFill="1" applyBorder="1" applyAlignment="1">
      <alignment horizontal="center"/>
    </xf>
    <xf numFmtId="0" fontId="7" fillId="11" borderId="29" xfId="0" applyFont="1" applyFill="1" applyBorder="1" applyAlignment="1">
      <alignment horizontal="center"/>
    </xf>
    <xf numFmtId="0" fontId="7" fillId="11" borderId="30" xfId="0" applyFont="1" applyFill="1" applyBorder="1" applyAlignment="1">
      <alignment horizontal="center"/>
    </xf>
    <xf numFmtId="3" fontId="0" fillId="0" borderId="11" xfId="0" applyNumberFormat="1" applyBorder="1" applyAlignment="1">
      <alignment horizontal="center"/>
    </xf>
    <xf numFmtId="3" fontId="0" fillId="0" borderId="13" xfId="0" applyNumberFormat="1" applyBorder="1" applyAlignment="1">
      <alignment horizontal="center"/>
    </xf>
    <xf numFmtId="0" fontId="7" fillId="0" borderId="20" xfId="0" applyFont="1" applyBorder="1" applyAlignment="1">
      <alignment horizontal="center"/>
    </xf>
    <xf numFmtId="0" fontId="7" fillId="6" borderId="20" xfId="0" applyFont="1" applyFill="1" applyBorder="1" applyAlignment="1">
      <alignment horizontal="center"/>
    </xf>
    <xf numFmtId="11" fontId="8" fillId="6" borderId="20" xfId="0" applyNumberFormat="1" applyFont="1" applyFill="1" applyBorder="1" applyAlignment="1">
      <alignment horizontal="center"/>
    </xf>
    <xf numFmtId="0" fontId="8" fillId="6" borderId="20" xfId="0" applyFont="1" applyFill="1" applyBorder="1" applyAlignment="1">
      <alignment horizontal="center"/>
    </xf>
    <xf numFmtId="11" fontId="7" fillId="6" borderId="20" xfId="0" applyNumberFormat="1" applyFont="1" applyFill="1" applyBorder="1" applyAlignment="1">
      <alignment horizontal="center"/>
    </xf>
    <xf numFmtId="0" fontId="9" fillId="0" borderId="0" xfId="0" applyFont="1"/>
    <xf numFmtId="0" fontId="6" fillId="0" borderId="21" xfId="0" applyFont="1" applyBorder="1"/>
    <xf numFmtId="0" fontId="8" fillId="0" borderId="21" xfId="0" applyFont="1" applyBorder="1"/>
    <xf numFmtId="0" fontId="6" fillId="0" borderId="22" xfId="0" applyFont="1" applyBorder="1"/>
    <xf numFmtId="0" fontId="7" fillId="11" borderId="45" xfId="0" applyFont="1" applyFill="1" applyBorder="1" applyAlignment="1">
      <alignment horizontal="center"/>
    </xf>
    <xf numFmtId="3" fontId="8" fillId="11" borderId="46" xfId="0" applyNumberFormat="1" applyFont="1" applyFill="1" applyBorder="1" applyAlignment="1">
      <alignment horizontal="center"/>
    </xf>
    <xf numFmtId="3" fontId="8" fillId="11" borderId="47" xfId="0" applyNumberFormat="1" applyFont="1" applyFill="1" applyBorder="1" applyAlignment="1">
      <alignment horizontal="center"/>
    </xf>
    <xf numFmtId="0" fontId="6" fillId="0" borderId="23" xfId="0" applyFont="1" applyBorder="1"/>
    <xf numFmtId="0" fontId="6" fillId="0" borderId="30" xfId="0" applyFont="1" applyBorder="1"/>
    <xf numFmtId="0" fontId="6" fillId="0" borderId="24" xfId="0" applyFont="1" applyBorder="1"/>
    <xf numFmtId="0" fontId="6" fillId="0" borderId="25" xfId="0" applyFont="1" applyBorder="1"/>
    <xf numFmtId="0" fontId="7" fillId="0" borderId="48" xfId="0" applyFont="1" applyBorder="1"/>
    <xf numFmtId="0" fontId="7" fillId="0" borderId="49" xfId="0" applyFont="1" applyBorder="1"/>
    <xf numFmtId="11" fontId="7" fillId="0" borderId="42" xfId="0" applyNumberFormat="1" applyFont="1" applyBorder="1" applyAlignment="1">
      <alignment horizontal="right"/>
    </xf>
    <xf numFmtId="11" fontId="7" fillId="0" borderId="50" xfId="0" applyNumberFormat="1" applyFont="1" applyBorder="1" applyAlignment="1">
      <alignment horizontal="right"/>
    </xf>
    <xf numFmtId="0" fontId="6" fillId="0" borderId="51" xfId="0" applyFont="1" applyBorder="1"/>
    <xf numFmtId="0" fontId="6" fillId="0" borderId="52" xfId="0" applyFont="1" applyBorder="1"/>
    <xf numFmtId="0" fontId="7" fillId="11" borderId="45" xfId="0" applyFont="1" applyFill="1" applyBorder="1"/>
    <xf numFmtId="0" fontId="6" fillId="0" borderId="29" xfId="0" applyFont="1" applyBorder="1"/>
    <xf numFmtId="0" fontId="6" fillId="0" borderId="31" xfId="0" applyFont="1" applyBorder="1"/>
    <xf numFmtId="0" fontId="6" fillId="0" borderId="53" xfId="0" applyFont="1" applyBorder="1"/>
    <xf numFmtId="0" fontId="7" fillId="0" borderId="54" xfId="0" quotePrefix="1" applyFont="1" applyBorder="1"/>
    <xf numFmtId="165" fontId="8" fillId="12" borderId="55" xfId="0" applyNumberFormat="1" applyFont="1" applyFill="1" applyBorder="1" applyAlignment="1">
      <alignment horizontal="center"/>
    </xf>
    <xf numFmtId="165" fontId="8" fillId="12" borderId="56" xfId="0" applyNumberFormat="1" applyFont="1" applyFill="1" applyBorder="1" applyAlignment="1">
      <alignment horizontal="center"/>
    </xf>
    <xf numFmtId="0" fontId="7" fillId="11" borderId="57" xfId="0" applyFont="1" applyFill="1" applyBorder="1" applyAlignment="1">
      <alignment horizontal="center"/>
    </xf>
    <xf numFmtId="3" fontId="8" fillId="11" borderId="58" xfId="0" applyNumberFormat="1" applyFont="1" applyFill="1" applyBorder="1" applyAlignment="1">
      <alignment horizontal="center"/>
    </xf>
    <xf numFmtId="3" fontId="8" fillId="11" borderId="59" xfId="0" applyNumberFormat="1" applyFont="1" applyFill="1" applyBorder="1" applyAlignment="1">
      <alignment horizontal="center"/>
    </xf>
    <xf numFmtId="0" fontId="6" fillId="0" borderId="3" xfId="0" applyFont="1" applyBorder="1"/>
    <xf numFmtId="0" fontId="7" fillId="11" borderId="60" xfId="0" applyFont="1" applyFill="1" applyBorder="1" applyAlignment="1">
      <alignment horizontal="center"/>
    </xf>
    <xf numFmtId="0" fontId="6" fillId="0" borderId="54" xfId="0" applyFont="1" applyBorder="1"/>
    <xf numFmtId="0" fontId="6" fillId="0" borderId="61" xfId="0" applyFont="1" applyBorder="1"/>
    <xf numFmtId="0" fontId="7" fillId="11" borderId="52" xfId="0" applyFont="1" applyFill="1" applyBorder="1" applyAlignment="1">
      <alignment horizontal="center"/>
    </xf>
    <xf numFmtId="0" fontId="7" fillId="11" borderId="53" xfId="0" applyFont="1" applyFill="1" applyBorder="1" applyAlignment="1">
      <alignment horizontal="center"/>
    </xf>
    <xf numFmtId="3" fontId="8" fillId="11" borderId="62" xfId="0" applyNumberFormat="1" applyFont="1" applyFill="1" applyBorder="1" applyAlignment="1">
      <alignment horizontal="center"/>
    </xf>
    <xf numFmtId="3" fontId="8" fillId="11" borderId="63" xfId="0" applyNumberFormat="1" applyFont="1" applyFill="1" applyBorder="1" applyAlignment="1">
      <alignment horizontal="center"/>
    </xf>
    <xf numFmtId="0" fontId="6" fillId="0" borderId="64" xfId="0" applyFont="1" applyBorder="1"/>
    <xf numFmtId="3" fontId="0" fillId="0" borderId="0" xfId="0" applyNumberFormat="1" applyAlignment="1">
      <alignment horizontal="center"/>
    </xf>
    <xf numFmtId="167" fontId="0" fillId="0" borderId="0" xfId="0" applyNumberFormat="1" applyAlignment="1">
      <alignment horizontal="center"/>
    </xf>
    <xf numFmtId="167" fontId="0" fillId="0" borderId="0" xfId="0" applyNumberFormat="1"/>
    <xf numFmtId="0" fontId="3" fillId="0" borderId="1" xfId="0" applyFont="1" applyBorder="1" applyAlignment="1">
      <alignment horizontal="center" wrapText="1"/>
    </xf>
    <xf numFmtId="0" fontId="9" fillId="0" borderId="1" xfId="0" applyFont="1" applyBorder="1" applyAlignment="1">
      <alignment horizontal="center" wrapText="1"/>
    </xf>
    <xf numFmtId="0" fontId="0" fillId="0" borderId="45" xfId="0" applyBorder="1" applyAlignment="1">
      <alignment horizontal="center"/>
    </xf>
    <xf numFmtId="2" fontId="0" fillId="0" borderId="19" xfId="0" applyNumberFormat="1" applyBorder="1" applyAlignment="1">
      <alignment horizontal="center"/>
    </xf>
    <xf numFmtId="0" fontId="0" fillId="0" borderId="67" xfId="0" applyBorder="1" applyAlignment="1">
      <alignment horizontal="center"/>
    </xf>
    <xf numFmtId="0" fontId="3" fillId="0" borderId="65" xfId="0" applyFont="1" applyBorder="1" applyAlignment="1">
      <alignment horizontal="center" wrapText="1"/>
    </xf>
    <xf numFmtId="0" fontId="3" fillId="0" borderId="66" xfId="0" applyFont="1" applyBorder="1" applyAlignment="1">
      <alignment horizontal="center" wrapText="1"/>
    </xf>
    <xf numFmtId="0" fontId="0" fillId="0" borderId="3" xfId="0" applyBorder="1" applyAlignment="1">
      <alignment horizontal="center"/>
    </xf>
    <xf numFmtId="0" fontId="0" fillId="0" borderId="68" xfId="0" applyBorder="1" applyAlignment="1">
      <alignment horizontal="center"/>
    </xf>
    <xf numFmtId="0" fontId="0" fillId="0" borderId="15"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8" xfId="0" applyBorder="1" applyAlignment="1">
      <alignment horizontal="center"/>
    </xf>
    <xf numFmtId="2" fontId="0" fillId="0" borderId="67" xfId="0" applyNumberFormat="1" applyBorder="1" applyAlignment="1">
      <alignment horizontal="center"/>
    </xf>
    <xf numFmtId="2" fontId="0" fillId="0" borderId="45" xfId="0" applyNumberFormat="1" applyBorder="1" applyAlignment="1">
      <alignment horizontal="center"/>
    </xf>
    <xf numFmtId="2" fontId="0" fillId="0" borderId="68" xfId="0" applyNumberFormat="1" applyBorder="1" applyAlignment="1">
      <alignment horizontal="center"/>
    </xf>
    <xf numFmtId="0" fontId="3" fillId="0" borderId="45" xfId="0" applyFont="1" applyBorder="1" applyAlignment="1">
      <alignment horizontal="center" wrapText="1"/>
    </xf>
    <xf numFmtId="0" fontId="3" fillId="0" borderId="0" xfId="0" applyFont="1" applyAlignment="1">
      <alignment horizontal="center" wrapText="1"/>
    </xf>
    <xf numFmtId="1" fontId="0" fillId="0" borderId="67" xfId="0" applyNumberFormat="1" applyBorder="1" applyAlignment="1">
      <alignment horizontal="center"/>
    </xf>
    <xf numFmtId="165" fontId="0" fillId="0" borderId="0" xfId="0" applyNumberFormat="1" applyAlignment="1">
      <alignment horizontal="center"/>
    </xf>
    <xf numFmtId="2" fontId="3" fillId="0" borderId="0" xfId="0" applyNumberFormat="1" applyFont="1" applyAlignment="1">
      <alignment horizontal="center"/>
    </xf>
    <xf numFmtId="0" fontId="0" fillId="0" borderId="62" xfId="0" applyBorder="1" applyAlignment="1">
      <alignment horizontal="center"/>
    </xf>
    <xf numFmtId="0" fontId="0" fillId="0" borderId="32" xfId="0" applyBorder="1" applyAlignment="1">
      <alignment horizontal="center"/>
    </xf>
    <xf numFmtId="0" fontId="0" fillId="0" borderId="7" xfId="0" applyBorder="1" applyAlignment="1">
      <alignment horizontal="center"/>
    </xf>
    <xf numFmtId="0" fontId="5" fillId="0" borderId="15" xfId="0" applyFont="1" applyBorder="1" applyAlignment="1">
      <alignment horizontal="left"/>
    </xf>
    <xf numFmtId="1" fontId="0" fillId="0" borderId="0" xfId="0" applyNumberFormat="1"/>
    <xf numFmtId="0" fontId="0" fillId="0" borderId="66" xfId="0" applyBorder="1"/>
    <xf numFmtId="0" fontId="0" fillId="0" borderId="10" xfId="0" applyBorder="1"/>
    <xf numFmtId="1" fontId="0" fillId="14" borderId="65" xfId="0" applyNumberFormat="1" applyFill="1" applyBorder="1" applyAlignment="1">
      <alignment horizontal="center"/>
    </xf>
    <xf numFmtId="1" fontId="0" fillId="7" borderId="10" xfId="0" applyNumberFormat="1" applyFill="1" applyBorder="1" applyAlignment="1">
      <alignment horizontal="center"/>
    </xf>
    <xf numFmtId="1" fontId="0" fillId="7" borderId="68" xfId="0" applyNumberFormat="1" applyFill="1" applyBorder="1" applyAlignment="1">
      <alignment horizontal="center"/>
    </xf>
    <xf numFmtId="1" fontId="0" fillId="14" borderId="15" xfId="0" applyNumberFormat="1" applyFill="1" applyBorder="1" applyAlignment="1">
      <alignment horizontal="center"/>
    </xf>
    <xf numFmtId="1" fontId="0" fillId="0" borderId="15" xfId="0" applyNumberFormat="1" applyBorder="1" applyAlignment="1">
      <alignment horizontal="center"/>
    </xf>
    <xf numFmtId="1" fontId="0" fillId="0" borderId="68" xfId="0" applyNumberFormat="1" applyBorder="1" applyAlignment="1">
      <alignment horizontal="center"/>
    </xf>
    <xf numFmtId="1" fontId="0" fillId="0" borderId="18" xfId="0" applyNumberFormat="1" applyBorder="1" applyAlignment="1">
      <alignment horizontal="center"/>
    </xf>
    <xf numFmtId="0" fontId="3" fillId="0" borderId="10" xfId="0" applyFont="1" applyBorder="1" applyAlignment="1">
      <alignment horizontal="center" wrapText="1"/>
    </xf>
    <xf numFmtId="0" fontId="0" fillId="0" borderId="71" xfId="0" applyBorder="1" applyAlignment="1">
      <alignment horizontal="center"/>
    </xf>
    <xf numFmtId="0" fontId="9" fillId="4" borderId="15" xfId="0" applyFont="1" applyFill="1" applyBorder="1" applyAlignment="1">
      <alignment horizontal="left"/>
    </xf>
    <xf numFmtId="0" fontId="9" fillId="4" borderId="17" xfId="0" applyFont="1" applyFill="1" applyBorder="1" applyAlignment="1">
      <alignment horizontal="left"/>
    </xf>
    <xf numFmtId="0" fontId="0" fillId="0" borderId="8" xfId="0" applyBorder="1"/>
    <xf numFmtId="0" fontId="9" fillId="0" borderId="0" xfId="0" applyFont="1" applyAlignment="1">
      <alignment horizontal="center"/>
    </xf>
    <xf numFmtId="0" fontId="0" fillId="0" borderId="65" xfId="0" applyBorder="1"/>
    <xf numFmtId="0" fontId="3" fillId="0" borderId="18" xfId="0" applyFont="1" applyBorder="1" applyAlignment="1">
      <alignment horizontal="center" wrapText="1"/>
    </xf>
    <xf numFmtId="0" fontId="3" fillId="0" borderId="67" xfId="0" applyFont="1" applyBorder="1" applyAlignment="1">
      <alignment horizontal="center" wrapText="1"/>
    </xf>
    <xf numFmtId="0" fontId="3" fillId="0" borderId="65" xfId="0" applyFont="1" applyBorder="1" applyAlignment="1">
      <alignment horizontal="center"/>
    </xf>
    <xf numFmtId="0" fontId="3" fillId="0" borderId="18" xfId="0" applyFont="1" applyBorder="1" applyAlignment="1">
      <alignment horizontal="center"/>
    </xf>
    <xf numFmtId="0" fontId="3" fillId="0" borderId="19" xfId="0" applyFont="1" applyBorder="1" applyAlignment="1">
      <alignment horizontal="center"/>
    </xf>
    <xf numFmtId="1" fontId="0" fillId="0" borderId="9" xfId="0" applyNumberFormat="1" applyBorder="1" applyAlignment="1">
      <alignment horizontal="center"/>
    </xf>
    <xf numFmtId="1" fontId="0" fillId="0" borderId="45" xfId="0" applyNumberFormat="1" applyBorder="1" applyAlignment="1">
      <alignment horizontal="center"/>
    </xf>
    <xf numFmtId="1" fontId="0" fillId="0" borderId="19" xfId="0" applyNumberFormat="1" applyBorder="1" applyAlignment="1">
      <alignment horizontal="center"/>
    </xf>
    <xf numFmtId="0" fontId="9" fillId="0" borderId="10" xfId="0" applyFont="1" applyBorder="1" applyAlignment="1">
      <alignment horizontal="center" wrapText="1"/>
    </xf>
    <xf numFmtId="2" fontId="0" fillId="0" borderId="15" xfId="0" applyNumberFormat="1" applyBorder="1" applyAlignment="1">
      <alignment horizontal="center"/>
    </xf>
    <xf numFmtId="2" fontId="0" fillId="0" borderId="18" xfId="0" applyNumberFormat="1" applyBorder="1" applyAlignment="1">
      <alignment horizontal="center"/>
    </xf>
    <xf numFmtId="164" fontId="0" fillId="0" borderId="19" xfId="0" applyNumberFormat="1" applyBorder="1" applyAlignment="1">
      <alignment horizontal="center"/>
    </xf>
    <xf numFmtId="164" fontId="0" fillId="0" borderId="9" xfId="0" applyNumberFormat="1" applyBorder="1" applyAlignment="1">
      <alignment horizontal="center"/>
    </xf>
    <xf numFmtId="0" fontId="9" fillId="0" borderId="0" xfId="0" applyFont="1" applyAlignment="1">
      <alignment horizontal="center" wrapText="1"/>
    </xf>
    <xf numFmtId="165" fontId="0" fillId="0" borderId="0" xfId="1" applyNumberFormat="1" applyFont="1" applyFill="1" applyBorder="1" applyAlignment="1">
      <alignment horizontal="center"/>
    </xf>
    <xf numFmtId="0" fontId="3" fillId="19" borderId="65" xfId="0" applyFont="1" applyFill="1" applyBorder="1" applyAlignment="1">
      <alignment horizontal="center"/>
    </xf>
    <xf numFmtId="0" fontId="3" fillId="19" borderId="66" xfId="0" applyFont="1" applyFill="1" applyBorder="1" applyAlignment="1">
      <alignment horizontal="center"/>
    </xf>
    <xf numFmtId="0" fontId="3" fillId="19" borderId="66" xfId="0" applyFont="1" applyFill="1" applyBorder="1" applyAlignment="1">
      <alignment horizontal="center" wrapText="1"/>
    </xf>
    <xf numFmtId="0" fontId="3" fillId="19" borderId="10" xfId="0" applyFont="1" applyFill="1" applyBorder="1" applyAlignment="1">
      <alignment horizontal="center" wrapText="1"/>
    </xf>
    <xf numFmtId="0" fontId="0" fillId="19" borderId="8" xfId="0" applyFill="1" applyBorder="1" applyAlignment="1">
      <alignment horizontal="center"/>
    </xf>
    <xf numFmtId="164" fontId="0" fillId="19" borderId="9" xfId="0" applyNumberFormat="1" applyFill="1" applyBorder="1" applyAlignment="1">
      <alignment horizontal="center"/>
    </xf>
    <xf numFmtId="2" fontId="0" fillId="19" borderId="9" xfId="0" applyNumberFormat="1" applyFill="1" applyBorder="1" applyAlignment="1">
      <alignment horizontal="center"/>
    </xf>
    <xf numFmtId="0" fontId="0" fillId="19" borderId="9" xfId="0" applyFill="1" applyBorder="1" applyAlignment="1">
      <alignment horizontal="center"/>
    </xf>
    <xf numFmtId="1" fontId="0" fillId="19" borderId="9" xfId="0" applyNumberFormat="1" applyFill="1" applyBorder="1" applyAlignment="1">
      <alignment horizontal="center" wrapText="1"/>
    </xf>
    <xf numFmtId="1" fontId="0" fillId="19" borderId="45" xfId="0" applyNumberFormat="1" applyFill="1" applyBorder="1" applyAlignment="1">
      <alignment horizontal="center" wrapText="1"/>
    </xf>
    <xf numFmtId="0" fontId="0" fillId="19" borderId="15" xfId="0" applyFill="1" applyBorder="1" applyAlignment="1">
      <alignment horizontal="center"/>
    </xf>
    <xf numFmtId="164" fontId="0" fillId="19" borderId="0" xfId="0" applyNumberFormat="1" applyFill="1" applyAlignment="1">
      <alignment horizontal="center"/>
    </xf>
    <xf numFmtId="2" fontId="0" fillId="19" borderId="0" xfId="0" applyNumberFormat="1" applyFill="1" applyAlignment="1">
      <alignment horizontal="center"/>
    </xf>
    <xf numFmtId="1" fontId="0" fillId="19" borderId="68" xfId="0" applyNumberFormat="1" applyFill="1" applyBorder="1" applyAlignment="1">
      <alignment horizontal="center" wrapText="1"/>
    </xf>
    <xf numFmtId="0" fontId="0" fillId="19" borderId="18" xfId="0" applyFill="1" applyBorder="1" applyAlignment="1">
      <alignment horizontal="center"/>
    </xf>
    <xf numFmtId="164" fontId="0" fillId="19" borderId="19" xfId="0" applyNumberFormat="1" applyFill="1" applyBorder="1" applyAlignment="1">
      <alignment horizontal="center"/>
    </xf>
    <xf numFmtId="2" fontId="0" fillId="19" borderId="19" xfId="0" applyNumberFormat="1" applyFill="1" applyBorder="1" applyAlignment="1">
      <alignment horizontal="center"/>
    </xf>
    <xf numFmtId="1" fontId="0" fillId="19" borderId="19" xfId="0" applyNumberFormat="1" applyFill="1" applyBorder="1" applyAlignment="1">
      <alignment horizontal="center" wrapText="1"/>
    </xf>
    <xf numFmtId="1" fontId="0" fillId="19" borderId="67" xfId="0" applyNumberFormat="1" applyFill="1" applyBorder="1" applyAlignment="1">
      <alignment horizontal="center" wrapText="1"/>
    </xf>
    <xf numFmtId="2" fontId="0" fillId="0" borderId="3" xfId="0" applyNumberFormat="1" applyBorder="1" applyAlignment="1">
      <alignment horizontal="center"/>
    </xf>
    <xf numFmtId="2" fontId="0" fillId="0" borderId="10" xfId="0" applyNumberFormat="1" applyBorder="1" applyAlignment="1">
      <alignment horizontal="center"/>
    </xf>
    <xf numFmtId="0" fontId="9" fillId="0" borderId="65" xfId="0" applyFont="1" applyBorder="1" applyAlignment="1">
      <alignment horizontal="left" wrapText="1"/>
    </xf>
    <xf numFmtId="165" fontId="0" fillId="0" borderId="0" xfId="1" applyNumberFormat="1" applyFont="1" applyFill="1" applyBorder="1" applyAlignment="1">
      <alignment horizontal="left"/>
    </xf>
    <xf numFmtId="165" fontId="0" fillId="0" borderId="0" xfId="0" applyNumberFormat="1" applyAlignment="1">
      <alignment horizontal="left"/>
    </xf>
    <xf numFmtId="0" fontId="3" fillId="0" borderId="1" xfId="0" applyFont="1" applyBorder="1"/>
    <xf numFmtId="0" fontId="9" fillId="3" borderId="0" xfId="0" applyFont="1" applyFill="1" applyAlignment="1">
      <alignment horizontal="left"/>
    </xf>
    <xf numFmtId="2" fontId="0" fillId="0" borderId="8" xfId="0" applyNumberFormat="1" applyBorder="1" applyAlignment="1">
      <alignment horizontal="center"/>
    </xf>
    <xf numFmtId="0" fontId="3" fillId="0" borderId="9" xfId="0" applyFont="1" applyBorder="1" applyAlignment="1">
      <alignment horizontal="center" wrapText="1"/>
    </xf>
    <xf numFmtId="0" fontId="5" fillId="0" borderId="0" xfId="0" applyFont="1" applyAlignment="1">
      <alignment horizontal="center"/>
    </xf>
    <xf numFmtId="3" fontId="0" fillId="0" borderId="0" xfId="0" applyNumberFormat="1" applyAlignment="1">
      <alignment horizontal="left"/>
    </xf>
    <xf numFmtId="165" fontId="0" fillId="0" borderId="14" xfId="0" applyNumberFormat="1" applyBorder="1" applyAlignment="1">
      <alignment horizontal="center"/>
    </xf>
    <xf numFmtId="2" fontId="0" fillId="0" borderId="0" xfId="0" applyNumberFormat="1"/>
    <xf numFmtId="0" fontId="0" fillId="0" borderId="66" xfId="0" applyBorder="1" applyAlignment="1">
      <alignment horizontal="center"/>
    </xf>
    <xf numFmtId="9" fontId="0" fillId="0" borderId="0" xfId="2" applyFont="1" applyAlignment="1">
      <alignment horizontal="center"/>
    </xf>
    <xf numFmtId="0" fontId="9" fillId="0" borderId="65" xfId="0" applyFont="1" applyBorder="1" applyAlignment="1">
      <alignment wrapText="1"/>
    </xf>
    <xf numFmtId="0" fontId="5" fillId="0" borderId="66" xfId="0" applyFont="1" applyBorder="1"/>
    <xf numFmtId="0" fontId="5" fillId="0" borderId="10" xfId="0" applyFont="1" applyBorder="1"/>
    <xf numFmtId="0" fontId="9" fillId="0" borderId="66" xfId="0" applyFont="1" applyBorder="1" applyAlignment="1">
      <alignment wrapText="1"/>
    </xf>
    <xf numFmtId="0" fontId="0" fillId="0" borderId="19" xfId="0" applyBorder="1"/>
    <xf numFmtId="0" fontId="0" fillId="0" borderId="67" xfId="0" applyBorder="1"/>
    <xf numFmtId="165" fontId="0" fillId="0" borderId="15" xfId="0" applyNumberFormat="1" applyBorder="1" applyAlignment="1">
      <alignment horizontal="center"/>
    </xf>
    <xf numFmtId="2" fontId="5" fillId="0" borderId="0" xfId="0" applyNumberFormat="1" applyFont="1" applyAlignment="1">
      <alignment horizontal="center"/>
    </xf>
    <xf numFmtId="165" fontId="0" fillId="0" borderId="18" xfId="0" applyNumberFormat="1" applyBorder="1" applyAlignment="1">
      <alignment horizontal="center"/>
    </xf>
    <xf numFmtId="0" fontId="0" fillId="0" borderId="78" xfId="0" applyBorder="1" applyAlignment="1">
      <alignment horizontal="center"/>
    </xf>
    <xf numFmtId="165" fontId="0" fillId="0" borderId="19" xfId="0" applyNumberFormat="1" applyBorder="1" applyAlignment="1">
      <alignment horizontal="center"/>
    </xf>
    <xf numFmtId="3" fontId="0" fillId="0" borderId="19" xfId="0" applyNumberFormat="1" applyBorder="1" applyAlignment="1">
      <alignment horizontal="center"/>
    </xf>
    <xf numFmtId="2" fontId="5" fillId="0" borderId="19" xfId="0" applyNumberFormat="1" applyFont="1" applyBorder="1" applyAlignment="1">
      <alignment horizontal="center"/>
    </xf>
    <xf numFmtId="2" fontId="0" fillId="0" borderId="19" xfId="0" applyNumberFormat="1" applyBorder="1"/>
    <xf numFmtId="1" fontId="0" fillId="0" borderId="19" xfId="0" applyNumberFormat="1" applyBorder="1"/>
    <xf numFmtId="0" fontId="0" fillId="0" borderId="15" xfId="0" applyBorder="1"/>
    <xf numFmtId="0" fontId="0" fillId="0" borderId="68" xfId="0" applyBorder="1"/>
    <xf numFmtId="0" fontId="0" fillId="0" borderId="18" xfId="0" applyBorder="1"/>
    <xf numFmtId="3" fontId="0" fillId="0" borderId="14" xfId="0" applyNumberFormat="1" applyBorder="1" applyAlignment="1">
      <alignment horizontal="center"/>
    </xf>
    <xf numFmtId="0" fontId="9" fillId="4" borderId="65" xfId="0" applyFont="1" applyFill="1" applyBorder="1" applyAlignment="1">
      <alignment horizontal="left"/>
    </xf>
    <xf numFmtId="0" fontId="0" fillId="8" borderId="8" xfId="0" applyFill="1" applyBorder="1"/>
    <xf numFmtId="0" fontId="0" fillId="8" borderId="9" xfId="0" applyFill="1" applyBorder="1"/>
    <xf numFmtId="0" fontId="0" fillId="8" borderId="45" xfId="0" applyFill="1" applyBorder="1"/>
    <xf numFmtId="0" fontId="3" fillId="8" borderId="19" xfId="0" applyFont="1" applyFill="1" applyBorder="1" applyAlignment="1">
      <alignment horizontal="center" wrapText="1"/>
    </xf>
    <xf numFmtId="0" fontId="3" fillId="8" borderId="67" xfId="0" applyFont="1" applyFill="1" applyBorder="1" applyAlignment="1">
      <alignment horizontal="center" wrapText="1"/>
    </xf>
    <xf numFmtId="0" fontId="9" fillId="15" borderId="8" xfId="0" applyFont="1" applyFill="1" applyBorder="1" applyAlignment="1">
      <alignment horizontal="center"/>
    </xf>
    <xf numFmtId="0" fontId="9" fillId="15" borderId="9" xfId="0" applyFont="1" applyFill="1" applyBorder="1" applyAlignment="1">
      <alignment horizontal="center"/>
    </xf>
    <xf numFmtId="0" fontId="9" fillId="15" borderId="45" xfId="0" applyFont="1" applyFill="1" applyBorder="1" applyAlignment="1">
      <alignment horizontal="center"/>
    </xf>
    <xf numFmtId="165" fontId="0" fillId="0" borderId="68" xfId="0" applyNumberFormat="1" applyBorder="1" applyAlignment="1">
      <alignment horizontal="center"/>
    </xf>
    <xf numFmtId="0" fontId="3" fillId="15" borderId="19" xfId="0" applyFont="1" applyFill="1" applyBorder="1" applyAlignment="1">
      <alignment horizontal="center" wrapText="1"/>
    </xf>
    <xf numFmtId="165" fontId="0" fillId="0" borderId="8" xfId="0" applyNumberFormat="1" applyBorder="1" applyAlignment="1">
      <alignment horizontal="center"/>
    </xf>
    <xf numFmtId="165" fontId="0" fillId="0" borderId="45" xfId="0" applyNumberFormat="1" applyBorder="1" applyAlignment="1">
      <alignment horizontal="center"/>
    </xf>
    <xf numFmtId="0" fontId="9" fillId="8" borderId="18" xfId="0" applyFont="1" applyFill="1" applyBorder="1" applyAlignment="1">
      <alignment horizontal="center" wrapText="1"/>
    </xf>
    <xf numFmtId="0" fontId="9" fillId="15" borderId="18" xfId="0" applyFont="1" applyFill="1" applyBorder="1" applyAlignment="1">
      <alignment horizontal="center" wrapText="1"/>
    </xf>
    <xf numFmtId="0" fontId="3" fillId="9" borderId="65" xfId="0" applyFont="1" applyFill="1" applyBorder="1"/>
    <xf numFmtId="0" fontId="3" fillId="9" borderId="66" xfId="0" applyFont="1" applyFill="1" applyBorder="1"/>
    <xf numFmtId="0" fontId="0" fillId="20" borderId="8" xfId="0" applyFill="1" applyBorder="1"/>
    <xf numFmtId="0" fontId="0" fillId="20" borderId="9" xfId="0" applyFill="1" applyBorder="1"/>
    <xf numFmtId="0" fontId="0" fillId="20" borderId="45" xfId="0" applyFill="1" applyBorder="1"/>
    <xf numFmtId="0" fontId="9" fillId="20" borderId="18" xfId="0" applyFont="1" applyFill="1" applyBorder="1" applyAlignment="1">
      <alignment horizontal="center" wrapText="1"/>
    </xf>
    <xf numFmtId="0" fontId="3" fillId="20" borderId="19" xfId="0" applyFont="1" applyFill="1" applyBorder="1" applyAlignment="1">
      <alignment horizontal="center" wrapText="1"/>
    </xf>
    <xf numFmtId="0" fontId="3" fillId="20" borderId="67" xfId="0" applyFont="1" applyFill="1" applyBorder="1" applyAlignment="1">
      <alignment horizontal="center" wrapText="1"/>
    </xf>
    <xf numFmtId="0" fontId="3" fillId="0" borderId="19" xfId="0" applyFont="1" applyBorder="1" applyAlignment="1">
      <alignment horizontal="center" wrapText="1"/>
    </xf>
    <xf numFmtId="164" fontId="0" fillId="0" borderId="15" xfId="0" applyNumberFormat="1" applyBorder="1"/>
    <xf numFmtId="0" fontId="3" fillId="0" borderId="65" xfId="0" applyFont="1" applyBorder="1"/>
    <xf numFmtId="0" fontId="3" fillId="0" borderId="66" xfId="0" applyFont="1" applyBorder="1"/>
    <xf numFmtId="0" fontId="3" fillId="17" borderId="18" xfId="0" applyFont="1" applyFill="1" applyBorder="1" applyAlignment="1">
      <alignment horizontal="center" wrapText="1"/>
    </xf>
    <xf numFmtId="0" fontId="3" fillId="17" borderId="67" xfId="0" applyFont="1" applyFill="1" applyBorder="1" applyAlignment="1">
      <alignment horizontal="center" wrapText="1"/>
    </xf>
    <xf numFmtId="0" fontId="0" fillId="17" borderId="15" xfId="0" applyFill="1" applyBorder="1"/>
    <xf numFmtId="0" fontId="0" fillId="17" borderId="68" xfId="0" applyFill="1" applyBorder="1"/>
    <xf numFmtId="0" fontId="3" fillId="0" borderId="10" xfId="0" applyFont="1" applyBorder="1"/>
    <xf numFmtId="0" fontId="9" fillId="0" borderId="66" xfId="0" applyFont="1" applyBorder="1" applyAlignment="1">
      <alignment horizontal="center" wrapText="1"/>
    </xf>
    <xf numFmtId="0" fontId="3" fillId="5" borderId="66" xfId="0" applyFont="1" applyFill="1" applyBorder="1" applyAlignment="1">
      <alignment horizontal="center" wrapText="1"/>
    </xf>
    <xf numFmtId="0" fontId="3" fillId="5" borderId="10" xfId="0" applyFont="1" applyFill="1" applyBorder="1" applyAlignment="1">
      <alignment horizontal="center" wrapText="1"/>
    </xf>
    <xf numFmtId="0" fontId="3" fillId="5" borderId="66" xfId="0" applyFont="1" applyFill="1" applyBorder="1" applyAlignment="1">
      <alignment horizontal="center"/>
    </xf>
    <xf numFmtId="3" fontId="0" fillId="0" borderId="1" xfId="0" applyNumberFormat="1" applyBorder="1" applyAlignment="1">
      <alignment horizontal="center"/>
    </xf>
    <xf numFmtId="0" fontId="3" fillId="0" borderId="66" xfId="0" applyFont="1" applyBorder="1" applyAlignment="1">
      <alignment horizontal="center"/>
    </xf>
    <xf numFmtId="165" fontId="0" fillId="0" borderId="67" xfId="0" applyNumberFormat="1" applyBorder="1" applyAlignment="1">
      <alignment horizontal="center"/>
    </xf>
    <xf numFmtId="0" fontId="3" fillId="15" borderId="67" xfId="0" applyFont="1" applyFill="1" applyBorder="1" applyAlignment="1">
      <alignment horizontal="center" wrapText="1"/>
    </xf>
    <xf numFmtId="0" fontId="0" fillId="0" borderId="1" xfId="0" applyBorder="1"/>
    <xf numFmtId="0" fontId="9" fillId="0" borderId="0" xfId="0" applyFont="1" applyAlignment="1">
      <alignment horizontal="left" wrapText="1"/>
    </xf>
    <xf numFmtId="0" fontId="9" fillId="0" borderId="3" xfId="0" applyFont="1" applyBorder="1" applyAlignment="1">
      <alignment horizontal="center" wrapText="1"/>
    </xf>
    <xf numFmtId="2" fontId="0" fillId="0" borderId="13" xfId="0" applyNumberFormat="1" applyBorder="1" applyAlignment="1">
      <alignment horizontal="center"/>
    </xf>
    <xf numFmtId="0" fontId="9" fillId="3" borderId="8" xfId="0" applyFont="1" applyFill="1" applyBorder="1" applyAlignment="1">
      <alignment horizontal="left"/>
    </xf>
    <xf numFmtId="165" fontId="0" fillId="0" borderId="3" xfId="1" applyNumberFormat="1" applyFont="1" applyFill="1" applyBorder="1" applyAlignment="1">
      <alignment horizontal="center"/>
    </xf>
    <xf numFmtId="0" fontId="9" fillId="0" borderId="18" xfId="0" applyFont="1" applyBorder="1" applyAlignment="1">
      <alignment horizontal="left"/>
    </xf>
    <xf numFmtId="0" fontId="4" fillId="0" borderId="19" xfId="0" applyFont="1" applyBorder="1" applyAlignment="1">
      <alignment horizontal="center"/>
    </xf>
    <xf numFmtId="0" fontId="0" fillId="0" borderId="19" xfId="0" quotePrefix="1" applyBorder="1" applyAlignment="1">
      <alignment horizontal="center"/>
    </xf>
    <xf numFmtId="0" fontId="3" fillId="15" borderId="18" xfId="0" applyFont="1" applyFill="1" applyBorder="1" applyAlignment="1">
      <alignment horizontal="center" wrapText="1"/>
    </xf>
    <xf numFmtId="165" fontId="0" fillId="0" borderId="9" xfId="0" applyNumberFormat="1" applyBorder="1" applyAlignment="1">
      <alignment horizontal="center"/>
    </xf>
    <xf numFmtId="0" fontId="3" fillId="15" borderId="68" xfId="0" applyFont="1" applyFill="1" applyBorder="1" applyAlignment="1">
      <alignment horizontal="center" wrapText="1"/>
    </xf>
    <xf numFmtId="0" fontId="3" fillId="15" borderId="15" xfId="0" applyFont="1" applyFill="1" applyBorder="1" applyAlignment="1">
      <alignment horizontal="center" wrapText="1"/>
    </xf>
    <xf numFmtId="0" fontId="3" fillId="15" borderId="0" xfId="0" applyFont="1" applyFill="1" applyAlignment="1">
      <alignment horizontal="center" wrapText="1"/>
    </xf>
    <xf numFmtId="0" fontId="12" fillId="8" borderId="8" xfId="0" applyFont="1" applyFill="1" applyBorder="1" applyAlignment="1">
      <alignment horizontal="center"/>
    </xf>
    <xf numFmtId="0" fontId="12" fillId="8" borderId="9" xfId="0" applyFont="1" applyFill="1" applyBorder="1" applyAlignment="1">
      <alignment horizontal="center"/>
    </xf>
    <xf numFmtId="0" fontId="12" fillId="8" borderId="45" xfId="0" applyFont="1" applyFill="1" applyBorder="1" applyAlignment="1">
      <alignment horizontal="center"/>
    </xf>
    <xf numFmtId="0" fontId="11" fillId="8" borderId="15" xfId="0" applyFont="1" applyFill="1" applyBorder="1" applyAlignment="1">
      <alignment horizontal="center" wrapText="1"/>
    </xf>
    <xf numFmtId="0" fontId="11" fillId="8" borderId="0" xfId="0" applyFont="1" applyFill="1" applyAlignment="1">
      <alignment horizontal="center" wrapText="1"/>
    </xf>
    <xf numFmtId="0" fontId="11" fillId="8" borderId="68" xfId="0" applyFont="1" applyFill="1" applyBorder="1" applyAlignment="1">
      <alignment horizontal="center" wrapText="1"/>
    </xf>
    <xf numFmtId="0" fontId="11" fillId="8" borderId="18" xfId="0" applyFont="1" applyFill="1" applyBorder="1" applyAlignment="1">
      <alignment horizontal="center" wrapText="1"/>
    </xf>
    <xf numFmtId="0" fontId="11" fillId="8" borderId="19" xfId="0" applyFont="1" applyFill="1" applyBorder="1" applyAlignment="1">
      <alignment horizontal="center" wrapText="1"/>
    </xf>
    <xf numFmtId="0" fontId="11" fillId="8" borderId="67" xfId="0" applyFont="1" applyFill="1" applyBorder="1" applyAlignment="1">
      <alignment horizontal="center" wrapText="1"/>
    </xf>
    <xf numFmtId="0" fontId="3" fillId="5" borderId="65" xfId="0" applyFont="1" applyFill="1" applyBorder="1" applyAlignment="1">
      <alignment horizontal="center" wrapText="1"/>
    </xf>
    <xf numFmtId="165" fontId="0" fillId="0" borderId="3" xfId="0" applyNumberFormat="1" applyBorder="1" applyAlignment="1">
      <alignment horizontal="center"/>
    </xf>
    <xf numFmtId="0" fontId="12" fillId="20" borderId="8" xfId="0" applyFont="1" applyFill="1" applyBorder="1" applyAlignment="1">
      <alignment horizontal="center"/>
    </xf>
    <xf numFmtId="0" fontId="12" fillId="20" borderId="9" xfId="0" applyFont="1" applyFill="1" applyBorder="1" applyAlignment="1">
      <alignment horizontal="center"/>
    </xf>
    <xf numFmtId="0" fontId="12" fillId="20" borderId="45" xfId="0" applyFont="1" applyFill="1" applyBorder="1" applyAlignment="1">
      <alignment horizontal="center"/>
    </xf>
    <xf numFmtId="0" fontId="11" fillId="20" borderId="15" xfId="0" applyFont="1" applyFill="1" applyBorder="1" applyAlignment="1">
      <alignment horizontal="center" wrapText="1"/>
    </xf>
    <xf numFmtId="0" fontId="11" fillId="20" borderId="0" xfId="0" applyFont="1" applyFill="1" applyAlignment="1">
      <alignment horizontal="center" wrapText="1"/>
    </xf>
    <xf numFmtId="0" fontId="11" fillId="20" borderId="68" xfId="0" applyFont="1" applyFill="1" applyBorder="1" applyAlignment="1">
      <alignment horizontal="center" wrapText="1"/>
    </xf>
    <xf numFmtId="0" fontId="11" fillId="20" borderId="18" xfId="0" applyFont="1" applyFill="1" applyBorder="1" applyAlignment="1">
      <alignment horizontal="center" wrapText="1"/>
    </xf>
    <xf numFmtId="0" fontId="11" fillId="20" borderId="19" xfId="0" applyFont="1" applyFill="1" applyBorder="1" applyAlignment="1">
      <alignment horizontal="center" wrapText="1"/>
    </xf>
    <xf numFmtId="0" fontId="11" fillId="20" borderId="67" xfId="0" applyFont="1" applyFill="1" applyBorder="1" applyAlignment="1">
      <alignment horizontal="center" wrapText="1"/>
    </xf>
    <xf numFmtId="2" fontId="0" fillId="0" borderId="14" xfId="0" applyNumberFormat="1" applyBorder="1" applyAlignment="1">
      <alignment horizontal="center"/>
    </xf>
    <xf numFmtId="0" fontId="3" fillId="17" borderId="8" xfId="0" applyFont="1" applyFill="1" applyBorder="1" applyAlignment="1">
      <alignment horizontal="center"/>
    </xf>
    <xf numFmtId="0" fontId="3" fillId="17" borderId="45" xfId="0" applyFont="1" applyFill="1" applyBorder="1" applyAlignment="1">
      <alignment horizontal="center"/>
    </xf>
    <xf numFmtId="0" fontId="9" fillId="0" borderId="15" xfId="0" applyFont="1" applyBorder="1" applyAlignment="1">
      <alignment horizontal="left" wrapText="1"/>
    </xf>
    <xf numFmtId="0" fontId="9" fillId="0" borderId="16" xfId="0" applyFont="1" applyBorder="1" applyAlignment="1">
      <alignment horizontal="left"/>
    </xf>
    <xf numFmtId="0" fontId="9" fillId="15" borderId="65" xfId="0" applyFont="1" applyFill="1" applyBorder="1" applyAlignment="1">
      <alignment horizontal="center" wrapText="1"/>
    </xf>
    <xf numFmtId="0" fontId="9" fillId="15" borderId="1" xfId="0" applyFont="1" applyFill="1" applyBorder="1" applyAlignment="1">
      <alignment horizontal="center" wrapText="1"/>
    </xf>
    <xf numFmtId="0" fontId="9" fillId="0" borderId="65" xfId="0" applyFont="1" applyBorder="1" applyAlignment="1">
      <alignment horizontal="center" wrapText="1"/>
    </xf>
    <xf numFmtId="164" fontId="0" fillId="0" borderId="15" xfId="0" applyNumberFormat="1" applyBorder="1" applyAlignment="1">
      <alignment horizontal="center"/>
    </xf>
    <xf numFmtId="0" fontId="9" fillId="5" borderId="1" xfId="0" applyFont="1" applyFill="1" applyBorder="1" applyAlignment="1">
      <alignment horizontal="center" wrapText="1"/>
    </xf>
    <xf numFmtId="164" fontId="0" fillId="0" borderId="45" xfId="0" applyNumberFormat="1" applyBorder="1" applyAlignment="1">
      <alignment horizontal="center"/>
    </xf>
    <xf numFmtId="164" fontId="0" fillId="0" borderId="8" xfId="0" applyNumberFormat="1" applyBorder="1" applyAlignment="1">
      <alignment horizontal="center"/>
    </xf>
    <xf numFmtId="164" fontId="0" fillId="0" borderId="3" xfId="0" applyNumberFormat="1" applyBorder="1" applyAlignment="1">
      <alignment horizontal="center"/>
    </xf>
    <xf numFmtId="164" fontId="0" fillId="0" borderId="68" xfId="0" applyNumberFormat="1" applyBorder="1" applyAlignment="1">
      <alignment horizontal="center"/>
    </xf>
    <xf numFmtId="164" fontId="0" fillId="0" borderId="18" xfId="0" applyNumberFormat="1" applyBorder="1" applyAlignment="1">
      <alignment horizontal="center"/>
    </xf>
    <xf numFmtId="164" fontId="0" fillId="0" borderId="67" xfId="0" applyNumberFormat="1" applyBorder="1" applyAlignment="1">
      <alignment horizontal="center"/>
    </xf>
    <xf numFmtId="164" fontId="0" fillId="0" borderId="14" xfId="0" applyNumberFormat="1" applyBorder="1" applyAlignment="1">
      <alignment horizontal="center"/>
    </xf>
    <xf numFmtId="0" fontId="11" fillId="0" borderId="18" xfId="0" applyFont="1" applyBorder="1" applyAlignment="1">
      <alignment horizontal="center" wrapText="1"/>
    </xf>
    <xf numFmtId="0" fontId="11" fillId="0" borderId="19" xfId="0" applyFont="1" applyBorder="1" applyAlignment="1">
      <alignment horizontal="center" wrapText="1"/>
    </xf>
    <xf numFmtId="0" fontId="11" fillId="0" borderId="67" xfId="0" applyFont="1" applyBorder="1" applyAlignment="1">
      <alignment horizontal="center" wrapText="1"/>
    </xf>
    <xf numFmtId="0" fontId="9" fillId="0" borderId="18" xfId="0" applyFont="1" applyBorder="1" applyAlignment="1">
      <alignment horizontal="center" wrapText="1"/>
    </xf>
    <xf numFmtId="0" fontId="9" fillId="0" borderId="14" xfId="0" applyFont="1" applyBorder="1" applyAlignment="1">
      <alignment horizontal="center" wrapText="1"/>
    </xf>
    <xf numFmtId="0" fontId="11" fillId="0" borderId="65" xfId="0" applyFont="1" applyBorder="1" applyAlignment="1">
      <alignment horizontal="center" wrapText="1"/>
    </xf>
    <xf numFmtId="0" fontId="11" fillId="0" borderId="66" xfId="0" applyFont="1" applyBorder="1" applyAlignment="1">
      <alignment horizontal="center" wrapText="1"/>
    </xf>
    <xf numFmtId="0" fontId="11" fillId="0" borderId="10" xfId="0" applyFont="1" applyBorder="1" applyAlignment="1">
      <alignment horizontal="center" wrapText="1"/>
    </xf>
    <xf numFmtId="0" fontId="11" fillId="20" borderId="10" xfId="0" applyFont="1" applyFill="1" applyBorder="1" applyAlignment="1">
      <alignment horizontal="center" wrapText="1"/>
    </xf>
    <xf numFmtId="164" fontId="0" fillId="5" borderId="1" xfId="0" applyNumberFormat="1" applyFill="1" applyBorder="1" applyAlignment="1">
      <alignment horizontal="center"/>
    </xf>
    <xf numFmtId="0" fontId="0" fillId="21" borderId="19" xfId="0" applyFill="1" applyBorder="1" applyAlignment="1">
      <alignment horizontal="left"/>
    </xf>
    <xf numFmtId="0" fontId="0" fillId="21" borderId="18" xfId="0" applyFill="1" applyBorder="1" applyAlignment="1">
      <alignment horizontal="left"/>
    </xf>
    <xf numFmtId="0" fontId="0" fillId="21" borderId="15" xfId="0" applyFill="1" applyBorder="1" applyAlignment="1">
      <alignment horizontal="left"/>
    </xf>
    <xf numFmtId="0" fontId="0" fillId="21" borderId="0" xfId="0" applyFill="1" applyAlignment="1">
      <alignment horizontal="left"/>
    </xf>
    <xf numFmtId="165" fontId="0" fillId="21" borderId="0" xfId="0" applyNumberFormat="1" applyFill="1" applyAlignment="1">
      <alignment horizontal="left"/>
    </xf>
    <xf numFmtId="164" fontId="0" fillId="21" borderId="8" xfId="0" applyNumberFormat="1" applyFill="1" applyBorder="1" applyAlignment="1">
      <alignment horizontal="center"/>
    </xf>
    <xf numFmtId="0" fontId="0" fillId="21" borderId="3" xfId="0" applyFill="1" applyBorder="1" applyAlignment="1">
      <alignment horizontal="center"/>
    </xf>
    <xf numFmtId="0" fontId="0" fillId="21" borderId="15" xfId="0" applyFill="1" applyBorder="1" applyAlignment="1">
      <alignment horizontal="center"/>
    </xf>
    <xf numFmtId="164" fontId="0" fillId="21" borderId="13" xfId="0" applyNumberFormat="1" applyFill="1" applyBorder="1" applyAlignment="1">
      <alignment horizontal="center"/>
    </xf>
    <xf numFmtId="164" fontId="0" fillId="21" borderId="15" xfId="0" applyNumberFormat="1" applyFill="1" applyBorder="1" applyAlignment="1">
      <alignment horizontal="center"/>
    </xf>
    <xf numFmtId="0" fontId="0" fillId="21" borderId="13" xfId="0" applyFill="1" applyBorder="1" applyAlignment="1">
      <alignment horizontal="center"/>
    </xf>
    <xf numFmtId="0" fontId="0" fillId="21" borderId="15" xfId="0" applyFill="1" applyBorder="1"/>
    <xf numFmtId="0" fontId="0" fillId="21" borderId="14" xfId="0" applyFill="1" applyBorder="1"/>
    <xf numFmtId="0" fontId="4" fillId="0" borderId="0" xfId="0" applyFont="1"/>
    <xf numFmtId="0" fontId="3" fillId="14" borderId="1" xfId="0" applyFont="1" applyFill="1" applyBorder="1" applyAlignment="1">
      <alignment horizontal="center" wrapText="1"/>
    </xf>
    <xf numFmtId="1" fontId="0" fillId="14" borderId="13" xfId="0" applyNumberFormat="1" applyFill="1" applyBorder="1" applyAlignment="1">
      <alignment horizontal="center"/>
    </xf>
    <xf numFmtId="168" fontId="0" fillId="0" borderId="0" xfId="0" applyNumberFormat="1" applyAlignment="1">
      <alignment horizontal="center"/>
    </xf>
    <xf numFmtId="0" fontId="0" fillId="0" borderId="9" xfId="0" applyBorder="1" applyAlignment="1">
      <alignment horizontal="center" wrapText="1"/>
    </xf>
    <xf numFmtId="0" fontId="3" fillId="0" borderId="40" xfId="0" applyFont="1" applyBorder="1" applyAlignment="1">
      <alignment horizontal="center"/>
    </xf>
    <xf numFmtId="0" fontId="0" fillId="0" borderId="33" xfId="0" applyBorder="1" applyAlignment="1">
      <alignment horizontal="center"/>
    </xf>
    <xf numFmtId="0" fontId="3" fillId="0" borderId="35" xfId="0" applyFont="1" applyBorder="1" applyAlignment="1">
      <alignment horizontal="center"/>
    </xf>
    <xf numFmtId="0" fontId="3" fillId="5" borderId="1" xfId="0" applyFont="1" applyFill="1" applyBorder="1" applyAlignment="1">
      <alignment horizontal="center" wrapText="1"/>
    </xf>
    <xf numFmtId="0" fontId="9" fillId="0" borderId="0" xfId="0" applyFont="1" applyAlignment="1">
      <alignment horizontal="left"/>
    </xf>
    <xf numFmtId="0" fontId="0" fillId="0" borderId="80" xfId="0" applyBorder="1" applyAlignment="1">
      <alignment horizontal="center"/>
    </xf>
    <xf numFmtId="0" fontId="9" fillId="0" borderId="45" xfId="0" applyFont="1" applyBorder="1" applyAlignment="1">
      <alignment horizontal="center" wrapText="1"/>
    </xf>
    <xf numFmtId="0" fontId="3" fillId="5" borderId="1" xfId="0" applyFont="1" applyFill="1" applyBorder="1" applyAlignment="1">
      <alignment horizontal="center"/>
    </xf>
    <xf numFmtId="1" fontId="0" fillId="0" borderId="14" xfId="0" applyNumberFormat="1" applyBorder="1" applyAlignment="1">
      <alignment horizontal="center"/>
    </xf>
    <xf numFmtId="0" fontId="3" fillId="9" borderId="1" xfId="0" applyFont="1" applyFill="1" applyBorder="1" applyAlignment="1">
      <alignment horizontal="center" wrapText="1"/>
    </xf>
    <xf numFmtId="0" fontId="3" fillId="0" borderId="66" xfId="0" applyFont="1" applyBorder="1" applyAlignment="1">
      <alignment horizontal="right"/>
    </xf>
    <xf numFmtId="0" fontId="3" fillId="0" borderId="10" xfId="0" applyFont="1" applyBorder="1" applyAlignment="1">
      <alignment horizontal="right"/>
    </xf>
    <xf numFmtId="0" fontId="0" fillId="24" borderId="13" xfId="0" applyFill="1" applyBorder="1" applyAlignment="1" applyProtection="1">
      <alignment horizontal="center"/>
      <protection locked="0"/>
    </xf>
    <xf numFmtId="164" fontId="0" fillId="24" borderId="3" xfId="0" applyNumberFormat="1" applyFill="1" applyBorder="1" applyAlignment="1" applyProtection="1">
      <alignment horizontal="center"/>
      <protection locked="0"/>
    </xf>
    <xf numFmtId="2" fontId="0" fillId="24" borderId="13" xfId="0" applyNumberFormat="1" applyFill="1" applyBorder="1" applyAlignment="1" applyProtection="1">
      <alignment horizontal="center"/>
      <protection locked="0"/>
    </xf>
    <xf numFmtId="2" fontId="0" fillId="24" borderId="13" xfId="1" applyNumberFormat="1" applyFont="1" applyFill="1" applyBorder="1" applyAlignment="1" applyProtection="1">
      <alignment horizontal="center"/>
      <protection locked="0"/>
    </xf>
    <xf numFmtId="2" fontId="0" fillId="24" borderId="3" xfId="1" applyNumberFormat="1" applyFont="1" applyFill="1" applyBorder="1" applyAlignment="1" applyProtection="1">
      <alignment horizontal="center"/>
      <protection locked="0"/>
    </xf>
    <xf numFmtId="1" fontId="0" fillId="24" borderId="13" xfId="0" applyNumberFormat="1" applyFill="1" applyBorder="1" applyAlignment="1" applyProtection="1">
      <alignment horizontal="center"/>
      <protection locked="0"/>
    </xf>
    <xf numFmtId="2" fontId="0" fillId="24" borderId="3" xfId="0" applyNumberFormat="1" applyFill="1" applyBorder="1" applyAlignment="1" applyProtection="1">
      <alignment horizontal="center"/>
      <protection locked="0"/>
    </xf>
    <xf numFmtId="2" fontId="0" fillId="24" borderId="14" xfId="0" applyNumberFormat="1" applyFill="1" applyBorder="1" applyAlignment="1" applyProtection="1">
      <alignment horizontal="center"/>
      <protection locked="0"/>
    </xf>
    <xf numFmtId="165" fontId="0" fillId="24" borderId="13" xfId="0" applyNumberFormat="1" applyFill="1" applyBorder="1" applyAlignment="1" applyProtection="1">
      <alignment horizontal="center"/>
      <protection locked="0"/>
    </xf>
    <xf numFmtId="3" fontId="0" fillId="24" borderId="3" xfId="0" applyNumberFormat="1" applyFill="1" applyBorder="1" applyAlignment="1" applyProtection="1">
      <alignment horizontal="center"/>
      <protection locked="0"/>
    </xf>
    <xf numFmtId="3" fontId="0" fillId="24" borderId="13" xfId="0" applyNumberFormat="1" applyFill="1" applyBorder="1" applyAlignment="1" applyProtection="1">
      <alignment horizontal="center"/>
      <protection locked="0"/>
    </xf>
    <xf numFmtId="167" fontId="0" fillId="24" borderId="13" xfId="0" applyNumberFormat="1" applyFill="1" applyBorder="1" applyAlignment="1" applyProtection="1">
      <alignment horizontal="center"/>
      <protection locked="0"/>
    </xf>
    <xf numFmtId="0" fontId="0" fillId="24" borderId="14" xfId="0" applyFill="1" applyBorder="1" applyAlignment="1" applyProtection="1">
      <alignment horizontal="center"/>
      <protection locked="0"/>
    </xf>
    <xf numFmtId="0" fontId="9" fillId="3" borderId="72" xfId="0" applyFont="1" applyFill="1" applyBorder="1" applyAlignment="1">
      <alignment horizontal="center"/>
    </xf>
    <xf numFmtId="0" fontId="9" fillId="3" borderId="73" xfId="0" applyFont="1" applyFill="1" applyBorder="1" applyAlignment="1">
      <alignment horizontal="center"/>
    </xf>
    <xf numFmtId="0" fontId="9" fillId="3" borderId="74" xfId="0" applyFont="1" applyFill="1" applyBorder="1" applyAlignment="1">
      <alignment horizontal="center"/>
    </xf>
    <xf numFmtId="0" fontId="0" fillId="0" borderId="79" xfId="0" applyBorder="1" applyAlignment="1">
      <alignment horizontal="center"/>
    </xf>
    <xf numFmtId="0" fontId="0" fillId="0" borderId="41"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40" xfId="0" applyBorder="1" applyAlignment="1">
      <alignment horizontal="center"/>
    </xf>
    <xf numFmtId="0" fontId="0" fillId="0" borderId="40" xfId="0" applyBorder="1" applyAlignment="1">
      <alignment horizontal="center" vertical="top"/>
    </xf>
    <xf numFmtId="0" fontId="0" fillId="0" borderId="79" xfId="0" applyBorder="1" applyAlignment="1">
      <alignment horizontal="center" vertical="top"/>
    </xf>
    <xf numFmtId="0" fontId="0" fillId="0" borderId="41" xfId="0" applyBorder="1" applyAlignment="1">
      <alignment horizontal="center" vertical="top"/>
    </xf>
    <xf numFmtId="0" fontId="0" fillId="0" borderId="33" xfId="0" applyBorder="1" applyAlignment="1">
      <alignment horizontal="center" vertical="top"/>
    </xf>
    <xf numFmtId="0" fontId="0" fillId="0" borderId="32" xfId="0" applyBorder="1" applyAlignment="1">
      <alignment horizontal="center" vertical="top"/>
    </xf>
    <xf numFmtId="0" fontId="0" fillId="0" borderId="35" xfId="0" applyBorder="1" applyAlignment="1">
      <alignment horizontal="center" vertical="top"/>
    </xf>
    <xf numFmtId="0" fontId="0" fillId="0" borderId="36" xfId="0" applyBorder="1" applyAlignment="1">
      <alignment horizontal="center" vertical="top"/>
    </xf>
    <xf numFmtId="0" fontId="0" fillId="0" borderId="37" xfId="0" applyBorder="1" applyAlignment="1">
      <alignment horizontal="center" vertical="top"/>
    </xf>
    <xf numFmtId="0" fontId="5" fillId="0" borderId="0" xfId="0" applyFont="1" applyAlignment="1">
      <alignment wrapText="1"/>
    </xf>
    <xf numFmtId="0" fontId="0" fillId="0" borderId="76" xfId="0" applyBorder="1" applyAlignment="1">
      <alignment horizontal="center" vertical="top"/>
    </xf>
    <xf numFmtId="0" fontId="0" fillId="0" borderId="62" xfId="0" applyBorder="1" applyAlignment="1">
      <alignment horizontal="center" vertical="top"/>
    </xf>
    <xf numFmtId="0" fontId="0" fillId="0" borderId="76" xfId="0" applyBorder="1" applyAlignment="1">
      <alignment horizontal="center"/>
    </xf>
    <xf numFmtId="0" fontId="0" fillId="0" borderId="63" xfId="0" applyBorder="1" applyAlignment="1">
      <alignment horizontal="center"/>
    </xf>
    <xf numFmtId="0" fontId="9" fillId="3" borderId="83" xfId="0" applyFont="1" applyFill="1" applyBorder="1" applyAlignment="1">
      <alignment horizontal="center"/>
    </xf>
    <xf numFmtId="0" fontId="9" fillId="3" borderId="84" xfId="0" applyFont="1" applyFill="1" applyBorder="1" applyAlignment="1">
      <alignment horizontal="center"/>
    </xf>
    <xf numFmtId="0" fontId="0" fillId="0" borderId="69" xfId="0" applyBorder="1" applyAlignment="1">
      <alignment horizontal="center"/>
    </xf>
    <xf numFmtId="0" fontId="0" fillId="0" borderId="80" xfId="0" applyBorder="1" applyAlignment="1">
      <alignment horizontal="center" vertical="top"/>
    </xf>
    <xf numFmtId="0" fontId="0" fillId="0" borderId="70" xfId="0" applyBorder="1" applyAlignment="1">
      <alignment horizontal="center" vertical="top"/>
    </xf>
    <xf numFmtId="0" fontId="0" fillId="0" borderId="4" xfId="0" applyBorder="1" applyAlignment="1">
      <alignment horizontal="center" vertical="top"/>
    </xf>
    <xf numFmtId="0" fontId="9" fillId="3" borderId="75" xfId="0" applyFont="1" applyFill="1" applyBorder="1" applyAlignment="1">
      <alignment horizontal="center"/>
    </xf>
    <xf numFmtId="0" fontId="9" fillId="3" borderId="82" xfId="0" applyFont="1" applyFill="1" applyBorder="1" applyAlignment="1">
      <alignment horizontal="center"/>
    </xf>
    <xf numFmtId="0" fontId="0" fillId="0" borderId="81" xfId="0" applyBorder="1" applyAlignment="1">
      <alignment horizontal="center"/>
    </xf>
    <xf numFmtId="0" fontId="0" fillId="0" borderId="85" xfId="0" applyBorder="1" applyAlignment="1">
      <alignment horizontal="center"/>
    </xf>
    <xf numFmtId="0" fontId="9" fillId="3" borderId="86" xfId="0" applyFont="1" applyFill="1" applyBorder="1" applyAlignment="1">
      <alignment horizontal="center"/>
    </xf>
    <xf numFmtId="1" fontId="0" fillId="0" borderId="33" xfId="0" applyNumberFormat="1" applyBorder="1" applyAlignment="1">
      <alignment horizontal="center"/>
    </xf>
    <xf numFmtId="165" fontId="0" fillId="0" borderId="32" xfId="0" applyNumberFormat="1" applyBorder="1" applyAlignment="1">
      <alignment horizontal="center" vertical="top"/>
    </xf>
    <xf numFmtId="2" fontId="0" fillId="0" borderId="32" xfId="0" applyNumberFormat="1" applyBorder="1" applyAlignment="1">
      <alignment horizontal="center"/>
    </xf>
    <xf numFmtId="1" fontId="0" fillId="0" borderId="32" xfId="0" applyNumberFormat="1" applyBorder="1" applyAlignment="1">
      <alignment horizontal="center"/>
    </xf>
    <xf numFmtId="164" fontId="0" fillId="0" borderId="32" xfId="0" applyNumberFormat="1" applyBorder="1" applyAlignment="1">
      <alignment horizontal="center"/>
    </xf>
    <xf numFmtId="0" fontId="0" fillId="0" borderId="0" xfId="0" applyAlignment="1">
      <alignment horizontal="center" vertical="top"/>
    </xf>
    <xf numFmtId="1" fontId="0" fillId="5" borderId="32" xfId="0" applyNumberFormat="1" applyFill="1" applyBorder="1" applyAlignment="1">
      <alignment horizontal="center"/>
    </xf>
    <xf numFmtId="1" fontId="0" fillId="24" borderId="3" xfId="0" applyNumberFormat="1" applyFill="1" applyBorder="1" applyAlignment="1" applyProtection="1">
      <alignment horizontal="center"/>
      <protection locked="0"/>
    </xf>
    <xf numFmtId="1" fontId="0" fillId="14" borderId="1" xfId="0" applyNumberFormat="1" applyFill="1" applyBorder="1" applyAlignment="1">
      <alignment horizontal="center"/>
    </xf>
    <xf numFmtId="1" fontId="0" fillId="7" borderId="13" xfId="0" applyNumberFormat="1" applyFill="1" applyBorder="1" applyAlignment="1">
      <alignment horizontal="center"/>
    </xf>
    <xf numFmtId="1" fontId="0" fillId="7" borderId="1" xfId="0" applyNumberFormat="1" applyFill="1" applyBorder="1" applyAlignment="1">
      <alignment horizontal="center"/>
    </xf>
    <xf numFmtId="0" fontId="3" fillId="7" borderId="1" xfId="0" applyFont="1" applyFill="1" applyBorder="1" applyAlignment="1">
      <alignment horizontal="center" wrapText="1"/>
    </xf>
    <xf numFmtId="0" fontId="3" fillId="14" borderId="8" xfId="0" applyFont="1" applyFill="1" applyBorder="1" applyAlignment="1">
      <alignment horizontal="center"/>
    </xf>
    <xf numFmtId="0" fontId="3" fillId="7" borderId="45" xfId="0" applyFont="1" applyFill="1" applyBorder="1" applyAlignment="1">
      <alignment horizontal="center"/>
    </xf>
    <xf numFmtId="0" fontId="3" fillId="14" borderId="18" xfId="0" applyFont="1" applyFill="1" applyBorder="1" applyAlignment="1">
      <alignment horizontal="center" wrapText="1"/>
    </xf>
    <xf numFmtId="0" fontId="3" fillId="7" borderId="67" xfId="0" applyFont="1" applyFill="1" applyBorder="1" applyAlignment="1">
      <alignment horizontal="center" wrapText="1"/>
    </xf>
    <xf numFmtId="1" fontId="0" fillId="19" borderId="0" xfId="0" applyNumberFormat="1" applyFill="1" applyAlignment="1">
      <alignment horizontal="center" wrapText="1"/>
    </xf>
    <xf numFmtId="0" fontId="3" fillId="19" borderId="65" xfId="0" applyFont="1" applyFill="1" applyBorder="1" applyAlignment="1">
      <alignment horizontal="center" wrapText="1"/>
    </xf>
    <xf numFmtId="0" fontId="0" fillId="0" borderId="0" xfId="0" applyAlignment="1">
      <alignment horizontal="center" wrapText="1"/>
    </xf>
    <xf numFmtId="0" fontId="0" fillId="0" borderId="13" xfId="0" applyBorder="1" applyAlignment="1">
      <alignment horizontal="center" wrapText="1"/>
    </xf>
    <xf numFmtId="0" fontId="0" fillId="0" borderId="3" xfId="0" applyBorder="1" applyAlignment="1">
      <alignment horizontal="center" wrapText="1"/>
    </xf>
    <xf numFmtId="0" fontId="3" fillId="0" borderId="65" xfId="0" applyFont="1" applyBorder="1" applyAlignment="1">
      <alignment horizontal="left"/>
    </xf>
    <xf numFmtId="0" fontId="11" fillId="20" borderId="8" xfId="0" applyFont="1" applyFill="1" applyBorder="1" applyAlignment="1">
      <alignment horizontal="left"/>
    </xf>
    <xf numFmtId="0" fontId="11" fillId="20" borderId="9" xfId="0" applyFont="1" applyFill="1" applyBorder="1" applyAlignment="1">
      <alignment horizontal="left"/>
    </xf>
    <xf numFmtId="0" fontId="3" fillId="10" borderId="18" xfId="0" applyFont="1" applyFill="1" applyBorder="1" applyAlignment="1">
      <alignment horizontal="left"/>
    </xf>
    <xf numFmtId="0" fontId="3" fillId="10" borderId="19" xfId="0" applyFont="1" applyFill="1" applyBorder="1" applyAlignment="1">
      <alignment horizontal="left"/>
    </xf>
    <xf numFmtId="0" fontId="3" fillId="10" borderId="67" xfId="0" applyFont="1" applyFill="1" applyBorder="1" applyAlignment="1">
      <alignment horizontal="left"/>
    </xf>
    <xf numFmtId="0" fontId="0" fillId="21" borderId="0" xfId="0" applyFill="1"/>
    <xf numFmtId="164" fontId="0" fillId="21" borderId="0" xfId="0" applyNumberFormat="1" applyFill="1" applyAlignment="1">
      <alignment horizontal="center"/>
    </xf>
    <xf numFmtId="0" fontId="0" fillId="0" borderId="13" xfId="0" applyBorder="1"/>
    <xf numFmtId="0" fontId="0" fillId="21" borderId="0" xfId="0" applyFill="1" applyAlignment="1">
      <alignment horizontal="center"/>
    </xf>
    <xf numFmtId="164" fontId="0" fillId="21" borderId="19" xfId="0" applyNumberFormat="1" applyFill="1" applyBorder="1" applyAlignment="1">
      <alignment horizontal="center"/>
    </xf>
    <xf numFmtId="0" fontId="11" fillId="20" borderId="45" xfId="0" applyFont="1" applyFill="1" applyBorder="1" applyAlignment="1">
      <alignment horizontal="left"/>
    </xf>
    <xf numFmtId="0" fontId="0" fillId="21" borderId="68" xfId="0" applyFill="1" applyBorder="1" applyAlignment="1">
      <alignment horizontal="left"/>
    </xf>
    <xf numFmtId="0" fontId="3" fillId="15" borderId="65" xfId="0" applyFont="1" applyFill="1" applyBorder="1"/>
    <xf numFmtId="0" fontId="3" fillId="15" borderId="66" xfId="0" applyFont="1" applyFill="1" applyBorder="1"/>
    <xf numFmtId="0" fontId="3" fillId="15" borderId="10" xfId="0" applyFont="1" applyFill="1" applyBorder="1"/>
    <xf numFmtId="0" fontId="3" fillId="18" borderId="65" xfId="0" applyFont="1" applyFill="1" applyBorder="1"/>
    <xf numFmtId="0" fontId="3" fillId="18" borderId="66" xfId="0" applyFont="1" applyFill="1" applyBorder="1"/>
    <xf numFmtId="0" fontId="3" fillId="18" borderId="10" xfId="0" applyFont="1" applyFill="1" applyBorder="1"/>
    <xf numFmtId="0" fontId="3" fillId="7" borderId="65" xfId="0" applyFont="1" applyFill="1" applyBorder="1"/>
    <xf numFmtId="0" fontId="3" fillId="7" borderId="66" xfId="0" applyFont="1" applyFill="1" applyBorder="1"/>
    <xf numFmtId="0" fontId="3" fillId="7" borderId="10" xfId="0" applyFont="1" applyFill="1" applyBorder="1"/>
    <xf numFmtId="0" fontId="3" fillId="14" borderId="65" xfId="0" applyFont="1" applyFill="1" applyBorder="1"/>
    <xf numFmtId="0" fontId="3" fillId="14" borderId="66" xfId="0" applyFont="1" applyFill="1" applyBorder="1"/>
    <xf numFmtId="0" fontId="3" fillId="14" borderId="10" xfId="0" applyFont="1" applyFill="1" applyBorder="1"/>
    <xf numFmtId="0" fontId="3" fillId="22" borderId="65" xfId="0" applyFont="1" applyFill="1" applyBorder="1"/>
    <xf numFmtId="0" fontId="3" fillId="22" borderId="66" xfId="0" applyFont="1" applyFill="1" applyBorder="1"/>
    <xf numFmtId="0" fontId="3" fillId="22" borderId="10" xfId="0" applyFont="1" applyFill="1" applyBorder="1"/>
    <xf numFmtId="0" fontId="3" fillId="10" borderId="65" xfId="0" applyFont="1" applyFill="1" applyBorder="1"/>
    <xf numFmtId="0" fontId="3" fillId="10" borderId="66" xfId="0" applyFont="1" applyFill="1" applyBorder="1"/>
    <xf numFmtId="0" fontId="3" fillId="10" borderId="10" xfId="0" applyFont="1" applyFill="1" applyBorder="1"/>
    <xf numFmtId="0" fontId="3" fillId="0" borderId="65" xfId="0" applyFont="1" applyBorder="1" applyAlignment="1">
      <alignment horizontal="left" wrapText="1"/>
    </xf>
    <xf numFmtId="0" fontId="9" fillId="4" borderId="8" xfId="0" applyFont="1" applyFill="1" applyBorder="1" applyAlignment="1">
      <alignment horizontal="left"/>
    </xf>
    <xf numFmtId="0" fontId="5" fillId="0" borderId="15" xfId="0" quotePrefix="1" applyFont="1" applyBorder="1" applyAlignment="1">
      <alignment horizontal="left"/>
    </xf>
    <xf numFmtId="0" fontId="0" fillId="0" borderId="68" xfId="0" quotePrefix="1" applyBorder="1" applyAlignment="1">
      <alignment horizontal="center"/>
    </xf>
    <xf numFmtId="0" fontId="5" fillId="0" borderId="18" xfId="0" applyFont="1" applyBorder="1" applyAlignment="1">
      <alignment horizontal="left"/>
    </xf>
    <xf numFmtId="0" fontId="0" fillId="0" borderId="67" xfId="0" quotePrefix="1" applyBorder="1" applyAlignment="1">
      <alignment horizontal="center"/>
    </xf>
    <xf numFmtId="0" fontId="0" fillId="0" borderId="45" xfId="0" quotePrefix="1" applyBorder="1" applyAlignment="1">
      <alignment horizontal="center"/>
    </xf>
    <xf numFmtId="0" fontId="0" fillId="21" borderId="8" xfId="0" applyFill="1" applyBorder="1" applyAlignment="1">
      <alignment horizontal="left"/>
    </xf>
    <xf numFmtId="0" fontId="0" fillId="21" borderId="9" xfId="0" applyFill="1" applyBorder="1" applyAlignment="1">
      <alignment horizontal="left"/>
    </xf>
    <xf numFmtId="165" fontId="0" fillId="21" borderId="9" xfId="0" applyNumberFormat="1" applyFill="1" applyBorder="1" applyAlignment="1">
      <alignment horizontal="left"/>
    </xf>
    <xf numFmtId="165" fontId="0" fillId="21" borderId="19" xfId="0" applyNumberFormat="1" applyFill="1" applyBorder="1" applyAlignment="1">
      <alignment horizontal="left"/>
    </xf>
    <xf numFmtId="0" fontId="3" fillId="23" borderId="65" xfId="0" applyFont="1" applyFill="1" applyBorder="1" applyAlignment="1">
      <alignment horizontal="left"/>
    </xf>
    <xf numFmtId="0" fontId="3" fillId="23" borderId="66" xfId="0" applyFont="1" applyFill="1" applyBorder="1" applyAlignment="1">
      <alignment horizontal="left"/>
    </xf>
    <xf numFmtId="0" fontId="3" fillId="23" borderId="10" xfId="0" applyFont="1" applyFill="1" applyBorder="1" applyAlignment="1">
      <alignment horizontal="left"/>
    </xf>
    <xf numFmtId="164" fontId="0" fillId="21" borderId="18" xfId="0" applyNumberFormat="1" applyFill="1" applyBorder="1" applyAlignment="1">
      <alignment horizontal="center"/>
    </xf>
    <xf numFmtId="164" fontId="3" fillId="5" borderId="1" xfId="0" applyNumberFormat="1" applyFont="1" applyFill="1" applyBorder="1" applyAlignment="1">
      <alignment horizontal="center"/>
    </xf>
    <xf numFmtId="0" fontId="0" fillId="9" borderId="8" xfId="0" applyFill="1" applyBorder="1"/>
    <xf numFmtId="0" fontId="0" fillId="9" borderId="9" xfId="0" applyFill="1" applyBorder="1"/>
    <xf numFmtId="0" fontId="3" fillId="9" borderId="9" xfId="0" applyFont="1" applyFill="1" applyBorder="1" applyAlignment="1">
      <alignment horizontal="right"/>
    </xf>
    <xf numFmtId="0" fontId="3" fillId="9" borderId="60" xfId="0" applyFont="1" applyFill="1" applyBorder="1" applyAlignment="1">
      <alignment horizontal="center"/>
    </xf>
    <xf numFmtId="2" fontId="0" fillId="0" borderId="77" xfId="0" applyNumberFormat="1" applyBorder="1" applyAlignment="1">
      <alignment horizontal="center"/>
    </xf>
    <xf numFmtId="0" fontId="0" fillId="9" borderId="15" xfId="0" applyFill="1" applyBorder="1"/>
    <xf numFmtId="0" fontId="0" fillId="9" borderId="0" xfId="0" applyFill="1"/>
    <xf numFmtId="0" fontId="3" fillId="9" borderId="0" xfId="0" applyFont="1" applyFill="1" applyAlignment="1">
      <alignment horizontal="right"/>
    </xf>
    <xf numFmtId="0" fontId="3" fillId="9" borderId="38" xfId="0" applyFont="1" applyFill="1" applyBorder="1" applyAlignment="1">
      <alignment horizontal="center"/>
    </xf>
    <xf numFmtId="2" fontId="0" fillId="0" borderId="46" xfId="0" applyNumberFormat="1" applyBorder="1" applyAlignment="1">
      <alignment horizontal="center"/>
    </xf>
    <xf numFmtId="0" fontId="0" fillId="9" borderId="18" xfId="0" applyFill="1" applyBorder="1"/>
    <xf numFmtId="0" fontId="0" fillId="9" borderId="19" xfId="0" applyFill="1" applyBorder="1"/>
    <xf numFmtId="0" fontId="3" fillId="9" borderId="19" xfId="0" applyFont="1" applyFill="1" applyBorder="1" applyAlignment="1">
      <alignment horizontal="right"/>
    </xf>
    <xf numFmtId="0" fontId="3" fillId="9" borderId="39" xfId="0" applyFont="1" applyFill="1" applyBorder="1" applyAlignment="1">
      <alignment horizontal="center"/>
    </xf>
    <xf numFmtId="2" fontId="0" fillId="0" borderId="47" xfId="0" applyNumberFormat="1" applyBorder="1" applyAlignment="1">
      <alignment horizontal="center"/>
    </xf>
    <xf numFmtId="0" fontId="0" fillId="0" borderId="9" xfId="0" applyBorder="1"/>
    <xf numFmtId="0" fontId="9" fillId="0" borderId="9" xfId="0" applyFont="1" applyBorder="1"/>
    <xf numFmtId="0" fontId="9" fillId="0" borderId="45" xfId="0" applyFont="1" applyBorder="1"/>
    <xf numFmtId="0" fontId="3" fillId="0" borderId="15" xfId="0" quotePrefix="1" applyFont="1" applyBorder="1" applyAlignment="1">
      <alignment horizontal="center"/>
    </xf>
    <xf numFmtId="0" fontId="3" fillId="0" borderId="68" xfId="0" applyFont="1" applyBorder="1" applyAlignment="1">
      <alignment horizontal="center"/>
    </xf>
    <xf numFmtId="2" fontId="0" fillId="16" borderId="3" xfId="0" applyNumberFormat="1" applyFill="1" applyBorder="1" applyAlignment="1">
      <alignment horizontal="center"/>
    </xf>
    <xf numFmtId="0" fontId="0" fillId="16" borderId="9" xfId="0" applyFill="1" applyBorder="1"/>
    <xf numFmtId="0" fontId="3" fillId="16" borderId="9" xfId="0" applyFont="1" applyFill="1" applyBorder="1" applyAlignment="1">
      <alignment horizontal="right"/>
    </xf>
    <xf numFmtId="2" fontId="0" fillId="16" borderId="13" xfId="0" applyNumberFormat="1" applyFill="1" applyBorder="1" applyAlignment="1">
      <alignment horizontal="center"/>
    </xf>
    <xf numFmtId="0" fontId="0" fillId="16" borderId="0" xfId="0" applyFill="1"/>
    <xf numFmtId="0" fontId="3" fillId="16" borderId="0" xfId="0" applyFont="1" applyFill="1" applyAlignment="1">
      <alignment horizontal="right"/>
    </xf>
    <xf numFmtId="2" fontId="0" fillId="16" borderId="14" xfId="0" applyNumberFormat="1" applyFill="1" applyBorder="1" applyAlignment="1">
      <alignment horizontal="center"/>
    </xf>
    <xf numFmtId="0" fontId="0" fillId="16" borderId="19" xfId="0" applyFill="1" applyBorder="1"/>
    <xf numFmtId="0" fontId="3" fillId="16" borderId="19" xfId="0" applyFont="1" applyFill="1" applyBorder="1" applyAlignment="1">
      <alignment horizontal="right"/>
    </xf>
    <xf numFmtId="2" fontId="0" fillId="9" borderId="3" xfId="0" applyNumberFormat="1" applyFill="1" applyBorder="1" applyAlignment="1">
      <alignment horizontal="center"/>
    </xf>
    <xf numFmtId="2" fontId="0" fillId="9" borderId="13" xfId="0" applyNumberFormat="1" applyFill="1" applyBorder="1" applyAlignment="1">
      <alignment horizontal="center"/>
    </xf>
    <xf numFmtId="2" fontId="0" fillId="9" borderId="14" xfId="0" applyNumberFormat="1" applyFill="1" applyBorder="1" applyAlignment="1">
      <alignment horizontal="center"/>
    </xf>
    <xf numFmtId="14" fontId="3" fillId="21" borderId="8" xfId="0" applyNumberFormat="1" applyFont="1" applyFill="1" applyBorder="1" applyAlignment="1">
      <alignment horizontal="left"/>
    </xf>
    <xf numFmtId="0" fontId="0" fillId="21" borderId="9" xfId="0" applyFill="1" applyBorder="1"/>
    <xf numFmtId="0" fontId="0" fillId="21" borderId="9" xfId="0" applyFill="1" applyBorder="1" applyAlignment="1">
      <alignment horizontal="center"/>
    </xf>
    <xf numFmtId="165" fontId="0" fillId="21" borderId="9" xfId="0" applyNumberFormat="1" applyFill="1" applyBorder="1" applyAlignment="1">
      <alignment horizontal="center"/>
    </xf>
    <xf numFmtId="0" fontId="3" fillId="21" borderId="45" xfId="0" applyFont="1" applyFill="1" applyBorder="1" applyAlignment="1">
      <alignment horizontal="left"/>
    </xf>
    <xf numFmtId="2" fontId="0" fillId="20" borderId="13" xfId="0" applyNumberFormat="1" applyFill="1" applyBorder="1" applyAlignment="1">
      <alignment horizontal="center"/>
    </xf>
    <xf numFmtId="0" fontId="0" fillId="20" borderId="0" xfId="0" applyFill="1"/>
    <xf numFmtId="0" fontId="3" fillId="20" borderId="0" xfId="0" applyFont="1" applyFill="1" applyAlignment="1">
      <alignment horizontal="right"/>
    </xf>
    <xf numFmtId="0" fontId="3" fillId="21" borderId="0" xfId="0" applyFont="1" applyFill="1" applyAlignment="1">
      <alignment horizontal="center"/>
    </xf>
    <xf numFmtId="0" fontId="3" fillId="21" borderId="68" xfId="0" applyFont="1" applyFill="1" applyBorder="1" applyAlignment="1">
      <alignment horizontal="center"/>
    </xf>
    <xf numFmtId="0" fontId="0" fillId="21" borderId="68" xfId="0" applyFill="1" applyBorder="1" applyAlignment="1">
      <alignment horizontal="center"/>
    </xf>
    <xf numFmtId="2" fontId="0" fillId="20" borderId="14" xfId="0" applyNumberFormat="1" applyFill="1" applyBorder="1" applyAlignment="1">
      <alignment horizontal="center"/>
    </xf>
    <xf numFmtId="0" fontId="0" fillId="20" borderId="19" xfId="0" applyFill="1" applyBorder="1"/>
    <xf numFmtId="0" fontId="3" fillId="20" borderId="19" xfId="0" applyFont="1" applyFill="1" applyBorder="1" applyAlignment="1">
      <alignment horizontal="right"/>
    </xf>
    <xf numFmtId="2" fontId="0" fillId="21" borderId="0" xfId="0" applyNumberFormat="1" applyFill="1" applyAlignment="1">
      <alignment horizontal="center"/>
    </xf>
    <xf numFmtId="2" fontId="0" fillId="21" borderId="68" xfId="0" applyNumberFormat="1" applyFill="1" applyBorder="1" applyAlignment="1">
      <alignment horizontal="center"/>
    </xf>
    <xf numFmtId="0" fontId="5" fillId="21" borderId="15" xfId="0" applyFont="1" applyFill="1" applyBorder="1"/>
    <xf numFmtId="0" fontId="3" fillId="0" borderId="0" xfId="0" applyFont="1" applyAlignment="1">
      <alignment horizontal="right"/>
    </xf>
    <xf numFmtId="0" fontId="3" fillId="21" borderId="15" xfId="0" applyFont="1" applyFill="1" applyBorder="1"/>
    <xf numFmtId="0" fontId="9" fillId="21" borderId="15" xfId="0" applyFont="1" applyFill="1" applyBorder="1"/>
    <xf numFmtId="0" fontId="0" fillId="0" borderId="8" xfId="0" applyBorder="1" applyAlignment="1">
      <alignment horizontal="right"/>
    </xf>
    <xf numFmtId="2" fontId="5" fillId="4" borderId="9" xfId="0" applyNumberFormat="1" applyFont="1" applyFill="1" applyBorder="1" applyAlignment="1">
      <alignment horizontal="center"/>
    </xf>
    <xf numFmtId="2" fontId="5" fillId="4" borderId="45" xfId="0" applyNumberFormat="1" applyFont="1" applyFill="1" applyBorder="1" applyAlignment="1">
      <alignment horizontal="center"/>
    </xf>
    <xf numFmtId="0" fontId="0" fillId="0" borderId="18" xfId="0" applyBorder="1" applyAlignment="1">
      <alignment horizontal="right"/>
    </xf>
    <xf numFmtId="0" fontId="0" fillId="0" borderId="8" xfId="0" applyBorder="1" applyAlignment="1">
      <alignment horizontal="right" indent="1"/>
    </xf>
    <xf numFmtId="0" fontId="0" fillId="0" borderId="15" xfId="0" applyBorder="1" applyAlignment="1">
      <alignment horizontal="right" indent="1"/>
    </xf>
    <xf numFmtId="0" fontId="0" fillId="0" borderId="65" xfId="0" applyBorder="1" applyAlignment="1">
      <alignment horizontal="right" indent="1"/>
    </xf>
    <xf numFmtId="165" fontId="0" fillId="0" borderId="66" xfId="0" applyNumberFormat="1" applyBorder="1" applyAlignment="1">
      <alignment horizontal="center"/>
    </xf>
    <xf numFmtId="0" fontId="0" fillId="21" borderId="19" xfId="0" applyFill="1" applyBorder="1" applyAlignment="1">
      <alignment horizontal="center"/>
    </xf>
    <xf numFmtId="0" fontId="0" fillId="21" borderId="67" xfId="0" applyFill="1" applyBorder="1" applyAlignment="1">
      <alignment horizontal="center"/>
    </xf>
    <xf numFmtId="0" fontId="9" fillId="15" borderId="66" xfId="0" applyFont="1" applyFill="1" applyBorder="1" applyAlignment="1">
      <alignment horizontal="center"/>
    </xf>
    <xf numFmtId="14" fontId="0" fillId="0" borderId="0" xfId="0" applyNumberFormat="1"/>
    <xf numFmtId="0" fontId="0" fillId="25" borderId="0" xfId="0" applyFill="1"/>
    <xf numFmtId="0" fontId="3" fillId="5" borderId="65" xfId="0" applyFont="1" applyFill="1" applyBorder="1"/>
    <xf numFmtId="0" fontId="3" fillId="5" borderId="66" xfId="0" applyFont="1" applyFill="1" applyBorder="1"/>
    <xf numFmtId="0" fontId="3" fillId="5" borderId="10" xfId="0" applyFont="1" applyFill="1" applyBorder="1"/>
    <xf numFmtId="0" fontId="3" fillId="0" borderId="65" xfId="0" applyFont="1" applyBorder="1" applyAlignment="1">
      <alignment wrapText="1"/>
    </xf>
    <xf numFmtId="0" fontId="3" fillId="0" borderId="66" xfId="0" applyFont="1" applyBorder="1" applyAlignment="1">
      <alignment wrapText="1"/>
    </xf>
    <xf numFmtId="0" fontId="3" fillId="0" borderId="10" xfId="0" applyFont="1" applyBorder="1" applyAlignment="1">
      <alignment wrapText="1"/>
    </xf>
    <xf numFmtId="0" fontId="11" fillId="20" borderId="65" xfId="0" applyFont="1" applyFill="1" applyBorder="1"/>
    <xf numFmtId="0" fontId="11" fillId="20" borderId="66" xfId="0" applyFont="1" applyFill="1" applyBorder="1"/>
    <xf numFmtId="0" fontId="11" fillId="20" borderId="10" xfId="0" applyFont="1" applyFill="1" applyBorder="1"/>
    <xf numFmtId="0" fontId="3" fillId="24" borderId="3" xfId="0" applyFont="1" applyFill="1" applyBorder="1" applyAlignment="1">
      <alignment horizontal="center"/>
    </xf>
    <xf numFmtId="164" fontId="0" fillId="24" borderId="13" xfId="0" applyNumberFormat="1" applyFill="1" applyBorder="1" applyAlignment="1">
      <alignment horizontal="center"/>
    </xf>
    <xf numFmtId="164" fontId="0" fillId="24" borderId="14" xfId="0" applyNumberFormat="1" applyFill="1" applyBorder="1" applyAlignment="1">
      <alignment horizontal="center"/>
    </xf>
    <xf numFmtId="2" fontId="0" fillId="24" borderId="13" xfId="0" applyNumberFormat="1" applyFill="1" applyBorder="1" applyAlignment="1">
      <alignment horizontal="center"/>
    </xf>
    <xf numFmtId="0" fontId="0" fillId="0" borderId="0" xfId="0" applyAlignment="1">
      <alignment horizontal="right"/>
    </xf>
    <xf numFmtId="165" fontId="0" fillId="0" borderId="0" xfId="0" applyNumberFormat="1"/>
    <xf numFmtId="11" fontId="0" fillId="0" borderId="13" xfId="0" applyNumberFormat="1" applyBorder="1" applyAlignment="1">
      <alignment horizontal="center"/>
    </xf>
    <xf numFmtId="11" fontId="0" fillId="0" borderId="14" xfId="0" applyNumberFormat="1" applyBorder="1" applyAlignment="1">
      <alignment horizontal="center"/>
    </xf>
    <xf numFmtId="0" fontId="9" fillId="15" borderId="10" xfId="0" applyFont="1" applyFill="1" applyBorder="1" applyAlignment="1">
      <alignment horizontal="center"/>
    </xf>
    <xf numFmtId="0" fontId="9" fillId="15" borderId="65" xfId="0" applyFont="1" applyFill="1" applyBorder="1" applyAlignment="1">
      <alignment horizontal="left"/>
    </xf>
    <xf numFmtId="0" fontId="9" fillId="15" borderId="66" xfId="0" applyFont="1" applyFill="1" applyBorder="1" applyAlignment="1">
      <alignment horizontal="left"/>
    </xf>
    <xf numFmtId="11" fontId="0" fillId="0" borderId="0" xfId="0" applyNumberFormat="1"/>
    <xf numFmtId="0" fontId="0" fillId="26" borderId="0" xfId="0" applyFill="1"/>
    <xf numFmtId="0" fontId="0" fillId="0" borderId="32" xfId="0" applyBorder="1"/>
    <xf numFmtId="0" fontId="11" fillId="27" borderId="0" xfId="0" applyFont="1" applyFill="1" applyAlignment="1">
      <alignment horizontal="center" wrapText="1"/>
    </xf>
    <xf numFmtId="164" fontId="0" fillId="0" borderId="0" xfId="0" applyNumberFormat="1"/>
    <xf numFmtId="166" fontId="0" fillId="0" borderId="0" xfId="0" applyNumberFormat="1"/>
    <xf numFmtId="0" fontId="14" fillId="0" borderId="0" xfId="0" applyFont="1"/>
    <xf numFmtId="14" fontId="3" fillId="0" borderId="0" xfId="0" applyNumberFormat="1" applyFont="1"/>
    <xf numFmtId="0" fontId="3" fillId="0" borderId="32" xfId="0" applyFont="1" applyBorder="1" applyAlignment="1">
      <alignment horizontal="center"/>
    </xf>
    <xf numFmtId="0" fontId="0" fillId="0" borderId="62" xfId="0" applyBorder="1" applyAlignment="1">
      <alignment wrapText="1"/>
    </xf>
    <xf numFmtId="0" fontId="0" fillId="0" borderId="87" xfId="0" applyBorder="1" applyAlignment="1">
      <alignment wrapText="1"/>
    </xf>
    <xf numFmtId="0" fontId="3" fillId="0" borderId="87" xfId="0" applyFont="1" applyBorder="1"/>
    <xf numFmtId="0" fontId="0" fillId="0" borderId="4" xfId="0" applyBorder="1"/>
    <xf numFmtId="0" fontId="0" fillId="0" borderId="5" xfId="0" applyBorder="1"/>
    <xf numFmtId="0" fontId="0" fillId="0" borderId="88" xfId="0" applyBorder="1"/>
    <xf numFmtId="0" fontId="0" fillId="0" borderId="89" xfId="0" applyBorder="1"/>
    <xf numFmtId="0" fontId="0" fillId="0" borderId="7" xfId="0" applyBorder="1"/>
    <xf numFmtId="0" fontId="0" fillId="0" borderId="6" xfId="0" applyBorder="1"/>
    <xf numFmtId="0" fontId="0" fillId="0" borderId="2" xfId="0" applyBorder="1"/>
    <xf numFmtId="0" fontId="0" fillId="0" borderId="90" xfId="0" applyBorder="1"/>
    <xf numFmtId="0" fontId="0" fillId="28" borderId="0" xfId="0" applyFill="1"/>
    <xf numFmtId="0" fontId="3" fillId="0" borderId="62" xfId="0" applyFont="1" applyBorder="1"/>
    <xf numFmtId="0" fontId="3" fillId="0" borderId="58" xfId="0" applyFont="1" applyBorder="1"/>
    <xf numFmtId="0" fontId="3" fillId="24" borderId="4" xfId="0" applyFont="1" applyFill="1" applyBorder="1"/>
    <xf numFmtId="0" fontId="0" fillId="24" borderId="5" xfId="0" applyFill="1" applyBorder="1"/>
    <xf numFmtId="0" fontId="0" fillId="24" borderId="88" xfId="0" applyFill="1" applyBorder="1"/>
    <xf numFmtId="0" fontId="3" fillId="14" borderId="4" xfId="0" applyFont="1" applyFill="1" applyBorder="1"/>
    <xf numFmtId="0" fontId="0" fillId="14" borderId="5" xfId="0" applyFill="1" applyBorder="1"/>
    <xf numFmtId="0" fontId="0" fillId="14" borderId="88" xfId="0" applyFill="1" applyBorder="1"/>
    <xf numFmtId="0" fontId="3" fillId="14" borderId="89" xfId="0" applyFont="1" applyFill="1" applyBorder="1"/>
    <xf numFmtId="0" fontId="0" fillId="14" borderId="0" xfId="0" applyFill="1"/>
    <xf numFmtId="0" fontId="0" fillId="14" borderId="7" xfId="0" applyFill="1" applyBorder="1"/>
    <xf numFmtId="0" fontId="0" fillId="14" borderId="89" xfId="0" applyFill="1" applyBorder="1"/>
    <xf numFmtId="0" fontId="3" fillId="14" borderId="0" xfId="0" applyFont="1" applyFill="1"/>
    <xf numFmtId="0" fontId="0" fillId="29" borderId="0" xfId="0" applyFill="1"/>
    <xf numFmtId="2" fontId="0" fillId="0" borderId="2" xfId="0" applyNumberFormat="1" applyBorder="1"/>
    <xf numFmtId="0" fontId="0" fillId="30" borderId="62" xfId="0" applyFill="1" applyBorder="1"/>
    <xf numFmtId="0" fontId="0" fillId="30" borderId="87" xfId="0" applyFill="1" applyBorder="1"/>
    <xf numFmtId="0" fontId="3" fillId="30" borderId="87" xfId="0" applyFont="1" applyFill="1" applyBorder="1"/>
    <xf numFmtId="0" fontId="0" fillId="30" borderId="58" xfId="0" applyFill="1" applyBorder="1"/>
    <xf numFmtId="0" fontId="3" fillId="30" borderId="32" xfId="0" applyFont="1" applyFill="1" applyBorder="1" applyAlignment="1">
      <alignment wrapText="1"/>
    </xf>
    <xf numFmtId="0" fontId="3" fillId="0" borderId="32" xfId="0" applyFont="1" applyBorder="1"/>
    <xf numFmtId="2" fontId="0" fillId="0" borderId="5" xfId="0" applyNumberFormat="1" applyBorder="1"/>
    <xf numFmtId="0" fontId="0" fillId="0" borderId="87" xfId="0" applyBorder="1" applyAlignment="1">
      <alignment horizontal="left"/>
    </xf>
    <xf numFmtId="0" fontId="5" fillId="0" borderId="0" xfId="0" applyFont="1" applyAlignment="1">
      <alignment horizontal="left"/>
    </xf>
    <xf numFmtId="0" fontId="0" fillId="24" borderId="89" xfId="0" applyFill="1" applyBorder="1"/>
    <xf numFmtId="0" fontId="0" fillId="24" borderId="0" xfId="0" applyFill="1"/>
    <xf numFmtId="0" fontId="0" fillId="24" borderId="7" xfId="0" applyFill="1" applyBorder="1"/>
    <xf numFmtId="0" fontId="3" fillId="0" borderId="71" xfId="0" applyFont="1" applyBorder="1" applyAlignment="1">
      <alignment horizontal="center"/>
    </xf>
    <xf numFmtId="0" fontId="3" fillId="0" borderId="2" xfId="0" applyFont="1" applyBorder="1"/>
    <xf numFmtId="0" fontId="0" fillId="13" borderId="5" xfId="0" applyFill="1" applyBorder="1"/>
    <xf numFmtId="0" fontId="0" fillId="13" borderId="88" xfId="0" applyFill="1" applyBorder="1"/>
    <xf numFmtId="0" fontId="3" fillId="0" borderId="2" xfId="0" applyFont="1" applyBorder="1" applyAlignment="1">
      <alignment horizontal="center"/>
    </xf>
    <xf numFmtId="0" fontId="3" fillId="0" borderId="90" xfId="0" applyFont="1" applyBorder="1"/>
    <xf numFmtId="0" fontId="3" fillId="13" borderId="70" xfId="0" applyFont="1" applyFill="1" applyBorder="1"/>
    <xf numFmtId="0" fontId="3" fillId="0" borderId="5" xfId="0" applyFont="1" applyBorder="1"/>
    <xf numFmtId="0" fontId="10" fillId="31" borderId="7" xfId="0" applyFont="1" applyFill="1" applyBorder="1"/>
    <xf numFmtId="0" fontId="10" fillId="31" borderId="0" xfId="0" applyFont="1" applyFill="1"/>
    <xf numFmtId="0" fontId="10" fillId="0" borderId="0" xfId="0" applyFont="1"/>
    <xf numFmtId="0" fontId="3" fillId="14" borderId="5" xfId="0" applyFont="1" applyFill="1" applyBorder="1"/>
    <xf numFmtId="0" fontId="0" fillId="0" borderId="89" xfId="0" applyBorder="1" applyAlignment="1">
      <alignment horizontal="center"/>
    </xf>
    <xf numFmtId="0" fontId="3" fillId="27" borderId="87" xfId="0" applyFont="1" applyFill="1" applyBorder="1"/>
    <xf numFmtId="0" fontId="0" fillId="27" borderId="87" xfId="0" applyFill="1" applyBorder="1"/>
    <xf numFmtId="0" fontId="0" fillId="27" borderId="58" xfId="0" applyFill="1" applyBorder="1"/>
    <xf numFmtId="0" fontId="3" fillId="0" borderId="89" xfId="0" applyFont="1" applyBorder="1"/>
    <xf numFmtId="0" fontId="3" fillId="0" borderId="70" xfId="0" applyFont="1" applyBorder="1" applyAlignment="1">
      <alignment horizontal="center"/>
    </xf>
    <xf numFmtId="2" fontId="0" fillId="0" borderId="0" xfId="0" applyNumberFormat="1" applyAlignment="1">
      <alignment horizontal="right"/>
    </xf>
    <xf numFmtId="0" fontId="3" fillId="13" borderId="4" xfId="0" applyFont="1" applyFill="1" applyBorder="1"/>
    <xf numFmtId="0" fontId="3" fillId="13" borderId="5" xfId="0" applyFont="1" applyFill="1" applyBorder="1"/>
    <xf numFmtId="0" fontId="3" fillId="13" borderId="89" xfId="0" applyFont="1" applyFill="1" applyBorder="1"/>
    <xf numFmtId="0" fontId="3" fillId="13" borderId="0" xfId="0" applyFont="1" applyFill="1"/>
    <xf numFmtId="0" fontId="0" fillId="13" borderId="0" xfId="0" applyFill="1"/>
    <xf numFmtId="0" fontId="0" fillId="13" borderId="7" xfId="0" applyFill="1" applyBorder="1"/>
    <xf numFmtId="0" fontId="0" fillId="0" borderId="4" xfId="0" applyBorder="1" applyAlignment="1">
      <alignment wrapText="1"/>
    </xf>
    <xf numFmtId="0" fontId="0" fillId="0" borderId="5" xfId="0" applyBorder="1" applyAlignment="1">
      <alignment wrapText="1"/>
    </xf>
    <xf numFmtId="2" fontId="0" fillId="0" borderId="88" xfId="0" applyNumberFormat="1" applyBorder="1"/>
    <xf numFmtId="2" fontId="0" fillId="0" borderId="7" xfId="0" applyNumberFormat="1" applyBorder="1"/>
    <xf numFmtId="169" fontId="0" fillId="0" borderId="0" xfId="0" applyNumberFormat="1"/>
    <xf numFmtId="0" fontId="0" fillId="24" borderId="4" xfId="0" applyFill="1" applyBorder="1"/>
    <xf numFmtId="2" fontId="0" fillId="0" borderId="32" xfId="0" applyNumberFormat="1" applyBorder="1"/>
    <xf numFmtId="0" fontId="0" fillId="0" borderId="32" xfId="0" applyBorder="1" applyAlignment="1">
      <alignment horizontal="right"/>
    </xf>
    <xf numFmtId="0" fontId="10" fillId="33" borderId="7" xfId="0" applyFont="1" applyFill="1" applyBorder="1"/>
    <xf numFmtId="0" fontId="10" fillId="33" borderId="0" xfId="0" applyFont="1" applyFill="1"/>
    <xf numFmtId="0" fontId="10" fillId="33" borderId="70" xfId="0" applyFont="1" applyFill="1" applyBorder="1"/>
    <xf numFmtId="0" fontId="10" fillId="33" borderId="91" xfId="0" applyFont="1" applyFill="1" applyBorder="1"/>
    <xf numFmtId="1" fontId="0" fillId="24" borderId="32" xfId="0" applyNumberFormat="1" applyFill="1" applyBorder="1" applyAlignment="1" applyProtection="1">
      <alignment horizontal="left"/>
      <protection locked="0"/>
    </xf>
    <xf numFmtId="2" fontId="0" fillId="24" borderId="32" xfId="0" applyNumberFormat="1" applyFill="1" applyBorder="1" applyAlignment="1" applyProtection="1">
      <alignment horizontal="left"/>
      <protection locked="0"/>
    </xf>
    <xf numFmtId="165" fontId="0" fillId="24" borderId="32" xfId="0" applyNumberFormat="1" applyFill="1" applyBorder="1" applyAlignment="1" applyProtection="1">
      <alignment horizontal="left"/>
      <protection locked="0"/>
    </xf>
    <xf numFmtId="170" fontId="0" fillId="24" borderId="32" xfId="0" applyNumberFormat="1" applyFill="1" applyBorder="1" applyAlignment="1" applyProtection="1">
      <alignment horizontal="left"/>
      <protection locked="0"/>
    </xf>
    <xf numFmtId="11" fontId="5" fillId="32" borderId="32" xfId="0" applyNumberFormat="1" applyFont="1" applyFill="1" applyBorder="1" applyAlignment="1">
      <alignment horizontal="left"/>
    </xf>
    <xf numFmtId="2" fontId="0" fillId="0" borderId="32" xfId="0" applyNumberFormat="1" applyBorder="1" applyAlignment="1">
      <alignment horizontal="left"/>
    </xf>
    <xf numFmtId="0" fontId="0" fillId="24" borderId="32" xfId="0" applyFill="1" applyBorder="1" applyAlignment="1">
      <alignment horizontal="left"/>
    </xf>
    <xf numFmtId="0" fontId="0" fillId="5" borderId="32" xfId="0" applyFill="1" applyBorder="1" applyAlignment="1">
      <alignment horizontal="center"/>
    </xf>
    <xf numFmtId="0" fontId="5" fillId="5" borderId="32" xfId="0" applyFont="1" applyFill="1" applyBorder="1" applyAlignment="1">
      <alignment horizontal="center"/>
    </xf>
    <xf numFmtId="0" fontId="3" fillId="24" borderId="5" xfId="0" applyFont="1" applyFill="1" applyBorder="1"/>
    <xf numFmtId="0" fontId="3" fillId="24" borderId="5" xfId="0" applyFont="1" applyFill="1" applyBorder="1" applyAlignment="1">
      <alignment horizontal="center"/>
    </xf>
    <xf numFmtId="0" fontId="3" fillId="24" borderId="62" xfId="0" applyFont="1" applyFill="1" applyBorder="1"/>
    <xf numFmtId="0" fontId="0" fillId="24" borderId="87" xfId="0" applyFill="1" applyBorder="1"/>
    <xf numFmtId="0" fontId="0" fillId="24" borderId="58" xfId="0" applyFill="1" applyBorder="1"/>
    <xf numFmtId="2" fontId="5" fillId="0" borderId="0" xfId="0" applyNumberFormat="1" applyFont="1"/>
    <xf numFmtId="0" fontId="5" fillId="0" borderId="5" xfId="0" applyFont="1" applyBorder="1"/>
    <xf numFmtId="0" fontId="9" fillId="27" borderId="62" xfId="0" applyFont="1" applyFill="1" applyBorder="1"/>
    <xf numFmtId="0" fontId="0" fillId="24" borderId="2" xfId="0" applyFill="1" applyBorder="1" applyAlignment="1">
      <alignment horizontal="center"/>
    </xf>
    <xf numFmtId="165" fontId="13" fillId="29" borderId="89" xfId="0" applyNumberFormat="1" applyFont="1" applyFill="1" applyBorder="1" applyAlignment="1">
      <alignment horizontal="center"/>
    </xf>
    <xf numFmtId="165" fontId="13" fillId="29" borderId="0" xfId="0" applyNumberFormat="1" applyFont="1" applyFill="1" applyAlignment="1">
      <alignment horizontal="center"/>
    </xf>
    <xf numFmtId="0" fontId="5" fillId="0" borderId="7" xfId="0" applyFont="1" applyBorder="1" applyAlignment="1">
      <alignment horizontal="center"/>
    </xf>
    <xf numFmtId="0" fontId="0" fillId="24" borderId="5" xfId="0" applyFill="1" applyBorder="1" applyAlignment="1">
      <alignment horizontal="center"/>
    </xf>
    <xf numFmtId="0" fontId="0" fillId="24" borderId="0" xfId="0" applyFill="1" applyAlignment="1">
      <alignment horizontal="center"/>
    </xf>
    <xf numFmtId="0" fontId="3" fillId="29" borderId="32" xfId="0" applyFont="1" applyFill="1" applyBorder="1" applyAlignment="1">
      <alignment horizontal="center"/>
    </xf>
    <xf numFmtId="165" fontId="5" fillId="0" borderId="0" xfId="0" applyNumberFormat="1" applyFont="1" applyAlignment="1">
      <alignment horizontal="center"/>
    </xf>
    <xf numFmtId="164" fontId="0" fillId="24" borderId="0" xfId="0" applyNumberFormat="1" applyFill="1" applyAlignment="1">
      <alignment horizontal="center"/>
    </xf>
    <xf numFmtId="49" fontId="0" fillId="0" borderId="32" xfId="0" applyNumberFormat="1" applyBorder="1"/>
    <xf numFmtId="49" fontId="0" fillId="0" borderId="0" xfId="0" applyNumberFormat="1"/>
    <xf numFmtId="49" fontId="3" fillId="0" borderId="1" xfId="0" applyNumberFormat="1" applyFont="1" applyBorder="1" applyAlignment="1" applyProtection="1">
      <alignment horizontal="left"/>
      <protection locked="0"/>
    </xf>
    <xf numFmtId="49" fontId="0" fillId="0" borderId="0" xfId="0" applyNumberFormat="1" applyAlignment="1">
      <alignment horizontal="left"/>
    </xf>
    <xf numFmtId="0" fontId="0" fillId="24" borderId="3" xfId="0" applyFill="1" applyBorder="1" applyAlignment="1">
      <alignment horizontal="center"/>
    </xf>
    <xf numFmtId="0" fontId="0" fillId="24" borderId="13" xfId="0" applyFill="1" applyBorder="1" applyAlignment="1">
      <alignment horizontal="center"/>
    </xf>
    <xf numFmtId="0" fontId="0" fillId="24" borderId="14" xfId="0" applyFill="1" applyBorder="1" applyAlignment="1">
      <alignment horizontal="center"/>
    </xf>
    <xf numFmtId="0" fontId="0" fillId="0" borderId="9" xfId="0" quotePrefix="1" applyBorder="1" applyAlignment="1">
      <alignment horizontal="center"/>
    </xf>
    <xf numFmtId="49" fontId="0" fillId="24" borderId="32" xfId="0" applyNumberFormat="1" applyFill="1" applyBorder="1" applyAlignment="1" applyProtection="1">
      <alignment horizontal="left"/>
      <protection locked="0"/>
    </xf>
    <xf numFmtId="0" fontId="3" fillId="0" borderId="4" xfId="0" applyFont="1" applyBorder="1"/>
    <xf numFmtId="0" fontId="3" fillId="0" borderId="88" xfId="0" applyFont="1" applyBorder="1"/>
    <xf numFmtId="0" fontId="10" fillId="33" borderId="88" xfId="0" applyFont="1" applyFill="1" applyBorder="1"/>
    <xf numFmtId="0" fontId="10" fillId="33" borderId="5" xfId="0" applyFont="1" applyFill="1" applyBorder="1"/>
    <xf numFmtId="11" fontId="10" fillId="33" borderId="5" xfId="0" applyNumberFormat="1" applyFont="1" applyFill="1" applyBorder="1"/>
    <xf numFmtId="11" fontId="10" fillId="33" borderId="0" xfId="0" applyNumberFormat="1" applyFont="1" applyFill="1"/>
    <xf numFmtId="0" fontId="10" fillId="31" borderId="70" xfId="0" applyFont="1" applyFill="1" applyBorder="1"/>
    <xf numFmtId="0" fontId="10" fillId="31" borderId="5" xfId="0" applyFont="1" applyFill="1" applyBorder="1"/>
    <xf numFmtId="11" fontId="10" fillId="31" borderId="5" xfId="0" applyNumberFormat="1" applyFont="1" applyFill="1" applyBorder="1"/>
    <xf numFmtId="0" fontId="10" fillId="31" borderId="88" xfId="0" applyFont="1" applyFill="1" applyBorder="1"/>
    <xf numFmtId="0" fontId="10" fillId="31" borderId="91" xfId="0" applyFont="1" applyFill="1" applyBorder="1"/>
    <xf numFmtId="11" fontId="10" fillId="31" borderId="0" xfId="0" applyNumberFormat="1" applyFont="1" applyFill="1"/>
    <xf numFmtId="165" fontId="0" fillId="24" borderId="32" xfId="0" applyNumberFormat="1" applyFill="1" applyBorder="1" applyAlignment="1" applyProtection="1">
      <alignment horizontal="center"/>
      <protection locked="0"/>
    </xf>
    <xf numFmtId="0" fontId="3" fillId="0" borderId="87" xfId="0" applyFont="1" applyBorder="1" applyAlignment="1">
      <alignment horizontal="center"/>
    </xf>
    <xf numFmtId="0" fontId="0" fillId="0" borderId="0" xfId="0" applyAlignment="1">
      <alignment wrapText="1"/>
    </xf>
    <xf numFmtId="0" fontId="0" fillId="0" borderId="72" xfId="0" applyBorder="1" applyAlignment="1">
      <alignment horizontal="center"/>
    </xf>
    <xf numFmtId="0" fontId="0" fillId="0" borderId="73" xfId="0" applyBorder="1" applyAlignment="1">
      <alignment horizontal="center"/>
    </xf>
    <xf numFmtId="0" fontId="0" fillId="0" borderId="75" xfId="0" applyBorder="1" applyAlignment="1">
      <alignment horizontal="center"/>
    </xf>
    <xf numFmtId="1" fontId="0" fillId="0" borderId="72" xfId="0" applyNumberFormat="1" applyBorder="1" applyAlignment="1">
      <alignment horizontal="center"/>
    </xf>
    <xf numFmtId="0" fontId="0" fillId="0" borderId="74" xfId="0" applyBorder="1" applyAlignment="1">
      <alignment horizontal="center"/>
    </xf>
    <xf numFmtId="0" fontId="3" fillId="0" borderId="9" xfId="0" applyFont="1" applyBorder="1" applyAlignment="1">
      <alignment horizontal="center"/>
    </xf>
    <xf numFmtId="2" fontId="5" fillId="0" borderId="32" xfId="0" applyNumberFormat="1" applyFont="1" applyBorder="1"/>
    <xf numFmtId="164" fontId="0" fillId="24" borderId="14" xfId="0" applyNumberFormat="1" applyFill="1" applyBorder="1" applyAlignment="1" applyProtection="1">
      <alignment horizontal="center"/>
      <protection locked="0"/>
    </xf>
    <xf numFmtId="1" fontId="0" fillId="24" borderId="3" xfId="0" applyNumberFormat="1" applyFill="1" applyBorder="1" applyAlignment="1">
      <alignment horizontal="center"/>
    </xf>
    <xf numFmtId="2" fontId="0" fillId="24" borderId="13" xfId="1" applyNumberFormat="1" applyFont="1" applyFill="1" applyBorder="1" applyAlignment="1" applyProtection="1">
      <alignment horizontal="center"/>
    </xf>
    <xf numFmtId="2" fontId="0" fillId="24" borderId="3" xfId="1" applyNumberFormat="1" applyFont="1" applyFill="1" applyBorder="1" applyAlignment="1" applyProtection="1">
      <alignment horizontal="center"/>
    </xf>
    <xf numFmtId="2" fontId="0" fillId="24" borderId="14" xfId="1" applyNumberFormat="1" applyFont="1" applyFill="1" applyBorder="1" applyAlignment="1" applyProtection="1">
      <alignment horizontal="center"/>
    </xf>
    <xf numFmtId="3" fontId="0" fillId="24" borderId="13" xfId="0" applyNumberFormat="1" applyFill="1" applyBorder="1" applyAlignment="1">
      <alignment horizontal="center"/>
    </xf>
    <xf numFmtId="167" fontId="0" fillId="24" borderId="13" xfId="0" applyNumberFormat="1" applyFill="1" applyBorder="1" applyAlignment="1">
      <alignment horizontal="center"/>
    </xf>
    <xf numFmtId="165" fontId="0" fillId="24" borderId="13" xfId="0" applyNumberFormat="1" applyFill="1" applyBorder="1" applyAlignment="1">
      <alignment horizontal="center"/>
    </xf>
    <xf numFmtId="3" fontId="0" fillId="24" borderId="3" xfId="0" applyNumberFormat="1" applyFill="1" applyBorder="1" applyAlignment="1">
      <alignment horizontal="center"/>
    </xf>
    <xf numFmtId="2" fontId="0" fillId="24" borderId="3" xfId="0" applyNumberFormat="1" applyFill="1" applyBorder="1" applyAlignment="1">
      <alignment horizontal="center"/>
    </xf>
    <xf numFmtId="0" fontId="0" fillId="30" borderId="5" xfId="0" applyFill="1" applyBorder="1"/>
    <xf numFmtId="0" fontId="0" fillId="0" borderId="5" xfId="0" applyBorder="1" applyAlignment="1">
      <alignment horizontal="center" wrapText="1"/>
    </xf>
    <xf numFmtId="0" fontId="3" fillId="30" borderId="3" xfId="0" applyFont="1" applyFill="1" applyBorder="1"/>
    <xf numFmtId="0" fontId="3" fillId="30" borderId="39" xfId="0" applyFont="1" applyFill="1" applyBorder="1" applyAlignment="1">
      <alignment horizontal="center" wrapText="1"/>
    </xf>
    <xf numFmtId="0" fontId="5" fillId="24" borderId="0" xfId="0" applyFont="1" applyFill="1"/>
    <xf numFmtId="0" fontId="5" fillId="13" borderId="0" xfId="0" applyFont="1" applyFill="1"/>
    <xf numFmtId="0" fontId="9" fillId="13" borderId="0" xfId="0" applyFont="1" applyFill="1" applyAlignment="1">
      <alignment horizontal="center"/>
    </xf>
    <xf numFmtId="165" fontId="0" fillId="24" borderId="0" xfId="0" applyNumberFormat="1" applyFill="1" applyAlignment="1">
      <alignment horizontal="center"/>
    </xf>
    <xf numFmtId="165" fontId="5" fillId="21" borderId="0" xfId="0" applyNumberFormat="1" applyFont="1" applyFill="1" applyAlignment="1">
      <alignment horizontal="center"/>
    </xf>
    <xf numFmtId="165" fontId="0" fillId="24" borderId="7" xfId="0" applyNumberFormat="1" applyFill="1" applyBorder="1" applyAlignment="1">
      <alignment horizontal="center"/>
    </xf>
    <xf numFmtId="2" fontId="5" fillId="0" borderId="32" xfId="0" applyNumberFormat="1" applyFont="1" applyBorder="1" applyAlignment="1">
      <alignment horizontal="center"/>
    </xf>
    <xf numFmtId="0" fontId="0" fillId="0" borderId="62" xfId="0" applyBorder="1"/>
    <xf numFmtId="0" fontId="3" fillId="0" borderId="8" xfId="0" applyFont="1" applyBorder="1"/>
    <xf numFmtId="0" fontId="3" fillId="0" borderId="9" xfId="0" applyFont="1" applyBorder="1"/>
    <xf numFmtId="0" fontId="0" fillId="0" borderId="45" xfId="0" applyBorder="1"/>
    <xf numFmtId="0" fontId="0" fillId="0" borderId="35" xfId="0" applyBorder="1"/>
    <xf numFmtId="0" fontId="0" fillId="0" borderId="36" xfId="0" applyBorder="1"/>
    <xf numFmtId="0" fontId="0" fillId="0" borderId="37" xfId="0" applyBorder="1"/>
    <xf numFmtId="11" fontId="5" fillId="0" borderId="32" xfId="0" applyNumberFormat="1" applyFont="1" applyBorder="1"/>
    <xf numFmtId="0" fontId="3" fillId="0" borderId="89" xfId="0" applyFont="1" applyBorder="1" applyAlignment="1">
      <alignment horizontal="center"/>
    </xf>
    <xf numFmtId="0" fontId="3" fillId="0" borderId="92" xfId="0" applyFont="1" applyBorder="1"/>
    <xf numFmtId="0" fontId="3" fillId="0" borderId="93" xfId="0" applyFont="1" applyBorder="1"/>
    <xf numFmtId="0" fontId="3" fillId="0" borderId="45" xfId="0" applyFont="1" applyBorder="1"/>
    <xf numFmtId="2" fontId="5" fillId="0" borderId="15" xfId="0" applyNumberFormat="1" applyFont="1" applyBorder="1"/>
    <xf numFmtId="0" fontId="5" fillId="0" borderId="94" xfId="0" applyFont="1" applyBorder="1"/>
    <xf numFmtId="0" fontId="5" fillId="0" borderId="68" xfId="0" applyFont="1" applyBorder="1"/>
    <xf numFmtId="2" fontId="5" fillId="0" borderId="18" xfId="0" applyNumberFormat="1" applyFont="1" applyBorder="1"/>
    <xf numFmtId="2" fontId="5" fillId="0" borderId="19" xfId="0" applyNumberFormat="1" applyFont="1" applyBorder="1"/>
    <xf numFmtId="0" fontId="5" fillId="0" borderId="19" xfId="0" applyFont="1" applyBorder="1"/>
    <xf numFmtId="0" fontId="5" fillId="0" borderId="67" xfId="0" applyFont="1" applyBorder="1"/>
    <xf numFmtId="1" fontId="5" fillId="0" borderId="32" xfId="0" applyNumberFormat="1" applyFont="1" applyBorder="1" applyAlignment="1" applyProtection="1">
      <alignment horizontal="center"/>
      <protection locked="0"/>
    </xf>
    <xf numFmtId="0" fontId="3" fillId="21" borderId="8" xfId="0" applyFont="1" applyFill="1" applyBorder="1" applyAlignment="1">
      <alignment horizontal="left"/>
    </xf>
    <xf numFmtId="0" fontId="0" fillId="21" borderId="45" xfId="0" applyFill="1" applyBorder="1" applyAlignment="1">
      <alignment horizontal="center"/>
    </xf>
    <xf numFmtId="0" fontId="15" fillId="21" borderId="15" xfId="3" applyFill="1" applyBorder="1" applyAlignment="1">
      <alignment horizontal="left"/>
    </xf>
    <xf numFmtId="0" fontId="0" fillId="21" borderId="68" xfId="0" applyFill="1" applyBorder="1"/>
    <xf numFmtId="0" fontId="3" fillId="21" borderId="15" xfId="0" applyFont="1" applyFill="1" applyBorder="1" applyAlignment="1">
      <alignment horizontal="left"/>
    </xf>
    <xf numFmtId="0" fontId="9" fillId="21" borderId="15" xfId="0" applyFont="1" applyFill="1" applyBorder="1" applyAlignment="1">
      <alignment horizontal="left"/>
    </xf>
    <xf numFmtId="0" fontId="5" fillId="21" borderId="15" xfId="0" applyFont="1" applyFill="1" applyBorder="1" applyAlignment="1">
      <alignment horizontal="left"/>
    </xf>
    <xf numFmtId="0" fontId="0" fillId="21" borderId="8" xfId="0" applyFill="1" applyBorder="1"/>
    <xf numFmtId="0" fontId="9" fillId="21" borderId="9" xfId="0" applyFont="1" applyFill="1" applyBorder="1"/>
    <xf numFmtId="0" fontId="9" fillId="21" borderId="45" xfId="0" applyFont="1" applyFill="1" applyBorder="1"/>
    <xf numFmtId="0" fontId="3" fillId="21" borderId="15" xfId="0" quotePrefix="1" applyFont="1" applyFill="1" applyBorder="1" applyAlignment="1">
      <alignment horizontal="center"/>
    </xf>
    <xf numFmtId="9" fontId="0" fillId="0" borderId="0" xfId="2" applyFont="1"/>
    <xf numFmtId="43" fontId="0" fillId="0" borderId="0" xfId="4" applyFont="1"/>
    <xf numFmtId="165" fontId="0" fillId="24" borderId="0" xfId="0" applyNumberFormat="1" applyFill="1" applyAlignment="1">
      <alignment horizontal="right"/>
    </xf>
    <xf numFmtId="0" fontId="0" fillId="24" borderId="0" xfId="0" applyFill="1" applyAlignment="1">
      <alignment horizontal="right"/>
    </xf>
    <xf numFmtId="0" fontId="3" fillId="0" borderId="65" xfId="0" applyFont="1" applyBorder="1" applyAlignment="1">
      <alignment horizontal="center"/>
    </xf>
    <xf numFmtId="0" fontId="3" fillId="0" borderId="66" xfId="0" applyFont="1" applyBorder="1" applyAlignment="1">
      <alignment horizontal="center"/>
    </xf>
    <xf numFmtId="0" fontId="3" fillId="0" borderId="10" xfId="0" applyFont="1" applyBorder="1" applyAlignment="1">
      <alignment horizontal="center"/>
    </xf>
    <xf numFmtId="0" fontId="3" fillId="16" borderId="65" xfId="0" applyFont="1" applyFill="1" applyBorder="1" applyAlignment="1">
      <alignment horizontal="left"/>
    </xf>
    <xf numFmtId="0" fontId="3" fillId="16" borderId="66" xfId="0" applyFont="1" applyFill="1" applyBorder="1" applyAlignment="1">
      <alignment horizontal="left"/>
    </xf>
    <xf numFmtId="0" fontId="3" fillId="9" borderId="65" xfId="0" applyFont="1" applyFill="1" applyBorder="1" applyAlignment="1">
      <alignment horizontal="left"/>
    </xf>
    <xf numFmtId="0" fontId="3" fillId="9" borderId="66" xfId="0" applyFont="1" applyFill="1" applyBorder="1" applyAlignment="1">
      <alignment horizontal="left"/>
    </xf>
    <xf numFmtId="0" fontId="11" fillId="20" borderId="65" xfId="0" applyFont="1" applyFill="1" applyBorder="1" applyAlignment="1">
      <alignment horizontal="left"/>
    </xf>
    <xf numFmtId="0" fontId="11" fillId="20" borderId="66" xfId="0" applyFont="1" applyFill="1" applyBorder="1" applyAlignment="1">
      <alignment horizontal="left"/>
    </xf>
    <xf numFmtId="0" fontId="3" fillId="5" borderId="65" xfId="0" applyFont="1" applyFill="1" applyBorder="1" applyAlignment="1">
      <alignment horizontal="right"/>
    </xf>
    <xf numFmtId="0" fontId="3" fillId="5" borderId="66" xfId="0" applyFont="1" applyFill="1" applyBorder="1" applyAlignment="1">
      <alignment horizontal="right"/>
    </xf>
    <xf numFmtId="0" fontId="3" fillId="5" borderId="10" xfId="0" applyFont="1" applyFill="1" applyBorder="1" applyAlignment="1">
      <alignment horizontal="right"/>
    </xf>
    <xf numFmtId="0" fontId="0" fillId="0" borderId="65" xfId="0" applyBorder="1" applyAlignment="1">
      <alignment horizontal="center"/>
    </xf>
    <xf numFmtId="0" fontId="0" fillId="0" borderId="66" xfId="0" applyBorder="1" applyAlignment="1">
      <alignment horizontal="center"/>
    </xf>
    <xf numFmtId="0" fontId="0" fillId="0" borderId="10" xfId="0" applyBorder="1" applyAlignment="1">
      <alignment horizontal="center"/>
    </xf>
    <xf numFmtId="0" fontId="3" fillId="9" borderId="65" xfId="0" applyFont="1" applyFill="1" applyBorder="1" applyAlignment="1">
      <alignment horizontal="center"/>
    </xf>
    <xf numFmtId="0" fontId="3" fillId="9" borderId="66" xfId="0" applyFont="1" applyFill="1" applyBorder="1" applyAlignment="1">
      <alignment horizontal="center"/>
    </xf>
    <xf numFmtId="0" fontId="3" fillId="9" borderId="10" xfId="0" applyFont="1" applyFill="1" applyBorder="1" applyAlignment="1">
      <alignment horizontal="center"/>
    </xf>
    <xf numFmtId="0" fontId="3" fillId="15" borderId="65" xfId="0" applyFont="1" applyFill="1" applyBorder="1" applyAlignment="1">
      <alignment horizontal="center"/>
    </xf>
    <xf numFmtId="0" fontId="3" fillId="15" borderId="66" xfId="0" applyFont="1" applyFill="1" applyBorder="1" applyAlignment="1">
      <alignment horizontal="center"/>
    </xf>
    <xf numFmtId="0" fontId="3" fillId="15" borderId="10" xfId="0" applyFont="1" applyFill="1" applyBorder="1" applyAlignment="1">
      <alignment horizontal="center"/>
    </xf>
    <xf numFmtId="0" fontId="9" fillId="5" borderId="65" xfId="0" applyFont="1" applyFill="1" applyBorder="1" applyAlignment="1">
      <alignment horizontal="center"/>
    </xf>
    <xf numFmtId="0" fontId="9" fillId="5" borderId="66" xfId="0" applyFont="1" applyFill="1" applyBorder="1" applyAlignment="1">
      <alignment horizontal="center"/>
    </xf>
    <xf numFmtId="0" fontId="9" fillId="5" borderId="10" xfId="0" applyFont="1" applyFill="1" applyBorder="1" applyAlignment="1">
      <alignment horizontal="center"/>
    </xf>
    <xf numFmtId="0" fontId="3" fillId="0" borderId="65" xfId="0" applyFont="1" applyBorder="1" applyAlignment="1">
      <alignment horizontal="center" wrapText="1"/>
    </xf>
    <xf numFmtId="0" fontId="3" fillId="0" borderId="66" xfId="0" applyFont="1" applyBorder="1" applyAlignment="1">
      <alignment horizontal="center" wrapText="1"/>
    </xf>
    <xf numFmtId="0" fontId="3" fillId="0" borderId="10" xfId="0" applyFont="1" applyBorder="1" applyAlignment="1">
      <alignment horizontal="center" wrapText="1"/>
    </xf>
    <xf numFmtId="0" fontId="3" fillId="5" borderId="65" xfId="0" applyFont="1" applyFill="1" applyBorder="1" applyAlignment="1">
      <alignment horizontal="center"/>
    </xf>
    <xf numFmtId="0" fontId="3" fillId="5" borderId="66" xfId="0" applyFont="1" applyFill="1" applyBorder="1" applyAlignment="1">
      <alignment horizontal="center"/>
    </xf>
    <xf numFmtId="0" fontId="3" fillId="5" borderId="10" xfId="0" applyFont="1" applyFill="1" applyBorder="1" applyAlignment="1">
      <alignment horizontal="center"/>
    </xf>
    <xf numFmtId="0" fontId="11" fillId="8" borderId="65" xfId="0" applyFont="1" applyFill="1" applyBorder="1" applyAlignment="1">
      <alignment horizontal="center"/>
    </xf>
    <xf numFmtId="0" fontId="11" fillId="8" borderId="66" xfId="0" applyFont="1" applyFill="1" applyBorder="1" applyAlignment="1">
      <alignment horizontal="center"/>
    </xf>
    <xf numFmtId="0" fontId="11" fillId="8" borderId="10" xfId="0" applyFont="1" applyFill="1" applyBorder="1" applyAlignment="1">
      <alignment horizontal="center"/>
    </xf>
    <xf numFmtId="0" fontId="3" fillId="8" borderId="65" xfId="0" applyFont="1" applyFill="1" applyBorder="1" applyAlignment="1">
      <alignment horizontal="center"/>
    </xf>
    <xf numFmtId="0" fontId="3" fillId="8" borderId="66" xfId="0" applyFont="1" applyFill="1" applyBorder="1" applyAlignment="1">
      <alignment horizontal="center"/>
    </xf>
    <xf numFmtId="0" fontId="3" fillId="8" borderId="10" xfId="0" applyFont="1" applyFill="1" applyBorder="1" applyAlignment="1">
      <alignment horizontal="center"/>
    </xf>
    <xf numFmtId="0" fontId="3" fillId="17" borderId="65" xfId="0" applyFont="1" applyFill="1" applyBorder="1" applyAlignment="1">
      <alignment horizontal="center"/>
    </xf>
    <xf numFmtId="0" fontId="3" fillId="17" borderId="66" xfId="0" applyFont="1" applyFill="1" applyBorder="1" applyAlignment="1">
      <alignment horizontal="center"/>
    </xf>
    <xf numFmtId="0" fontId="3" fillId="17" borderId="10" xfId="0" applyFont="1" applyFill="1" applyBorder="1" applyAlignment="1">
      <alignment horizontal="center"/>
    </xf>
    <xf numFmtId="0" fontId="3" fillId="20" borderId="65" xfId="0" applyFont="1" applyFill="1" applyBorder="1" applyAlignment="1">
      <alignment horizontal="center"/>
    </xf>
    <xf numFmtId="0" fontId="3" fillId="20" borderId="66" xfId="0" applyFont="1" applyFill="1" applyBorder="1" applyAlignment="1">
      <alignment horizontal="center"/>
    </xf>
    <xf numFmtId="0" fontId="3" fillId="20" borderId="10" xfId="0" applyFont="1" applyFill="1" applyBorder="1" applyAlignment="1">
      <alignment horizontal="center"/>
    </xf>
    <xf numFmtId="0" fontId="3" fillId="15" borderId="65" xfId="0" applyFont="1" applyFill="1" applyBorder="1" applyAlignment="1">
      <alignment horizontal="left"/>
    </xf>
    <xf numFmtId="0" fontId="3" fillId="15" borderId="66" xfId="0" applyFont="1" applyFill="1" applyBorder="1" applyAlignment="1">
      <alignment horizontal="left"/>
    </xf>
    <xf numFmtId="0" fontId="3" fillId="5" borderId="65" xfId="0" applyFont="1" applyFill="1" applyBorder="1" applyAlignment="1">
      <alignment horizontal="left"/>
    </xf>
    <xf numFmtId="0" fontId="3" fillId="5" borderId="66" xfId="0" applyFont="1" applyFill="1" applyBorder="1" applyAlignment="1">
      <alignment horizontal="left"/>
    </xf>
    <xf numFmtId="0" fontId="11" fillId="20" borderId="65" xfId="0" applyFont="1" applyFill="1" applyBorder="1" applyAlignment="1">
      <alignment horizontal="center"/>
    </xf>
    <xf numFmtId="0" fontId="11" fillId="20" borderId="66" xfId="0" applyFont="1" applyFill="1" applyBorder="1" applyAlignment="1">
      <alignment horizontal="center"/>
    </xf>
    <xf numFmtId="0" fontId="11" fillId="20" borderId="10" xfId="0" applyFont="1" applyFill="1" applyBorder="1" applyAlignment="1">
      <alignment horizontal="center"/>
    </xf>
    <xf numFmtId="0" fontId="9" fillId="15" borderId="65" xfId="0" applyFont="1" applyFill="1" applyBorder="1" applyAlignment="1">
      <alignment horizontal="center"/>
    </xf>
    <xf numFmtId="0" fontId="9" fillId="15" borderId="66" xfId="0" applyFont="1" applyFill="1" applyBorder="1" applyAlignment="1">
      <alignment horizontal="center"/>
    </xf>
    <xf numFmtId="0" fontId="3" fillId="0" borderId="0" xfId="0" applyFont="1" applyAlignment="1">
      <alignment horizontal="center" wrapText="1"/>
    </xf>
  </cellXfs>
  <cellStyles count="5">
    <cellStyle name="Comma" xfId="4" builtinId="3"/>
    <cellStyle name="Hyperlink" xfId="3" builtinId="8"/>
    <cellStyle name="Neutral" xfId="1" builtinId="28"/>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66"/>
      <color rgb="FFDEC0F2"/>
      <color rgb="FFF5B7F6"/>
      <color rgb="FFCC66FF"/>
      <color rgb="FFFF66FF"/>
      <color rgb="FFFF0066"/>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Root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Inputs!$I$65:$I$66</c:f>
              <c:numCache>
                <c:formatCode>0.00</c:formatCode>
                <c:ptCount val="2"/>
                <c:pt idx="0">
                  <c:v>0</c:v>
                </c:pt>
                <c:pt idx="1">
                  <c:v>0.65</c:v>
                </c:pt>
              </c:numCache>
            </c:numRef>
          </c:xVal>
          <c:yVal>
            <c:numRef>
              <c:f>Inputs!$J$65:$J$66</c:f>
              <c:numCache>
                <c:formatCode>0.00</c:formatCode>
                <c:ptCount val="2"/>
                <c:pt idx="0">
                  <c:v>0</c:v>
                </c:pt>
                <c:pt idx="1">
                  <c:v>0</c:v>
                </c:pt>
              </c:numCache>
            </c:numRef>
          </c:yVal>
          <c:smooth val="0"/>
          <c:extLst>
            <c:ext xmlns:c16="http://schemas.microsoft.com/office/drawing/2014/chart" uri="{C3380CC4-5D6E-409C-BE32-E72D297353CC}">
              <c16:uniqueId val="{00000000-77A6-48D5-B39C-B90A5DB08A38}"/>
            </c:ext>
          </c:extLst>
        </c:ser>
        <c:ser>
          <c:idx val="1"/>
          <c:order val="1"/>
          <c:tx>
            <c:v>Tip</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Inputs!$I$67:$I$68</c:f>
              <c:numCache>
                <c:formatCode>0.00</c:formatCode>
                <c:ptCount val="2"/>
                <c:pt idx="0">
                  <c:v>7.5000000000000011E-2</c:v>
                </c:pt>
                <c:pt idx="1">
                  <c:v>0.42499999999999999</c:v>
                </c:pt>
              </c:numCache>
            </c:numRef>
          </c:xVal>
          <c:yVal>
            <c:numRef>
              <c:f>Inputs!$J$67:$J$68</c:f>
              <c:numCache>
                <c:formatCode>0.00</c:formatCode>
                <c:ptCount val="2"/>
                <c:pt idx="0">
                  <c:v>3</c:v>
                </c:pt>
                <c:pt idx="1">
                  <c:v>3</c:v>
                </c:pt>
              </c:numCache>
            </c:numRef>
          </c:yVal>
          <c:smooth val="0"/>
          <c:extLst>
            <c:ext xmlns:c16="http://schemas.microsoft.com/office/drawing/2014/chart" uri="{C3380CC4-5D6E-409C-BE32-E72D297353CC}">
              <c16:uniqueId val="{00000001-77A6-48D5-B39C-B90A5DB08A38}"/>
            </c:ext>
          </c:extLst>
        </c:ser>
        <c:ser>
          <c:idx val="2"/>
          <c:order val="2"/>
          <c:tx>
            <c:v>LE</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(Inputs!$I$65,Inputs!$I$67)</c:f>
              <c:numCache>
                <c:formatCode>0.00</c:formatCode>
                <c:ptCount val="2"/>
                <c:pt idx="0">
                  <c:v>0</c:v>
                </c:pt>
                <c:pt idx="1">
                  <c:v>7.5000000000000011E-2</c:v>
                </c:pt>
              </c:numCache>
            </c:numRef>
          </c:xVal>
          <c:yVal>
            <c:numRef>
              <c:f>(Inputs!$J$65,Inputs!$J$67)</c:f>
              <c:numCache>
                <c:formatCode>0.00</c:formatCode>
                <c:ptCount val="2"/>
                <c:pt idx="0">
                  <c:v>0</c:v>
                </c:pt>
                <c:pt idx="1">
                  <c:v>3</c:v>
                </c:pt>
              </c:numCache>
            </c:numRef>
          </c:yVal>
          <c:smooth val="0"/>
          <c:extLst>
            <c:ext xmlns:c16="http://schemas.microsoft.com/office/drawing/2014/chart" uri="{C3380CC4-5D6E-409C-BE32-E72D297353CC}">
              <c16:uniqueId val="{00000002-77A6-48D5-B39C-B90A5DB08A38}"/>
            </c:ext>
          </c:extLst>
        </c:ser>
        <c:ser>
          <c:idx val="3"/>
          <c:order val="3"/>
          <c:tx>
            <c:v>TE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(Inputs!$I$66,Inputs!$I$68)</c:f>
              <c:numCache>
                <c:formatCode>0.00</c:formatCode>
                <c:ptCount val="2"/>
                <c:pt idx="0">
                  <c:v>0.65</c:v>
                </c:pt>
                <c:pt idx="1">
                  <c:v>0.42499999999999999</c:v>
                </c:pt>
              </c:numCache>
            </c:numRef>
          </c:xVal>
          <c:yVal>
            <c:numRef>
              <c:f>(Inputs!$J$66,Inputs!$J$68)</c:f>
              <c:numCache>
                <c:formatCode>0.00</c:formatCode>
                <c:ptCount val="2"/>
                <c:pt idx="0">
                  <c:v>0</c:v>
                </c:pt>
                <c:pt idx="1">
                  <c:v>3</c:v>
                </c:pt>
              </c:numCache>
            </c:numRef>
          </c:yVal>
          <c:smooth val="0"/>
          <c:extLst>
            <c:ext xmlns:c16="http://schemas.microsoft.com/office/drawing/2014/chart" uri="{C3380CC4-5D6E-409C-BE32-E72D297353CC}">
              <c16:uniqueId val="{00000003-77A6-48D5-B39C-B90A5DB08A38}"/>
            </c:ext>
          </c:extLst>
        </c:ser>
        <c:ser>
          <c:idx val="4"/>
          <c:order val="4"/>
          <c:tx>
            <c:v>Spar</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Inputs!$I$70:$I$71</c:f>
              <c:numCache>
                <c:formatCode>0.00</c:formatCode>
                <c:ptCount val="2"/>
                <c:pt idx="0">
                  <c:v>0.16250000000000001</c:v>
                </c:pt>
                <c:pt idx="1">
                  <c:v>0.16250000000000001</c:v>
                </c:pt>
              </c:numCache>
            </c:numRef>
          </c:xVal>
          <c:yVal>
            <c:numRef>
              <c:f>Inputs!$J$70:$J$71</c:f>
              <c:numCache>
                <c:formatCode>0.00</c:formatCode>
                <c:ptCount val="2"/>
                <c:pt idx="0">
                  <c:v>0</c:v>
                </c:pt>
                <c:pt idx="1">
                  <c:v>3</c:v>
                </c:pt>
              </c:numCache>
            </c:numRef>
          </c:yVal>
          <c:smooth val="0"/>
          <c:extLst>
            <c:ext xmlns:c16="http://schemas.microsoft.com/office/drawing/2014/chart" uri="{C3380CC4-5D6E-409C-BE32-E72D297353CC}">
              <c16:uniqueId val="{00000004-77A6-48D5-B39C-B90A5DB08A38}"/>
            </c:ext>
          </c:extLst>
        </c:ser>
        <c:ser>
          <c:idx val="5"/>
          <c:order val="5"/>
          <c:tx>
            <c:v>Aft Web</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Inputs!$I$72:$I$73</c:f>
              <c:numCache>
                <c:formatCode>0.00</c:formatCode>
                <c:ptCount val="2"/>
                <c:pt idx="0">
                  <c:v>0.48750000000000004</c:v>
                </c:pt>
                <c:pt idx="1">
                  <c:v>0.33749999999999997</c:v>
                </c:pt>
              </c:numCache>
            </c:numRef>
          </c:xVal>
          <c:yVal>
            <c:numRef>
              <c:f>Inputs!$J$72:$J$73</c:f>
              <c:numCache>
                <c:formatCode>0.00</c:formatCode>
                <c:ptCount val="2"/>
                <c:pt idx="0">
                  <c:v>0</c:v>
                </c:pt>
                <c:pt idx="1">
                  <c:v>3</c:v>
                </c:pt>
              </c:numCache>
            </c:numRef>
          </c:yVal>
          <c:smooth val="0"/>
          <c:extLst>
            <c:ext xmlns:c16="http://schemas.microsoft.com/office/drawing/2014/chart" uri="{C3380CC4-5D6E-409C-BE32-E72D297353CC}">
              <c16:uniqueId val="{00000005-77A6-48D5-B39C-B90A5DB08A38}"/>
            </c:ext>
          </c:extLst>
        </c:ser>
        <c:dLbls>
          <c:showLegendKey val="0"/>
          <c:showVal val="0"/>
          <c:showCatName val="0"/>
          <c:showSerName val="0"/>
          <c:showPercent val="0"/>
          <c:showBubbleSize val="0"/>
        </c:dLbls>
        <c:axId val="404383872"/>
        <c:axId val="404384656"/>
      </c:scatterChart>
      <c:valAx>
        <c:axId val="4043838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4656"/>
        <c:crosses val="autoZero"/>
        <c:crossBetween val="midCat"/>
        <c:majorUnit val="1"/>
      </c:valAx>
      <c:valAx>
        <c:axId val="404384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3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Root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'Inputs-Imperial'!$I$65:$I$66</c:f>
              <c:numCache>
                <c:formatCode>0.00</c:formatCode>
                <c:ptCount val="2"/>
                <c:pt idx="0">
                  <c:v>0</c:v>
                </c:pt>
                <c:pt idx="1">
                  <c:v>2.1325460000000001</c:v>
                </c:pt>
              </c:numCache>
            </c:numRef>
          </c:xVal>
          <c:yVal>
            <c:numRef>
              <c:f>'Inputs-Imperial'!$J$65:$J$66</c:f>
              <c:numCache>
                <c:formatCode>0.00</c:formatCode>
                <c:ptCount val="2"/>
                <c:pt idx="0">
                  <c:v>0</c:v>
                </c:pt>
                <c:pt idx="1">
                  <c:v>0</c:v>
                </c:pt>
              </c:numCache>
            </c:numRef>
          </c:yVal>
          <c:smooth val="0"/>
          <c:extLst>
            <c:ext xmlns:c16="http://schemas.microsoft.com/office/drawing/2014/chart" uri="{C3380CC4-5D6E-409C-BE32-E72D297353CC}">
              <c16:uniqueId val="{00000000-A009-46E2-A5DE-B01EAB955491}"/>
            </c:ext>
          </c:extLst>
        </c:ser>
        <c:ser>
          <c:idx val="1"/>
          <c:order val="1"/>
          <c:tx>
            <c:v>Tip</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'Inputs-Imperial'!$I$67:$I$68</c:f>
              <c:numCache>
                <c:formatCode>0.00</c:formatCode>
                <c:ptCount val="2"/>
                <c:pt idx="0">
                  <c:v>0.24606300000000003</c:v>
                </c:pt>
                <c:pt idx="1">
                  <c:v>1.3943569999999998</c:v>
                </c:pt>
              </c:numCache>
            </c:numRef>
          </c:xVal>
          <c:yVal>
            <c:numRef>
              <c:f>'Inputs-Imperial'!$J$67:$J$68</c:f>
              <c:numCache>
                <c:formatCode>0.00</c:formatCode>
                <c:ptCount val="2"/>
                <c:pt idx="0">
                  <c:v>9.8425200000000004</c:v>
                </c:pt>
                <c:pt idx="1">
                  <c:v>9.8425200000000004</c:v>
                </c:pt>
              </c:numCache>
            </c:numRef>
          </c:yVal>
          <c:smooth val="0"/>
          <c:extLst>
            <c:ext xmlns:c16="http://schemas.microsoft.com/office/drawing/2014/chart" uri="{C3380CC4-5D6E-409C-BE32-E72D297353CC}">
              <c16:uniqueId val="{00000001-A009-46E2-A5DE-B01EAB955491}"/>
            </c:ext>
          </c:extLst>
        </c:ser>
        <c:ser>
          <c:idx val="2"/>
          <c:order val="2"/>
          <c:tx>
            <c:v>LE</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('Inputs-Imperial'!$I$65,'Inputs-Imperial'!$I$67)</c:f>
              <c:numCache>
                <c:formatCode>0.00</c:formatCode>
                <c:ptCount val="2"/>
                <c:pt idx="0">
                  <c:v>0</c:v>
                </c:pt>
                <c:pt idx="1">
                  <c:v>0.24606300000000003</c:v>
                </c:pt>
              </c:numCache>
            </c:numRef>
          </c:xVal>
          <c:yVal>
            <c:numRef>
              <c:f>('Inputs-Imperial'!$J$65,'Inputs-Imperial'!$J$67)</c:f>
              <c:numCache>
                <c:formatCode>0.00</c:formatCode>
                <c:ptCount val="2"/>
                <c:pt idx="0">
                  <c:v>0</c:v>
                </c:pt>
                <c:pt idx="1">
                  <c:v>9.8425200000000004</c:v>
                </c:pt>
              </c:numCache>
            </c:numRef>
          </c:yVal>
          <c:smooth val="0"/>
          <c:extLst>
            <c:ext xmlns:c16="http://schemas.microsoft.com/office/drawing/2014/chart" uri="{C3380CC4-5D6E-409C-BE32-E72D297353CC}">
              <c16:uniqueId val="{00000002-A009-46E2-A5DE-B01EAB955491}"/>
            </c:ext>
          </c:extLst>
        </c:ser>
        <c:ser>
          <c:idx val="3"/>
          <c:order val="3"/>
          <c:tx>
            <c:v>TE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('Inputs-Imperial'!$I$66,'Inputs-Imperial'!$I$68)</c:f>
              <c:numCache>
                <c:formatCode>0.00</c:formatCode>
                <c:ptCount val="2"/>
                <c:pt idx="0">
                  <c:v>2.1325460000000001</c:v>
                </c:pt>
                <c:pt idx="1">
                  <c:v>1.3943569999999998</c:v>
                </c:pt>
              </c:numCache>
            </c:numRef>
          </c:xVal>
          <c:yVal>
            <c:numRef>
              <c:f>('Inputs-Imperial'!$J$66,'Inputs-Imperial'!$J$68)</c:f>
              <c:numCache>
                <c:formatCode>0.00</c:formatCode>
                <c:ptCount val="2"/>
                <c:pt idx="0">
                  <c:v>0</c:v>
                </c:pt>
                <c:pt idx="1">
                  <c:v>9.8425200000000004</c:v>
                </c:pt>
              </c:numCache>
            </c:numRef>
          </c:yVal>
          <c:smooth val="0"/>
          <c:extLst>
            <c:ext xmlns:c16="http://schemas.microsoft.com/office/drawing/2014/chart" uri="{C3380CC4-5D6E-409C-BE32-E72D297353CC}">
              <c16:uniqueId val="{00000003-A009-46E2-A5DE-B01EAB955491}"/>
            </c:ext>
          </c:extLst>
        </c:ser>
        <c:ser>
          <c:idx val="4"/>
          <c:order val="4"/>
          <c:tx>
            <c:v>Spar</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'Inputs-Imperial'!$I$70:$I$71</c:f>
              <c:numCache>
                <c:formatCode>0.00</c:formatCode>
                <c:ptCount val="2"/>
                <c:pt idx="0">
                  <c:v>0.53313650000000001</c:v>
                </c:pt>
                <c:pt idx="1">
                  <c:v>0.53313650000000001</c:v>
                </c:pt>
              </c:numCache>
            </c:numRef>
          </c:xVal>
          <c:yVal>
            <c:numRef>
              <c:f>'Inputs-Imperial'!$J$70:$J$71</c:f>
              <c:numCache>
                <c:formatCode>0.00</c:formatCode>
                <c:ptCount val="2"/>
                <c:pt idx="0">
                  <c:v>0</c:v>
                </c:pt>
                <c:pt idx="1">
                  <c:v>9.8425200000000004</c:v>
                </c:pt>
              </c:numCache>
            </c:numRef>
          </c:yVal>
          <c:smooth val="0"/>
          <c:extLst>
            <c:ext xmlns:c16="http://schemas.microsoft.com/office/drawing/2014/chart" uri="{C3380CC4-5D6E-409C-BE32-E72D297353CC}">
              <c16:uniqueId val="{00000004-A009-46E2-A5DE-B01EAB955491}"/>
            </c:ext>
          </c:extLst>
        </c:ser>
        <c:ser>
          <c:idx val="5"/>
          <c:order val="5"/>
          <c:tx>
            <c:v>Aft Web</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'Inputs-Imperial'!$I$72:$I$73</c:f>
              <c:numCache>
                <c:formatCode>0.00</c:formatCode>
                <c:ptCount val="2"/>
                <c:pt idx="0">
                  <c:v>1.5994095000000002</c:v>
                </c:pt>
                <c:pt idx="1">
                  <c:v>1.1072834999999999</c:v>
                </c:pt>
              </c:numCache>
            </c:numRef>
          </c:xVal>
          <c:yVal>
            <c:numRef>
              <c:f>'Inputs-Imperial'!$J$72:$J$73</c:f>
              <c:numCache>
                <c:formatCode>0.00</c:formatCode>
                <c:ptCount val="2"/>
                <c:pt idx="0">
                  <c:v>0</c:v>
                </c:pt>
                <c:pt idx="1">
                  <c:v>9.8425200000000004</c:v>
                </c:pt>
              </c:numCache>
            </c:numRef>
          </c:yVal>
          <c:smooth val="0"/>
          <c:extLst>
            <c:ext xmlns:c16="http://schemas.microsoft.com/office/drawing/2014/chart" uri="{C3380CC4-5D6E-409C-BE32-E72D297353CC}">
              <c16:uniqueId val="{00000006-A009-46E2-A5DE-B01EAB955491}"/>
            </c:ext>
          </c:extLst>
        </c:ser>
        <c:dLbls>
          <c:showLegendKey val="0"/>
          <c:showVal val="0"/>
          <c:showCatName val="0"/>
          <c:showSerName val="0"/>
          <c:showPercent val="0"/>
          <c:showBubbleSize val="0"/>
        </c:dLbls>
        <c:axId val="404383872"/>
        <c:axId val="404384656"/>
      </c:scatterChart>
      <c:valAx>
        <c:axId val="4043838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4656"/>
        <c:crosses val="autoZero"/>
        <c:crossBetween val="midCat"/>
        <c:majorUnit val="1"/>
      </c:valAx>
      <c:valAx>
        <c:axId val="404384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3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Loads!$J$20:$J$120</c:f>
              <c:numCache>
                <c:formatCode>0.0</c:formatCode>
                <c:ptCount val="101"/>
                <c:pt idx="0">
                  <c:v>0</c:v>
                </c:pt>
                <c:pt idx="1">
                  <c:v>15.5789644099352</c:v>
                </c:pt>
                <c:pt idx="2">
                  <c:v>15.541824392133869</c:v>
                </c:pt>
                <c:pt idx="3">
                  <c:v>15.503912308640242</c:v>
                </c:pt>
                <c:pt idx="4">
                  <c:v>15.465227695762721</c:v>
                </c:pt>
                <c:pt idx="5">
                  <c:v>15.425769857092975</c:v>
                </c:pt>
                <c:pt idx="6">
                  <c:v>15.385537862457275</c:v>
                </c:pt>
                <c:pt idx="7">
                  <c:v>15.344530546512763</c:v>
                </c:pt>
                <c:pt idx="8">
                  <c:v>15.30274650698329</c:v>
                </c:pt>
                <c:pt idx="9">
                  <c:v>15.260184102528948</c:v>
                </c:pt>
                <c:pt idx="10">
                  <c:v>15.216841450241455</c:v>
                </c:pt>
                <c:pt idx="11">
                  <c:v>15.172716422756451</c:v>
                </c:pt>
                <c:pt idx="12">
                  <c:v>15.127806644972621</c:v>
                </c:pt>
                <c:pt idx="13">
                  <c:v>15.082109490364736</c:v>
                </c:pt>
                <c:pt idx="14">
                  <c:v>15.035622076878706</c:v>
                </c:pt>
                <c:pt idx="15">
                  <c:v>14.988341262391382</c:v>
                </c:pt>
                <c:pt idx="16">
                  <c:v>14.940263639720268</c:v>
                </c:pt>
                <c:pt idx="17">
                  <c:v>14.891385531162133</c:v>
                </c:pt>
                <c:pt idx="18">
                  <c:v>14.841702982541394</c:v>
                </c:pt>
                <c:pt idx="19">
                  <c:v>14.79121175674406</c:v>
                </c:pt>
                <c:pt idx="20">
                  <c:v>14.739907326711677</c:v>
                </c:pt>
                <c:pt idx="21">
                  <c:v>14.687784867868286</c:v>
                </c:pt>
                <c:pt idx="22">
                  <c:v>14.634839249948634</c:v>
                </c:pt>
                <c:pt idx="23">
                  <c:v>14.581065028194132</c:v>
                </c:pt>
                <c:pt idx="24">
                  <c:v>14.526456433879678</c:v>
                </c:pt>
                <c:pt idx="25">
                  <c:v>14.471007364131655</c:v>
                </c:pt>
                <c:pt idx="26">
                  <c:v>14.41471137099067</c:v>
                </c:pt>
                <c:pt idx="27">
                  <c:v>14.357561649672846</c:v>
                </c:pt>
                <c:pt idx="28">
                  <c:v>14.299551025974569</c:v>
                </c:pt>
                <c:pt idx="29">
                  <c:v>14.240671942764266</c:v>
                </c:pt>
                <c:pt idx="30">
                  <c:v>14.180916445494958</c:v>
                </c:pt>
                <c:pt idx="31">
                  <c:v>14.120276166669944</c:v>
                </c:pt>
                <c:pt idx="32">
                  <c:v>14.058742309182801</c:v>
                </c:pt>
                <c:pt idx="33">
                  <c:v>13.996305628449276</c:v>
                </c:pt>
                <c:pt idx="34">
                  <c:v>13.932956413235397</c:v>
                </c:pt>
                <c:pt idx="35">
                  <c:v>13.868684465083236</c:v>
                </c:pt>
                <c:pt idx="36">
                  <c:v>13.80347907621886</c:v>
                </c:pt>
                <c:pt idx="37">
                  <c:v>13.737329005819275</c:v>
                </c:pt>
                <c:pt idx="38">
                  <c:v>13.670222454503707</c:v>
                </c:pt>
                <c:pt idx="39">
                  <c:v>13.602147036893461</c:v>
                </c:pt>
                <c:pt idx="40">
                  <c:v>13.533089752077716</c:v>
                </c:pt>
                <c:pt idx="41">
                  <c:v>13.463036951795084</c:v>
                </c:pt>
                <c:pt idx="42">
                  <c:v>13.39197430612931</c:v>
                </c:pt>
                <c:pt idx="43">
                  <c:v>13.319886766484583</c:v>
                </c:pt>
                <c:pt idx="44">
                  <c:v>13.246758525591691</c:v>
                </c:pt>
                <c:pt idx="45">
                  <c:v>13.172572974252986</c:v>
                </c:pt>
                <c:pt idx="46">
                  <c:v>13.097312654514679</c:v>
                </c:pt>
                <c:pt idx="47">
                  <c:v>13.020959208904898</c:v>
                </c:pt>
                <c:pt idx="48">
                  <c:v>12.943493325341093</c:v>
                </c:pt>
                <c:pt idx="49">
                  <c:v>12.864894677253833</c:v>
                </c:pt>
                <c:pt idx="50">
                  <c:v>12.785141858425572</c:v>
                </c:pt>
                <c:pt idx="51">
                  <c:v>12.704212311966064</c:v>
                </c:pt>
                <c:pt idx="52">
                  <c:v>12.622082252783713</c:v>
                </c:pt>
                <c:pt idx="53">
                  <c:v>12.53872658281472</c:v>
                </c:pt>
                <c:pt idx="54">
                  <c:v>12.454118798175475</c:v>
                </c:pt>
                <c:pt idx="55">
                  <c:v>12.368230887289545</c:v>
                </c:pt>
                <c:pt idx="56">
                  <c:v>12.281033218897235</c:v>
                </c:pt>
                <c:pt idx="57">
                  <c:v>12.192494418703287</c:v>
                </c:pt>
                <c:pt idx="58">
                  <c:v>12.102581233225937</c:v>
                </c:pt>
                <c:pt idx="59">
                  <c:v>12.011258379194329</c:v>
                </c:pt>
                <c:pt idx="60">
                  <c:v>11.91848837658053</c:v>
                </c:pt>
                <c:pt idx="61">
                  <c:v>11.824231363039393</c:v>
                </c:pt>
                <c:pt idx="62">
                  <c:v>11.728444887171408</c:v>
                </c:pt>
                <c:pt idx="63">
                  <c:v>11.631083677574759</c:v>
                </c:pt>
                <c:pt idx="64">
                  <c:v>11.532099384132911</c:v>
                </c:pt>
                <c:pt idx="65">
                  <c:v>11.431440287341642</c:v>
                </c:pt>
                <c:pt idx="66">
                  <c:v>11.32905097071435</c:v>
                </c:pt>
                <c:pt idx="67">
                  <c:v>11.224871950356242</c:v>
                </c:pt>
                <c:pt idx="68">
                  <c:v>11.118839254652011</c:v>
                </c:pt>
                <c:pt idx="69">
                  <c:v>11.010883945584876</c:v>
                </c:pt>
                <c:pt idx="70">
                  <c:v>10.900931571450284</c:v>
                </c:pt>
                <c:pt idx="71">
                  <c:v>10.788901538519632</c:v>
                </c:pt>
                <c:pt idx="72">
                  <c:v>10.674706386454895</c:v>
                </c:pt>
                <c:pt idx="73">
                  <c:v>10.558250948773724</c:v>
                </c:pt>
                <c:pt idx="74">
                  <c:v>10.439431375203084</c:v>
                </c:pt>
                <c:pt idx="75">
                  <c:v>10.318133987025769</c:v>
                </c:pt>
                <c:pt idx="76">
                  <c:v>10.194233929074457</c:v>
                </c:pt>
                <c:pt idx="77">
                  <c:v>10.067593572281236</c:v>
                </c:pt>
                <c:pt idx="78">
                  <c:v>9.9380606077767375</c:v>
                </c:pt>
                <c:pt idx="79">
                  <c:v>9.80546575626229</c:v>
                </c:pt>
                <c:pt idx="80">
                  <c:v>9.6696199929874851</c:v>
                </c:pt>
                <c:pt idx="81">
                  <c:v>9.5303111565621226</c:v>
                </c:pt>
                <c:pt idx="82">
                  <c:v>9.3872997651681818</c:v>
                </c:pt>
                <c:pt idx="83">
                  <c:v>9.2403138005942047</c:v>
                </c:pt>
                <c:pt idx="84">
                  <c:v>9.0890421297342048</c:v>
                </c:pt>
                <c:pt idx="85">
                  <c:v>8.9331261001606688</c:v>
                </c:pt>
                <c:pt idx="86">
                  <c:v>8.7721486473147809</c:v>
                </c:pt>
                <c:pt idx="87">
                  <c:v>8.6056199458410738</c:v>
                </c:pt>
                <c:pt idx="88">
                  <c:v>8.4329581577197228</c:v>
                </c:pt>
                <c:pt idx="89">
                  <c:v>8.2534630516778673</c:v>
                </c:pt>
                <c:pt idx="90">
                  <c:v>8.0662789620201671</c:v>
                </c:pt>
                <c:pt idx="91">
                  <c:v>7.8703412720518111</c:v>
                </c:pt>
                <c:pt idx="92">
                  <c:v>7.6642964241452702</c:v>
                </c:pt>
                <c:pt idx="93">
                  <c:v>7.4463773475261377</c:v>
                </c:pt>
                <c:pt idx="94">
                  <c:v>7.2141993425952844</c:v>
                </c:pt>
                <c:pt idx="95">
                  <c:v>6.9644032775894358</c:v>
                </c:pt>
                <c:pt idx="96">
                  <c:v>6.6919761261253985</c:v>
                </c:pt>
                <c:pt idx="97">
                  <c:v>6.3887923731173881</c:v>
                </c:pt>
                <c:pt idx="98">
                  <c:v>6.0398529779577244</c:v>
                </c:pt>
                <c:pt idx="99">
                  <c:v>5.6097438913901403</c:v>
                </c:pt>
                <c:pt idx="100">
                  <c:v>4.8054873579211943</c:v>
                </c:pt>
              </c:numCache>
            </c:numRef>
          </c:yVal>
          <c:smooth val="0"/>
          <c:extLst>
            <c:ext xmlns:c16="http://schemas.microsoft.com/office/drawing/2014/chart" uri="{C3380CC4-5D6E-409C-BE32-E72D297353CC}">
              <c16:uniqueId val="{00000000-6357-4C14-8547-5809DEC03CF6}"/>
            </c:ext>
          </c:extLst>
        </c:ser>
        <c:dLbls>
          <c:showLegendKey val="0"/>
          <c:showVal val="0"/>
          <c:showCatName val="0"/>
          <c:showSerName val="0"/>
          <c:showPercent val="0"/>
          <c:showBubbleSize val="0"/>
        </c:dLbls>
        <c:axId val="404385440"/>
        <c:axId val="404385832"/>
      </c:scatterChart>
      <c:valAx>
        <c:axId val="40438544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5832"/>
        <c:crosses val="autoZero"/>
        <c:crossBetween val="midCat"/>
      </c:valAx>
      <c:valAx>
        <c:axId val="4043858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 Dist [lbs/segment]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5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Loads!$M$20:$M$120</c:f>
              <c:numCache>
                <c:formatCode>0</c:formatCode>
                <c:ptCount val="101"/>
                <c:pt idx="0">
                  <c:v>1212.0459691554993</c:v>
                </c:pt>
                <c:pt idx="1">
                  <c:v>1196.4670047455641</c:v>
                </c:pt>
                <c:pt idx="2">
                  <c:v>1180.9251803534303</c:v>
                </c:pt>
                <c:pt idx="3">
                  <c:v>1165.4212680447899</c:v>
                </c:pt>
                <c:pt idx="4">
                  <c:v>1149.9560403490273</c:v>
                </c:pt>
                <c:pt idx="5">
                  <c:v>1134.5302704919343</c:v>
                </c:pt>
                <c:pt idx="6">
                  <c:v>1119.1447326294769</c:v>
                </c:pt>
                <c:pt idx="7">
                  <c:v>1103.8002020829642</c:v>
                </c:pt>
                <c:pt idx="8">
                  <c:v>1088.4974555759809</c:v>
                </c:pt>
                <c:pt idx="9">
                  <c:v>1073.237271473452</c:v>
                </c:pt>
                <c:pt idx="10">
                  <c:v>1058.0204300232106</c:v>
                </c:pt>
                <c:pt idx="11">
                  <c:v>1042.8477136004542</c:v>
                </c:pt>
                <c:pt idx="12">
                  <c:v>1027.7199069554815</c:v>
                </c:pt>
                <c:pt idx="13">
                  <c:v>1012.6377974651168</c:v>
                </c:pt>
                <c:pt idx="14">
                  <c:v>997.60217538823815</c:v>
                </c:pt>
                <c:pt idx="15">
                  <c:v>982.61383412584678</c:v>
                </c:pt>
                <c:pt idx="16">
                  <c:v>967.67357048612655</c:v>
                </c:pt>
                <c:pt idx="17">
                  <c:v>952.78218495496446</c:v>
                </c:pt>
                <c:pt idx="18">
                  <c:v>937.94048197242307</c:v>
                </c:pt>
                <c:pt idx="19">
                  <c:v>923.14927021567905</c:v>
                </c:pt>
                <c:pt idx="20">
                  <c:v>908.40936288896739</c:v>
                </c:pt>
                <c:pt idx="21">
                  <c:v>893.72157802109916</c:v>
                </c:pt>
                <c:pt idx="22">
                  <c:v>879.08673877115052</c:v>
                </c:pt>
                <c:pt idx="23">
                  <c:v>864.50567374295633</c:v>
                </c:pt>
                <c:pt idx="24">
                  <c:v>849.9792173090766</c:v>
                </c:pt>
                <c:pt idx="25">
                  <c:v>835.50820994494495</c:v>
                </c:pt>
                <c:pt idx="26">
                  <c:v>821.09349857395432</c:v>
                </c:pt>
                <c:pt idx="27">
                  <c:v>806.73593692428153</c:v>
                </c:pt>
                <c:pt idx="28">
                  <c:v>792.43638589830698</c:v>
                </c:pt>
                <c:pt idx="29">
                  <c:v>778.19571395554271</c:v>
                </c:pt>
                <c:pt idx="30">
                  <c:v>764.01479751004774</c:v>
                </c:pt>
                <c:pt idx="31">
                  <c:v>749.89452134337785</c:v>
                </c:pt>
                <c:pt idx="32">
                  <c:v>735.83577903419507</c:v>
                </c:pt>
                <c:pt idx="33">
                  <c:v>721.83947340574582</c:v>
                </c:pt>
                <c:pt idx="34">
                  <c:v>707.90651699251043</c:v>
                </c:pt>
                <c:pt idx="35">
                  <c:v>694.03783252742721</c:v>
                </c:pt>
                <c:pt idx="36">
                  <c:v>680.23435345120834</c:v>
                </c:pt>
                <c:pt idx="37">
                  <c:v>666.49702444538912</c:v>
                </c:pt>
                <c:pt idx="38">
                  <c:v>652.82680199088543</c:v>
                </c:pt>
                <c:pt idx="39">
                  <c:v>639.22465495399194</c:v>
                </c:pt>
                <c:pt idx="40">
                  <c:v>625.69156520191427</c:v>
                </c:pt>
                <c:pt idx="41">
                  <c:v>612.22852825011921</c:v>
                </c:pt>
                <c:pt idx="42">
                  <c:v>598.83655394398988</c:v>
                </c:pt>
                <c:pt idx="43">
                  <c:v>585.51666717750527</c:v>
                </c:pt>
                <c:pt idx="44">
                  <c:v>572.26990865191362</c:v>
                </c:pt>
                <c:pt idx="45">
                  <c:v>559.09733567766068</c:v>
                </c:pt>
                <c:pt idx="46">
                  <c:v>546.00002302314601</c:v>
                </c:pt>
                <c:pt idx="47">
                  <c:v>532.97906381424116</c:v>
                </c:pt>
                <c:pt idx="48">
                  <c:v>520.03557048890002</c:v>
                </c:pt>
                <c:pt idx="49">
                  <c:v>507.17067581164622</c:v>
                </c:pt>
                <c:pt idx="50">
                  <c:v>494.38553395322066</c:v>
                </c:pt>
                <c:pt idx="51">
                  <c:v>481.68132164125461</c:v>
                </c:pt>
                <c:pt idx="52">
                  <c:v>469.05923938847093</c:v>
                </c:pt>
                <c:pt idx="53">
                  <c:v>456.52051280565621</c:v>
                </c:pt>
                <c:pt idx="54">
                  <c:v>444.06639400748071</c:v>
                </c:pt>
                <c:pt idx="55">
                  <c:v>431.69816312019117</c:v>
                </c:pt>
                <c:pt idx="56">
                  <c:v>419.41712990129395</c:v>
                </c:pt>
                <c:pt idx="57">
                  <c:v>407.22463548259066</c:v>
                </c:pt>
                <c:pt idx="58">
                  <c:v>395.12205424936474</c:v>
                </c:pt>
                <c:pt idx="59">
                  <c:v>383.11079587017042</c:v>
                </c:pt>
                <c:pt idx="60">
                  <c:v>371.19230749358991</c:v>
                </c:pt>
                <c:pt idx="61">
                  <c:v>359.36807613055049</c:v>
                </c:pt>
                <c:pt idx="62">
                  <c:v>347.63963124337909</c:v>
                </c:pt>
                <c:pt idx="63">
                  <c:v>336.00854756580435</c:v>
                </c:pt>
                <c:pt idx="64">
                  <c:v>324.47644818167146</c:v>
                </c:pt>
                <c:pt idx="65">
                  <c:v>313.04500789432984</c:v>
                </c:pt>
                <c:pt idx="66">
                  <c:v>301.71595692361547</c:v>
                </c:pt>
                <c:pt idx="67">
                  <c:v>290.49108497325921</c:v>
                </c:pt>
                <c:pt idx="68">
                  <c:v>279.37224571860719</c:v>
                </c:pt>
                <c:pt idx="69">
                  <c:v>268.36136177302234</c:v>
                </c:pt>
                <c:pt idx="70">
                  <c:v>257.46043020157208</c:v>
                </c:pt>
                <c:pt idx="71">
                  <c:v>246.67152866305247</c:v>
                </c:pt>
                <c:pt idx="72">
                  <c:v>235.99682227659758</c:v>
                </c:pt>
                <c:pt idx="73">
                  <c:v>225.43857132782387</c:v>
                </c:pt>
                <c:pt idx="74">
                  <c:v>214.99913995262079</c:v>
                </c:pt>
                <c:pt idx="75">
                  <c:v>204.68100596559503</c:v>
                </c:pt>
                <c:pt idx="76">
                  <c:v>194.48677203652056</c:v>
                </c:pt>
                <c:pt idx="77">
                  <c:v>184.41917846423934</c:v>
                </c:pt>
                <c:pt idx="78">
                  <c:v>174.48111785646259</c:v>
                </c:pt>
                <c:pt idx="79">
                  <c:v>164.6756521002003</c:v>
                </c:pt>
                <c:pt idx="80">
                  <c:v>155.0060321072128</c:v>
                </c:pt>
                <c:pt idx="81">
                  <c:v>145.47572095065067</c:v>
                </c:pt>
                <c:pt idx="82">
                  <c:v>136.08842118548247</c:v>
                </c:pt>
                <c:pt idx="83">
                  <c:v>126.84810738488827</c:v>
                </c:pt>
                <c:pt idx="84">
                  <c:v>117.75906525515406</c:v>
                </c:pt>
                <c:pt idx="85">
                  <c:v>108.82593915499339</c:v>
                </c:pt>
                <c:pt idx="86">
                  <c:v>100.05379050767861</c:v>
                </c:pt>
                <c:pt idx="87">
                  <c:v>91.448170561837543</c:v>
                </c:pt>
                <c:pt idx="88">
                  <c:v>83.015212404117818</c:v>
                </c:pt>
                <c:pt idx="89">
                  <c:v>74.761749352439949</c:v>
                </c:pt>
                <c:pt idx="90">
                  <c:v>66.695470390419786</c:v>
                </c:pt>
                <c:pt idx="91">
                  <c:v>58.825129118367968</c:v>
                </c:pt>
                <c:pt idx="92">
                  <c:v>51.160832694222698</c:v>
                </c:pt>
                <c:pt idx="93">
                  <c:v>43.71445534669656</c:v>
                </c:pt>
                <c:pt idx="94">
                  <c:v>36.500256004101274</c:v>
                </c:pt>
                <c:pt idx="95">
                  <c:v>29.535852726511841</c:v>
                </c:pt>
                <c:pt idx="96">
                  <c:v>22.843876600386444</c:v>
                </c:pt>
                <c:pt idx="97">
                  <c:v>16.455084227269058</c:v>
                </c:pt>
                <c:pt idx="98">
                  <c:v>10.415231249311335</c:v>
                </c:pt>
                <c:pt idx="99">
                  <c:v>4.8054873579211943</c:v>
                </c:pt>
                <c:pt idx="100">
                  <c:v>0</c:v>
                </c:pt>
              </c:numCache>
            </c:numRef>
          </c:yVal>
          <c:smooth val="0"/>
          <c:extLst>
            <c:ext xmlns:c16="http://schemas.microsoft.com/office/drawing/2014/chart" uri="{C3380CC4-5D6E-409C-BE32-E72D297353CC}">
              <c16:uniqueId val="{00000000-2F24-4FE2-86D0-7E7EDE3C10D4}"/>
            </c:ext>
          </c:extLst>
        </c:ser>
        <c:dLbls>
          <c:showLegendKey val="0"/>
          <c:showVal val="0"/>
          <c:showCatName val="0"/>
          <c:showSerName val="0"/>
          <c:showPercent val="0"/>
          <c:showBubbleSize val="0"/>
        </c:dLbls>
        <c:axId val="401969152"/>
        <c:axId val="401969544"/>
      </c:scatterChart>
      <c:valAx>
        <c:axId val="4019691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9544"/>
        <c:crosses val="autoZero"/>
        <c:crossBetween val="midCat"/>
      </c:valAx>
      <c:valAx>
        <c:axId val="4019695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Shear [lbs]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91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Loads!$N$20:$N$120</c:f>
              <c:numCache>
                <c:formatCode>0</c:formatCode>
                <c:ptCount val="101"/>
                <c:pt idx="0">
                  <c:v>5274.2445856614158</c:v>
                </c:pt>
                <c:pt idx="1">
                  <c:v>5154.9487187380919</c:v>
                </c:pt>
                <c:pt idx="2">
                  <c:v>5037.1862145026089</c:v>
                </c:pt>
                <c:pt idx="3">
                  <c:v>4920.9534174412865</c:v>
                </c:pt>
                <c:pt idx="4">
                  <c:v>4806.2465960497248</c:v>
                </c:pt>
                <c:pt idx="5">
                  <c:v>4693.0619427871634</c:v>
                </c:pt>
                <c:pt idx="6">
                  <c:v>4581.3955740079409</c:v>
                </c:pt>
                <c:pt idx="7">
                  <c:v>4471.2435298699384</c:v>
                </c:pt>
                <c:pt idx="8">
                  <c:v>4362.6017742198819</c:v>
                </c:pt>
                <c:pt idx="9">
                  <c:v>4255.4661944553245</c:v>
                </c:pt>
                <c:pt idx="10">
                  <c:v>4149.8326013630958</c:v>
                </c:pt>
                <c:pt idx="11">
                  <c:v>4045.696728933975</c:v>
                </c:pt>
                <c:pt idx="12">
                  <c:v>3943.0542341533073</c:v>
                </c:pt>
                <c:pt idx="13">
                  <c:v>3841.9006967672326</c:v>
                </c:pt>
                <c:pt idx="14">
                  <c:v>3742.231619024169</c:v>
                </c:pt>
                <c:pt idx="15">
                  <c:v>3644.0424253911469</c:v>
                </c:pt>
                <c:pt idx="16">
                  <c:v>3547.3284622445435</c:v>
                </c:pt>
                <c:pt idx="17">
                  <c:v>3452.0849975347323</c:v>
                </c:pt>
                <c:pt idx="18">
                  <c:v>3358.307220424103</c:v>
                </c:pt>
                <c:pt idx="19">
                  <c:v>3265.9902408978705</c:v>
                </c:pt>
                <c:pt idx="20">
                  <c:v>3175.1290893470382</c:v>
                </c:pt>
                <c:pt idx="21">
                  <c:v>3085.7187161228189</c:v>
                </c:pt>
                <c:pt idx="22">
                  <c:v>2997.7539910617766</c:v>
                </c:pt>
                <c:pt idx="23">
                  <c:v>2911.2297029808778</c:v>
                </c:pt>
                <c:pt idx="24">
                  <c:v>2826.1405591415928</c:v>
                </c:pt>
                <c:pt idx="25">
                  <c:v>2742.4811846821035</c:v>
                </c:pt>
                <c:pt idx="26">
                  <c:v>2660.2461220166306</c:v>
                </c:pt>
                <c:pt idx="27">
                  <c:v>2579.4298302007892</c:v>
                </c:pt>
                <c:pt idx="28">
                  <c:v>2500.0266842618294</c:v>
                </c:pt>
                <c:pt idx="29">
                  <c:v>2422.0309744925116</c:v>
                </c:pt>
                <c:pt idx="30">
                  <c:v>2345.4369057072945</c:v>
                </c:pt>
                <c:pt idx="31">
                  <c:v>2270.2385964594082</c:v>
                </c:pt>
                <c:pt idx="32">
                  <c:v>2196.4300782172822</c:v>
                </c:pt>
                <c:pt idx="33">
                  <c:v>2124.0052944986855</c:v>
                </c:pt>
                <c:pt idx="34">
                  <c:v>2052.9580999608306</c:v>
                </c:pt>
                <c:pt idx="35">
                  <c:v>1983.2822594445397</c:v>
                </c:pt>
                <c:pt idx="36">
                  <c:v>1914.9714469704609</c:v>
                </c:pt>
                <c:pt idx="37">
                  <c:v>1848.0192446851552</c:v>
                </c:pt>
                <c:pt idx="38">
                  <c:v>1782.4191417547127</c:v>
                </c:pt>
                <c:pt idx="39">
                  <c:v>1718.1645332033995</c:v>
                </c:pt>
                <c:pt idx="40">
                  <c:v>1655.2487186946216</c:v>
                </c:pt>
                <c:pt idx="41">
                  <c:v>1593.6649012513105</c:v>
                </c:pt>
                <c:pt idx="42">
                  <c:v>1533.4061859125868</c:v>
                </c:pt>
                <c:pt idx="43">
                  <c:v>1474.4655783233391</c:v>
                </c:pt>
                <c:pt idx="44">
                  <c:v>1416.8359832530596</c:v>
                </c:pt>
                <c:pt idx="45">
                  <c:v>1360.510203040013</c:v>
                </c:pt>
                <c:pt idx="46">
                  <c:v>1305.480935956472</c:v>
                </c:pt>
                <c:pt idx="47">
                  <c:v>1251.7407744904144</c:v>
                </c:pt>
                <c:pt idx="48">
                  <c:v>1199.2822035386848</c:v>
                </c:pt>
                <c:pt idx="49">
                  <c:v>1148.0975985062009</c:v>
                </c:pt>
                <c:pt idx="50">
                  <c:v>1098.1792233053043</c:v>
                </c:pt>
                <c:pt idx="51">
                  <c:v>1049.5192282488515</c:v>
                </c:pt>
                <c:pt idx="52">
                  <c:v>1002.109647830047</c:v>
                </c:pt>
                <c:pt idx="53">
                  <c:v>955.94239838138878</c:v>
                </c:pt>
                <c:pt idx="54">
                  <c:v>911.00927560438936</c:v>
                </c:pt>
                <c:pt idx="55">
                  <c:v>867.30195196092416</c:v>
                </c:pt>
                <c:pt idx="56">
                  <c:v>824.81197391618696</c:v>
                </c:pt>
                <c:pt idx="57">
                  <c:v>783.53075902222633</c:v>
                </c:pt>
                <c:pt idx="58">
                  <c:v>743.44959282992511</c:v>
                </c:pt>
                <c:pt idx="59">
                  <c:v>704.55962561602075</c:v>
                </c:pt>
                <c:pt idx="60">
                  <c:v>666.85186891033993</c:v>
                </c:pt>
                <c:pt idx="61">
                  <c:v>630.31719180682171</c:v>
                </c:pt>
                <c:pt idx="62">
                  <c:v>594.9463170400569</c:v>
                </c:pt>
                <c:pt idx="63">
                  <c:v>560.72981680700127</c:v>
                </c:pt>
                <c:pt idx="64">
                  <c:v>527.65810831112731</c:v>
                </c:pt>
                <c:pt idx="65">
                  <c:v>495.72144900355653</c:v>
                </c:pt>
                <c:pt idx="66">
                  <c:v>464.90993149255542</c:v>
                </c:pt>
                <c:pt idx="67">
                  <c:v>435.21347808915732</c:v>
                </c:pt>
                <c:pt idx="68">
                  <c:v>406.62183495244722</c:v>
                </c:pt>
                <c:pt idx="69">
                  <c:v>379.12456579314431</c:v>
                </c:pt>
                <c:pt idx="70">
                  <c:v>352.71104508836237</c:v>
                </c:pt>
                <c:pt idx="71">
                  <c:v>327.3704507536865</c:v>
                </c:pt>
                <c:pt idx="72">
                  <c:v>303.09175621071972</c:v>
                </c:pt>
                <c:pt idx="73">
                  <c:v>279.8637217787811</c:v>
                </c:pt>
                <c:pt idx="74">
                  <c:v>257.67488530812591</c:v>
                </c:pt>
                <c:pt idx="75">
                  <c:v>236.51355195846114</c:v>
                </c:pt>
                <c:pt idx="76">
                  <c:v>216.36778301009619</c:v>
                </c:pt>
                <c:pt idx="77">
                  <c:v>197.22538357504735</c:v>
                </c:pt>
                <c:pt idx="78">
                  <c:v>179.07388905086884</c:v>
                </c:pt>
                <c:pt idx="79">
                  <c:v>161.90055012962287</c:v>
                </c:pt>
                <c:pt idx="80">
                  <c:v>145.6923161365302</c:v>
                </c:pt>
                <c:pt idx="81">
                  <c:v>130.43581642517145</c:v>
                </c:pt>
                <c:pt idx="82">
                  <c:v>116.11733949545956</c:v>
                </c:pt>
                <c:pt idx="83">
                  <c:v>102.7228094225943</c:v>
                </c:pt>
                <c:pt idx="84">
                  <c:v>90.237759083615032</c:v>
                </c:pt>
                <c:pt idx="85">
                  <c:v>78.647299534063507</c:v>
                </c:pt>
                <c:pt idx="86">
                  <c:v>67.936084707545518</c:v>
                </c:pt>
                <c:pt idx="87">
                  <c:v>58.088270366069025</c:v>
                </c:pt>
                <c:pt idx="88">
                  <c:v>49.087465888886101</c:v>
                </c:pt>
                <c:pt idx="89">
                  <c:v>40.916677004968221</c:v>
                </c:pt>
                <c:pt idx="90">
                  <c:v>33.558236872604489</c:v>
                </c:pt>
                <c:pt idx="91">
                  <c:v>26.99372186033338</c:v>
                </c:pt>
                <c:pt idx="92">
                  <c:v>21.203846761832118</c:v>
                </c:pt>
                <c:pt idx="93">
                  <c:v>16.16833157173674</c:v>
                </c:pt>
                <c:pt idx="94">
                  <c:v>11.865727561347086</c:v>
                </c:pt>
                <c:pt idx="95">
                  <c:v>8.2731825640922381</c:v>
                </c:pt>
                <c:pt idx="96">
                  <c:v>5.3661103523147293</c:v>
                </c:pt>
                <c:pt idx="97">
                  <c:v>3.117697229146386</c:v>
                </c:pt>
                <c:pt idx="98">
                  <c:v>1.4981022730605928</c:v>
                </c:pt>
                <c:pt idx="99">
                  <c:v>0.4729810543008624</c:v>
                </c:pt>
                <c:pt idx="100">
                  <c:v>0</c:v>
                </c:pt>
              </c:numCache>
            </c:numRef>
          </c:yVal>
          <c:smooth val="0"/>
          <c:extLst>
            <c:ext xmlns:c16="http://schemas.microsoft.com/office/drawing/2014/chart" uri="{C3380CC4-5D6E-409C-BE32-E72D297353CC}">
              <c16:uniqueId val="{00000000-6BBD-4477-A71C-64FFA53B09B7}"/>
            </c:ext>
          </c:extLst>
        </c:ser>
        <c:dLbls>
          <c:showLegendKey val="0"/>
          <c:showVal val="0"/>
          <c:showCatName val="0"/>
          <c:showSerName val="0"/>
          <c:showPercent val="0"/>
          <c:showBubbleSize val="0"/>
        </c:dLbls>
        <c:axId val="401964448"/>
        <c:axId val="401964840"/>
      </c:scatterChart>
      <c:valAx>
        <c:axId val="4019644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4840"/>
        <c:crosses val="autoZero"/>
        <c:crossBetween val="midCat"/>
      </c:valAx>
      <c:valAx>
        <c:axId val="4019648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Moment [ft-lbs]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4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Main</a:t>
            </a:r>
            <a:r>
              <a:rPr lang="en-US" baseline="0"/>
              <a:t> Spar Caps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4"/>
          <c:order val="0"/>
          <c:tx>
            <c:strRef>
              <c:f>Sizing!$DQ$59</c:f>
              <c:strCache>
                <c:ptCount val="1"/>
                <c:pt idx="0">
                  <c:v>Vert Spar
Comp.
Cap Area [in^2]</c:v>
                </c:pt>
              </c:strCache>
            </c:strRef>
          </c:tx>
          <c:spPr>
            <a:ln w="25400" cap="rnd">
              <a:noFill/>
              <a:round/>
            </a:ln>
            <a:effectLst/>
          </c:spPr>
          <c:marker>
            <c:symbol val="circle"/>
            <c:size val="5"/>
            <c:spPr>
              <a:solidFill>
                <a:schemeClr val="accent5"/>
              </a:solidFill>
              <a:ln w="9525">
                <a:solidFill>
                  <a:schemeClr val="accent5"/>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Sizing!$DQ$60:$DQ$160</c:f>
              <c:numCache>
                <c:formatCode>0.00</c:formatCode>
                <c:ptCount val="101"/>
                <c:pt idx="0">
                  <c:v>0.41283788277202987</c:v>
                </c:pt>
                <c:pt idx="1">
                  <c:v>0.40505043216520226</c:v>
                </c:pt>
                <c:pt idx="2">
                  <c:v>0.39732269933911063</c:v>
                </c:pt>
                <c:pt idx="3">
                  <c:v>0.38965516031994429</c:v>
                </c:pt>
                <c:pt idx="4">
                  <c:v>0.38204829119054518</c:v>
                </c:pt>
                <c:pt idx="5">
                  <c:v>0.37450256807460308</c:v>
                </c:pt>
                <c:pt idx="6">
                  <c:v>0.36701846711856406</c:v>
                </c:pt>
                <c:pt idx="7">
                  <c:v>0.35959646447119403</c:v>
                </c:pt>
                <c:pt idx="8">
                  <c:v>0.35223703626073055</c:v>
                </c:pt>
                <c:pt idx="9">
                  <c:v>0.34494065856955225</c:v>
                </c:pt>
                <c:pt idx="10">
                  <c:v>0.33770780740629297</c:v>
                </c:pt>
                <c:pt idx="11">
                  <c:v>0.33053895867531824</c:v>
                </c:pt>
                <c:pt idx="12">
                  <c:v>0.3234345881434823</c:v>
                </c:pt>
                <c:pt idx="13">
                  <c:v>0.31639517140407308</c:v>
                </c:pt>
                <c:pt idx="14">
                  <c:v>0.30942118383784922</c:v>
                </c:pt>
                <c:pt idx="15">
                  <c:v>0.30251310057106856</c:v>
                </c:pt>
                <c:pt idx="16">
                  <c:v>0.29567139643039975</c:v>
                </c:pt>
                <c:pt idx="17">
                  <c:v>0.28889654589459995</c:v>
                </c:pt>
                <c:pt idx="18">
                  <c:v>0.28218902304284071</c:v>
                </c:pt>
                <c:pt idx="19">
                  <c:v>0.27554930149954959</c:v>
                </c:pt>
                <c:pt idx="20">
                  <c:v>0.26897785437563354</c:v>
                </c:pt>
                <c:pt idx="21">
                  <c:v>0.26247515420593531</c:v>
                </c:pt>
                <c:pt idx="22">
                  <c:v>0.25604167288277535</c:v>
                </c:pt>
                <c:pt idx="23">
                  <c:v>0.24967788158540852</c:v>
                </c:pt>
                <c:pt idx="24">
                  <c:v>0.24338425070523056</c:v>
                </c:pt>
                <c:pt idx="25">
                  <c:v>0.23716124976654498</c:v>
                </c:pt>
                <c:pt idx="26">
                  <c:v>0.23100934734269979</c:v>
                </c:pt>
                <c:pt idx="27">
                  <c:v>0.22492901096738685</c:v>
                </c:pt>
                <c:pt idx="28">
                  <c:v>0.21892070704088493</c:v>
                </c:pt>
                <c:pt idx="29">
                  <c:v>0.21298490073101356</c:v>
                </c:pt>
                <c:pt idx="30">
                  <c:v>0.20712205586855234</c:v>
                </c:pt>
                <c:pt idx="31">
                  <c:v>0.20133263483686159</c:v>
                </c:pt>
                <c:pt idx="32">
                  <c:v>0.19561709845542616</c:v>
                </c:pt>
                <c:pt idx="33">
                  <c:v>0.1899759058570257</c:v>
                </c:pt>
                <c:pt idx="34">
                  <c:v>0.18440951435821415</c:v>
                </c:pt>
                <c:pt idx="35">
                  <c:v>0.1789183793227723</c:v>
                </c:pt>
                <c:pt idx="36">
                  <c:v>0.17350295401777424</c:v>
                </c:pt>
                <c:pt idx="37">
                  <c:v>0.16816368946188287</c:v>
                </c:pt>
                <c:pt idx="38">
                  <c:v>0.16290103426546698</c:v>
                </c:pt>
                <c:pt idx="39">
                  <c:v>0.15771543446210026</c:v>
                </c:pt>
                <c:pt idx="40">
                  <c:v>0.15260733333097529</c:v>
                </c:pt>
                <c:pt idx="41">
                  <c:v>0.14757717120973043</c:v>
                </c:pt>
                <c:pt idx="42">
                  <c:v>0.14262538529715146</c:v>
                </c:pt>
                <c:pt idx="43">
                  <c:v>0.13775240944517303</c:v>
                </c:pt>
                <c:pt idx="44">
                  <c:v>0.13295867393955776</c:v>
                </c:pt>
                <c:pt idx="45">
                  <c:v>0.12824460526858969</c:v>
                </c:pt>
                <c:pt idx="46">
                  <c:v>0.1236106258790622</c:v>
                </c:pt>
                <c:pt idx="47">
                  <c:v>0.11905715391878928</c:v>
                </c:pt>
                <c:pt idx="48">
                  <c:v>0.11458460296480487</c:v>
                </c:pt>
                <c:pt idx="49">
                  <c:v>0.110193381736349</c:v>
                </c:pt>
                <c:pt idx="50">
                  <c:v>0.10588389379166488</c:v>
                </c:pt>
                <c:pt idx="51">
                  <c:v>0.10165653720755022</c:v>
                </c:pt>
                <c:pt idx="52">
                  <c:v>9.7511704240514183E-2</c:v>
                </c:pt>
                <c:pt idx="53">
                  <c:v>9.3449780968293636E-2</c:v>
                </c:pt>
                <c:pt idx="54">
                  <c:v>8.9471146910370003E-2</c:v>
                </c:pt>
                <c:pt idx="55">
                  <c:v>8.5576174626005877E-2</c:v>
                </c:pt>
                <c:pt idx="56">
                  <c:v>8.176522928818214E-2</c:v>
                </c:pt>
                <c:pt idx="57">
                  <c:v>7.8038668231665068E-2</c:v>
                </c:pt>
                <c:pt idx="58">
                  <c:v>7.4396840473259812E-2</c:v>
                </c:pt>
                <c:pt idx="59">
                  <c:v>7.0840086202114863E-2</c:v>
                </c:pt>
                <c:pt idx="60">
                  <c:v>6.7368736237725546E-2</c:v>
                </c:pt>
                <c:pt idx="61">
                  <c:v>6.3983111453041003E-2</c:v>
                </c:pt>
                <c:pt idx="62">
                  <c:v>6.0683522159800996E-2</c:v>
                </c:pt>
                <c:pt idx="63">
                  <c:v>5.7470267452917584E-2</c:v>
                </c:pt>
                <c:pt idx="64">
                  <c:v>5.4343634510357196E-2</c:v>
                </c:pt>
                <c:pt idx="65">
                  <c:v>5.1303897844572698E-2</c:v>
                </c:pt>
                <c:pt idx="66">
                  <c:v>4.8351318501065263E-2</c:v>
                </c:pt>
                <c:pt idx="67">
                  <c:v>4.5486143199119144E-2</c:v>
                </c:pt>
                <c:pt idx="68">
                  <c:v>4.2708603409129534E-2</c:v>
                </c:pt>
                <c:pt idx="69">
                  <c:v>4.0018914360223021E-2</c:v>
                </c:pt>
                <c:pt idx="70">
                  <c:v>3.7417273971028842E-2</c:v>
                </c:pt>
                <c:pt idx="71">
                  <c:v>3.4903861695475977E-2</c:v>
                </c:pt>
                <c:pt idx="72">
                  <c:v>3.2478837274333296E-2</c:v>
                </c:pt>
                <c:pt idx="73">
                  <c:v>3.0142339381841316E-2</c:v>
                </c:pt>
                <c:pt idx="74">
                  <c:v>2.7894484155157082E-2</c:v>
                </c:pt>
                <c:pt idx="75">
                  <c:v>2.5735363592385731E-2</c:v>
                </c:pt>
                <c:pt idx="76">
                  <c:v>2.3665043802629671E-2</c:v>
                </c:pt>
                <c:pt idx="77">
                  <c:v>2.1683563088642718E-2</c:v>
                </c:pt>
                <c:pt idx="78">
                  <c:v>1.9790929839207643E-2</c:v>
                </c:pt>
                <c:pt idx="79">
                  <c:v>1.798712020408276E-2</c:v>
                </c:pt>
                <c:pt idx="80">
                  <c:v>1.6272075519057922E-2</c:v>
                </c:pt>
                <c:pt idx="81">
                  <c:v>1.4645699442011738E-2</c:v>
                </c:pt>
                <c:pt idx="82">
                  <c:v>1.3107854752441774E-2</c:v>
                </c:pt>
                <c:pt idx="83">
                  <c:v>1.1658359756158341E-2</c:v>
                </c:pt>
                <c:pt idx="84">
                  <c:v>1.0296984222856189E-2</c:v>
                </c:pt>
                <c:pt idx="85">
                  <c:v>9.0234447659139835E-3</c:v>
                </c:pt>
                <c:pt idx="86">
                  <c:v>7.8373995492736354E-3</c:v>
                </c:pt>
                <c:pt idx="87">
                  <c:v>6.7384421730214712E-3</c:v>
                </c:pt>
                <c:pt idx="88">
                  <c:v>5.7260945433552741E-3</c:v>
                </c:pt>
                <c:pt idx="89">
                  <c:v>4.7997984677473097E-3</c:v>
                </c:pt>
                <c:pt idx="90">
                  <c:v>3.9589056222337476E-3</c:v>
                </c:pt>
                <c:pt idx="91">
                  <c:v>3.2026653980220567E-3</c:v>
                </c:pt>
                <c:pt idx="92">
                  <c:v>2.5302099196617962E-3</c:v>
                </c:pt>
                <c:pt idx="93">
                  <c:v>1.9405351832598647E-3</c:v>
                </c:pt>
                <c:pt idx="94">
                  <c:v>1.4324766870412995E-3</c:v>
                </c:pt>
                <c:pt idx="95">
                  <c:v>1.0046769034297266E-3</c:v>
                </c:pt>
                <c:pt idx="96">
                  <c:v>6.5553998733900462E-4</c:v>
                </c:pt>
                <c:pt idx="97">
                  <c:v>3.8316500552848412E-4</c:v>
                </c:pt>
                <c:pt idx="98">
                  <c:v>1.8523909916327874E-4</c:v>
                </c:pt>
                <c:pt idx="99">
                  <c:v>5.884298975629405E-5</c:v>
                </c:pt>
                <c:pt idx="100">
                  <c:v>0</c:v>
                </c:pt>
              </c:numCache>
            </c:numRef>
          </c:yVal>
          <c:smooth val="0"/>
          <c:extLst>
            <c:ext xmlns:c16="http://schemas.microsoft.com/office/drawing/2014/chart" uri="{C3380CC4-5D6E-409C-BE32-E72D297353CC}">
              <c16:uniqueId val="{00000000-D8BA-4F41-BF36-11BD020FA0E0}"/>
            </c:ext>
          </c:extLst>
        </c:ser>
        <c:ser>
          <c:idx val="7"/>
          <c:order val="1"/>
          <c:tx>
            <c:strRef>
              <c:f>Sizing!$DS$59</c:f>
              <c:strCache>
                <c:ptCount val="1"/>
                <c:pt idx="0">
                  <c:v>Vert Spar
Tension
Cap Area [in^2]</c:v>
                </c:pt>
              </c:strCache>
            </c:strRef>
          </c:tx>
          <c:spPr>
            <a:ln w="2540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Sizing!$DS$60:$DS$160</c:f>
              <c:numCache>
                <c:formatCode>0.00</c:formatCode>
                <c:ptCount val="101"/>
                <c:pt idx="0">
                  <c:v>0.41283788277202987</c:v>
                </c:pt>
                <c:pt idx="1">
                  <c:v>0.40505043216520226</c:v>
                </c:pt>
                <c:pt idx="2">
                  <c:v>0.39732269933911063</c:v>
                </c:pt>
                <c:pt idx="3">
                  <c:v>0.38965516031994429</c:v>
                </c:pt>
                <c:pt idx="4">
                  <c:v>0.38204829119054518</c:v>
                </c:pt>
                <c:pt idx="5">
                  <c:v>0.37450256807460308</c:v>
                </c:pt>
                <c:pt idx="6">
                  <c:v>0.36701846711856406</c:v>
                </c:pt>
                <c:pt idx="7">
                  <c:v>0.35959646447119403</c:v>
                </c:pt>
                <c:pt idx="8">
                  <c:v>0.35223703626073055</c:v>
                </c:pt>
                <c:pt idx="9">
                  <c:v>0.34494065856955225</c:v>
                </c:pt>
                <c:pt idx="10">
                  <c:v>0.33770780740629297</c:v>
                </c:pt>
                <c:pt idx="11">
                  <c:v>0.33053895867531824</c:v>
                </c:pt>
                <c:pt idx="12">
                  <c:v>0.3234345881434823</c:v>
                </c:pt>
                <c:pt idx="13">
                  <c:v>0.31639517140407308</c:v>
                </c:pt>
                <c:pt idx="14">
                  <c:v>0.30942118383784922</c:v>
                </c:pt>
                <c:pt idx="15">
                  <c:v>0.30251310057106856</c:v>
                </c:pt>
                <c:pt idx="16">
                  <c:v>0.29567139643039975</c:v>
                </c:pt>
                <c:pt idx="17">
                  <c:v>0.28889654589459995</c:v>
                </c:pt>
                <c:pt idx="18">
                  <c:v>0.28218902304284071</c:v>
                </c:pt>
                <c:pt idx="19">
                  <c:v>0.27554930149954959</c:v>
                </c:pt>
                <c:pt idx="20">
                  <c:v>0.26897785437563354</c:v>
                </c:pt>
                <c:pt idx="21">
                  <c:v>0.26247515420593531</c:v>
                </c:pt>
                <c:pt idx="22">
                  <c:v>0.25604167288277535</c:v>
                </c:pt>
                <c:pt idx="23">
                  <c:v>0.24967788158540852</c:v>
                </c:pt>
                <c:pt idx="24">
                  <c:v>0.24338425070523056</c:v>
                </c:pt>
                <c:pt idx="25">
                  <c:v>0.23716124976654498</c:v>
                </c:pt>
                <c:pt idx="26">
                  <c:v>0.23100934734269979</c:v>
                </c:pt>
                <c:pt idx="27">
                  <c:v>0.22492901096738685</c:v>
                </c:pt>
                <c:pt idx="28">
                  <c:v>0.21892070704088493</c:v>
                </c:pt>
                <c:pt idx="29">
                  <c:v>0.21298490073101356</c:v>
                </c:pt>
                <c:pt idx="30">
                  <c:v>0.20712205586855234</c:v>
                </c:pt>
                <c:pt idx="31">
                  <c:v>0.20133263483686159</c:v>
                </c:pt>
                <c:pt idx="32">
                  <c:v>0.19561709845542616</c:v>
                </c:pt>
                <c:pt idx="33">
                  <c:v>0.1899759058570257</c:v>
                </c:pt>
                <c:pt idx="34">
                  <c:v>0.18440951435821415</c:v>
                </c:pt>
                <c:pt idx="35">
                  <c:v>0.1789183793227723</c:v>
                </c:pt>
                <c:pt idx="36">
                  <c:v>0.17350295401777424</c:v>
                </c:pt>
                <c:pt idx="37">
                  <c:v>0.16816368946188287</c:v>
                </c:pt>
                <c:pt idx="38">
                  <c:v>0.16290103426546698</c:v>
                </c:pt>
                <c:pt idx="39">
                  <c:v>0.15771543446210026</c:v>
                </c:pt>
                <c:pt idx="40">
                  <c:v>0.15260733333097529</c:v>
                </c:pt>
                <c:pt idx="41">
                  <c:v>0.14757717120973043</c:v>
                </c:pt>
                <c:pt idx="42">
                  <c:v>0.14262538529715146</c:v>
                </c:pt>
                <c:pt idx="43">
                  <c:v>0.13775240944517303</c:v>
                </c:pt>
                <c:pt idx="44">
                  <c:v>0.13295867393955776</c:v>
                </c:pt>
                <c:pt idx="45">
                  <c:v>0.12824460526858969</c:v>
                </c:pt>
                <c:pt idx="46">
                  <c:v>0.1236106258790622</c:v>
                </c:pt>
                <c:pt idx="47">
                  <c:v>0.11905715391878928</c:v>
                </c:pt>
                <c:pt idx="48">
                  <c:v>0.11458460296480487</c:v>
                </c:pt>
                <c:pt idx="49">
                  <c:v>0.110193381736349</c:v>
                </c:pt>
                <c:pt idx="50">
                  <c:v>0.10588389379166488</c:v>
                </c:pt>
                <c:pt idx="51">
                  <c:v>0.10165653720755022</c:v>
                </c:pt>
                <c:pt idx="52">
                  <c:v>9.7511704240514183E-2</c:v>
                </c:pt>
                <c:pt idx="53">
                  <c:v>9.3449780968293636E-2</c:v>
                </c:pt>
                <c:pt idx="54">
                  <c:v>8.9471146910370003E-2</c:v>
                </c:pt>
                <c:pt idx="55">
                  <c:v>8.5576174626005877E-2</c:v>
                </c:pt>
                <c:pt idx="56">
                  <c:v>8.176522928818214E-2</c:v>
                </c:pt>
                <c:pt idx="57">
                  <c:v>7.8038668231665068E-2</c:v>
                </c:pt>
                <c:pt idx="58">
                  <c:v>7.4396840473259812E-2</c:v>
                </c:pt>
                <c:pt idx="59">
                  <c:v>7.0840086202114863E-2</c:v>
                </c:pt>
                <c:pt idx="60">
                  <c:v>6.7368736237725546E-2</c:v>
                </c:pt>
                <c:pt idx="61">
                  <c:v>6.3983111453041003E-2</c:v>
                </c:pt>
                <c:pt idx="62">
                  <c:v>6.0683522159800996E-2</c:v>
                </c:pt>
                <c:pt idx="63">
                  <c:v>5.7470267452917584E-2</c:v>
                </c:pt>
                <c:pt idx="64">
                  <c:v>5.4343634510357196E-2</c:v>
                </c:pt>
                <c:pt idx="65">
                  <c:v>5.1303897844572698E-2</c:v>
                </c:pt>
                <c:pt idx="66">
                  <c:v>4.8351318501065263E-2</c:v>
                </c:pt>
                <c:pt idx="67">
                  <c:v>4.5486143199119144E-2</c:v>
                </c:pt>
                <c:pt idx="68">
                  <c:v>4.2708603409129534E-2</c:v>
                </c:pt>
                <c:pt idx="69">
                  <c:v>4.0018914360223021E-2</c:v>
                </c:pt>
                <c:pt idx="70">
                  <c:v>3.7417273971028842E-2</c:v>
                </c:pt>
                <c:pt idx="71">
                  <c:v>3.4903861695475977E-2</c:v>
                </c:pt>
                <c:pt idx="72">
                  <c:v>3.2478837274333296E-2</c:v>
                </c:pt>
                <c:pt idx="73">
                  <c:v>3.0142339381841316E-2</c:v>
                </c:pt>
                <c:pt idx="74">
                  <c:v>2.7894484155157082E-2</c:v>
                </c:pt>
                <c:pt idx="75">
                  <c:v>2.5735363592385731E-2</c:v>
                </c:pt>
                <c:pt idx="76">
                  <c:v>2.3665043802629671E-2</c:v>
                </c:pt>
                <c:pt idx="77">
                  <c:v>2.1683563088642718E-2</c:v>
                </c:pt>
                <c:pt idx="78">
                  <c:v>1.9790929839207643E-2</c:v>
                </c:pt>
                <c:pt idx="79">
                  <c:v>1.798712020408276E-2</c:v>
                </c:pt>
                <c:pt idx="80">
                  <c:v>1.6272075519057922E-2</c:v>
                </c:pt>
                <c:pt idx="81">
                  <c:v>1.4645699442011738E-2</c:v>
                </c:pt>
                <c:pt idx="82">
                  <c:v>1.3107854752441774E-2</c:v>
                </c:pt>
                <c:pt idx="83">
                  <c:v>1.1658359756158341E-2</c:v>
                </c:pt>
                <c:pt idx="84">
                  <c:v>1.0296984222856189E-2</c:v>
                </c:pt>
                <c:pt idx="85">
                  <c:v>9.0234447659139835E-3</c:v>
                </c:pt>
                <c:pt idx="86">
                  <c:v>7.8373995492736354E-3</c:v>
                </c:pt>
                <c:pt idx="87">
                  <c:v>6.7384421730214712E-3</c:v>
                </c:pt>
                <c:pt idx="88">
                  <c:v>5.7260945433552741E-3</c:v>
                </c:pt>
                <c:pt idx="89">
                  <c:v>4.7997984677473097E-3</c:v>
                </c:pt>
                <c:pt idx="90">
                  <c:v>3.9589056222337476E-3</c:v>
                </c:pt>
                <c:pt idx="91">
                  <c:v>3.2026653980220567E-3</c:v>
                </c:pt>
                <c:pt idx="92">
                  <c:v>2.5302099196617962E-3</c:v>
                </c:pt>
                <c:pt idx="93">
                  <c:v>1.9405351832598647E-3</c:v>
                </c:pt>
                <c:pt idx="94">
                  <c:v>1.4324766870412995E-3</c:v>
                </c:pt>
                <c:pt idx="95">
                  <c:v>1.0046769034297266E-3</c:v>
                </c:pt>
                <c:pt idx="96">
                  <c:v>6.5553998733900462E-4</c:v>
                </c:pt>
                <c:pt idx="97">
                  <c:v>3.8316500552848412E-4</c:v>
                </c:pt>
                <c:pt idx="98">
                  <c:v>1.8523909916327874E-4</c:v>
                </c:pt>
                <c:pt idx="99">
                  <c:v>5.884298975629405E-5</c:v>
                </c:pt>
                <c:pt idx="100">
                  <c:v>0</c:v>
                </c:pt>
              </c:numCache>
            </c:numRef>
          </c:yVal>
          <c:smooth val="0"/>
          <c:extLst>
            <c:ext xmlns:c16="http://schemas.microsoft.com/office/drawing/2014/chart" uri="{C3380CC4-5D6E-409C-BE32-E72D297353CC}">
              <c16:uniqueId val="{00000001-D8BA-4F41-BF36-11BD020FA0E0}"/>
            </c:ext>
          </c:extLst>
        </c:ser>
        <c:ser>
          <c:idx val="1"/>
          <c:order val="2"/>
          <c:tx>
            <c:strRef>
              <c:f>Sizing!$DW$59</c:f>
              <c:strCache>
                <c:ptCount val="1"/>
                <c:pt idx="0">
                  <c:v>As-built
Vert Spar
Tension
Cap Area [in^2]</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Sizing!$DW$60:$DW$160</c:f>
              <c:numCache>
                <c:formatCode>0.00</c:formatCode>
                <c:ptCount val="101"/>
                <c:pt idx="0">
                  <c:v>0.41283788277202987</c:v>
                </c:pt>
                <c:pt idx="1">
                  <c:v>0.41283788277202987</c:v>
                </c:pt>
                <c:pt idx="2">
                  <c:v>0.41283788277202987</c:v>
                </c:pt>
                <c:pt idx="3">
                  <c:v>0.41283788277202987</c:v>
                </c:pt>
                <c:pt idx="4">
                  <c:v>0.41283788277202987</c:v>
                </c:pt>
                <c:pt idx="5">
                  <c:v>0.41283788277202987</c:v>
                </c:pt>
                <c:pt idx="6">
                  <c:v>0.41283788277202987</c:v>
                </c:pt>
                <c:pt idx="7">
                  <c:v>0.41283788277202987</c:v>
                </c:pt>
                <c:pt idx="8">
                  <c:v>0.41283788277202987</c:v>
                </c:pt>
                <c:pt idx="9">
                  <c:v>0.41283788277202987</c:v>
                </c:pt>
                <c:pt idx="10">
                  <c:v>0.33770780740629297</c:v>
                </c:pt>
                <c:pt idx="11">
                  <c:v>0.33770780740629297</c:v>
                </c:pt>
                <c:pt idx="12">
                  <c:v>0.33770780740629297</c:v>
                </c:pt>
                <c:pt idx="13">
                  <c:v>0.33770780740629297</c:v>
                </c:pt>
                <c:pt idx="14">
                  <c:v>0.33770780740629297</c:v>
                </c:pt>
                <c:pt idx="15">
                  <c:v>0.33770780740629297</c:v>
                </c:pt>
                <c:pt idx="16">
                  <c:v>0.33770780740629297</c:v>
                </c:pt>
                <c:pt idx="17">
                  <c:v>0.33770780740629297</c:v>
                </c:pt>
                <c:pt idx="18">
                  <c:v>0.33770780740629297</c:v>
                </c:pt>
                <c:pt idx="19">
                  <c:v>0.33770780740629297</c:v>
                </c:pt>
                <c:pt idx="20">
                  <c:v>0.26897785437563354</c:v>
                </c:pt>
                <c:pt idx="21">
                  <c:v>0.26897785437563354</c:v>
                </c:pt>
                <c:pt idx="22">
                  <c:v>0.26897785437563354</c:v>
                </c:pt>
                <c:pt idx="23">
                  <c:v>0.26897785437563354</c:v>
                </c:pt>
                <c:pt idx="24">
                  <c:v>0.26897785437563354</c:v>
                </c:pt>
                <c:pt idx="25">
                  <c:v>0.26897785437563354</c:v>
                </c:pt>
                <c:pt idx="26">
                  <c:v>0.26897785437563354</c:v>
                </c:pt>
                <c:pt idx="27">
                  <c:v>0.26897785437563354</c:v>
                </c:pt>
                <c:pt idx="28">
                  <c:v>0.26897785437563354</c:v>
                </c:pt>
                <c:pt idx="29">
                  <c:v>0.26897785437563354</c:v>
                </c:pt>
                <c:pt idx="30">
                  <c:v>0.20712205586855234</c:v>
                </c:pt>
                <c:pt idx="31">
                  <c:v>0.20712205586855234</c:v>
                </c:pt>
                <c:pt idx="32">
                  <c:v>0.20712205586855234</c:v>
                </c:pt>
                <c:pt idx="33">
                  <c:v>0.20712205586855234</c:v>
                </c:pt>
                <c:pt idx="34">
                  <c:v>0.20712205586855234</c:v>
                </c:pt>
                <c:pt idx="35">
                  <c:v>0.20712205586855234</c:v>
                </c:pt>
                <c:pt idx="36">
                  <c:v>0.20712205586855234</c:v>
                </c:pt>
                <c:pt idx="37">
                  <c:v>0.20712205586855234</c:v>
                </c:pt>
                <c:pt idx="38">
                  <c:v>0.20712205586855234</c:v>
                </c:pt>
                <c:pt idx="39">
                  <c:v>0.20712205586855234</c:v>
                </c:pt>
                <c:pt idx="40">
                  <c:v>0.15260733333097529</c:v>
                </c:pt>
                <c:pt idx="41">
                  <c:v>0.15260733333097529</c:v>
                </c:pt>
                <c:pt idx="42">
                  <c:v>0.15260733333097529</c:v>
                </c:pt>
                <c:pt idx="43">
                  <c:v>0.15260733333097529</c:v>
                </c:pt>
                <c:pt idx="44">
                  <c:v>0.15260733333097529</c:v>
                </c:pt>
                <c:pt idx="45">
                  <c:v>0.15260733333097529</c:v>
                </c:pt>
                <c:pt idx="46">
                  <c:v>0.15260733333097529</c:v>
                </c:pt>
                <c:pt idx="47">
                  <c:v>0.15260733333097529</c:v>
                </c:pt>
                <c:pt idx="48">
                  <c:v>0.15260733333097529</c:v>
                </c:pt>
                <c:pt idx="49">
                  <c:v>0.15260733333097529</c:v>
                </c:pt>
                <c:pt idx="50">
                  <c:v>0.10588389379166488</c:v>
                </c:pt>
                <c:pt idx="51">
                  <c:v>0.10588389379166488</c:v>
                </c:pt>
                <c:pt idx="52">
                  <c:v>0.10588389379166488</c:v>
                </c:pt>
                <c:pt idx="53">
                  <c:v>0.10588389379166488</c:v>
                </c:pt>
                <c:pt idx="54">
                  <c:v>0.10588389379166488</c:v>
                </c:pt>
                <c:pt idx="55">
                  <c:v>0.10588389379166488</c:v>
                </c:pt>
                <c:pt idx="56">
                  <c:v>0.10588389379166488</c:v>
                </c:pt>
                <c:pt idx="57">
                  <c:v>0.10588389379166488</c:v>
                </c:pt>
                <c:pt idx="58">
                  <c:v>0.10588389379166488</c:v>
                </c:pt>
                <c:pt idx="59">
                  <c:v>0.10588389379166488</c:v>
                </c:pt>
                <c:pt idx="60">
                  <c:v>6.7368736237725546E-2</c:v>
                </c:pt>
                <c:pt idx="61">
                  <c:v>6.7368736237725546E-2</c:v>
                </c:pt>
                <c:pt idx="62">
                  <c:v>6.7368736237725546E-2</c:v>
                </c:pt>
                <c:pt idx="63">
                  <c:v>6.7368736237725546E-2</c:v>
                </c:pt>
                <c:pt idx="64">
                  <c:v>6.7368736237725546E-2</c:v>
                </c:pt>
                <c:pt idx="65">
                  <c:v>6.7368736237725546E-2</c:v>
                </c:pt>
                <c:pt idx="66">
                  <c:v>6.7368736237725546E-2</c:v>
                </c:pt>
                <c:pt idx="67">
                  <c:v>6.7368736237725546E-2</c:v>
                </c:pt>
                <c:pt idx="68">
                  <c:v>6.7368736237725546E-2</c:v>
                </c:pt>
                <c:pt idx="69">
                  <c:v>6.7368736237725546E-2</c:v>
                </c:pt>
                <c:pt idx="70">
                  <c:v>3.7417273971028842E-2</c:v>
                </c:pt>
                <c:pt idx="71">
                  <c:v>3.7417273971028842E-2</c:v>
                </c:pt>
                <c:pt idx="72">
                  <c:v>3.7417273971028842E-2</c:v>
                </c:pt>
                <c:pt idx="73">
                  <c:v>3.7417273971028842E-2</c:v>
                </c:pt>
                <c:pt idx="74">
                  <c:v>3.7417273971028842E-2</c:v>
                </c:pt>
                <c:pt idx="75">
                  <c:v>3.7417273971028842E-2</c:v>
                </c:pt>
                <c:pt idx="76">
                  <c:v>3.7417273971028842E-2</c:v>
                </c:pt>
                <c:pt idx="77">
                  <c:v>3.7417273971028842E-2</c:v>
                </c:pt>
                <c:pt idx="78">
                  <c:v>3.7417273971028842E-2</c:v>
                </c:pt>
                <c:pt idx="79">
                  <c:v>3.7417273971028842E-2</c:v>
                </c:pt>
                <c:pt idx="80">
                  <c:v>1.6272075519057922E-2</c:v>
                </c:pt>
                <c:pt idx="81">
                  <c:v>1.6272075519057922E-2</c:v>
                </c:pt>
                <c:pt idx="82">
                  <c:v>1.6272075519057922E-2</c:v>
                </c:pt>
                <c:pt idx="83">
                  <c:v>1.6272075519057922E-2</c:v>
                </c:pt>
                <c:pt idx="84">
                  <c:v>1.6272075519057922E-2</c:v>
                </c:pt>
                <c:pt idx="85">
                  <c:v>1.6272075519057922E-2</c:v>
                </c:pt>
                <c:pt idx="86">
                  <c:v>1.6272075519057922E-2</c:v>
                </c:pt>
                <c:pt idx="87">
                  <c:v>1.6272075519057922E-2</c:v>
                </c:pt>
                <c:pt idx="88">
                  <c:v>1.6272075519057922E-2</c:v>
                </c:pt>
                <c:pt idx="89">
                  <c:v>1.6272075519057922E-2</c:v>
                </c:pt>
                <c:pt idx="90">
                  <c:v>3.9589056222337476E-3</c:v>
                </c:pt>
                <c:pt idx="91">
                  <c:v>3.9589056222337476E-3</c:v>
                </c:pt>
                <c:pt idx="92">
                  <c:v>3.9589056222337476E-3</c:v>
                </c:pt>
                <c:pt idx="93">
                  <c:v>3.9589056222337476E-3</c:v>
                </c:pt>
                <c:pt idx="94">
                  <c:v>3.9589056222337476E-3</c:v>
                </c:pt>
                <c:pt idx="95">
                  <c:v>3.9589056222337476E-3</c:v>
                </c:pt>
                <c:pt idx="96">
                  <c:v>3.9589056222337476E-3</c:v>
                </c:pt>
                <c:pt idx="97">
                  <c:v>3.9589056222337476E-3</c:v>
                </c:pt>
                <c:pt idx="98">
                  <c:v>3.9589056222337476E-3</c:v>
                </c:pt>
                <c:pt idx="99">
                  <c:v>3.9589056222337476E-3</c:v>
                </c:pt>
                <c:pt idx="100">
                  <c:v>3.9589056222337476E-3</c:v>
                </c:pt>
              </c:numCache>
            </c:numRef>
          </c:yVal>
          <c:smooth val="0"/>
          <c:extLst>
            <c:ext xmlns:c16="http://schemas.microsoft.com/office/drawing/2014/chart" uri="{C3380CC4-5D6E-409C-BE32-E72D297353CC}">
              <c16:uniqueId val="{00000002-D8BA-4F41-BF36-11BD020FA0E0}"/>
            </c:ext>
          </c:extLst>
        </c:ser>
        <c:ser>
          <c:idx val="0"/>
          <c:order val="3"/>
          <c:tx>
            <c:strRef>
              <c:f>Sizing!$DU$59</c:f>
              <c:strCache>
                <c:ptCount val="1"/>
                <c:pt idx="0">
                  <c:v>As-built
Vert Spar
Comp.
Cap Area [in^2]</c:v>
                </c:pt>
              </c:strCache>
            </c:strRef>
          </c:tx>
          <c:spPr>
            <a:ln w="2540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Sizing!$DU$60:$DU$160</c:f>
              <c:numCache>
                <c:formatCode>0.00</c:formatCode>
                <c:ptCount val="101"/>
                <c:pt idx="0">
                  <c:v>0.41283788277202987</c:v>
                </c:pt>
                <c:pt idx="1">
                  <c:v>0.41283788277202987</c:v>
                </c:pt>
                <c:pt idx="2">
                  <c:v>0.41283788277202987</c:v>
                </c:pt>
                <c:pt idx="3">
                  <c:v>0.41283788277202987</c:v>
                </c:pt>
                <c:pt idx="4">
                  <c:v>0.41283788277202987</c:v>
                </c:pt>
                <c:pt idx="5">
                  <c:v>0.41283788277202987</c:v>
                </c:pt>
                <c:pt idx="6">
                  <c:v>0.41283788277202987</c:v>
                </c:pt>
                <c:pt idx="7">
                  <c:v>0.41283788277202987</c:v>
                </c:pt>
                <c:pt idx="8">
                  <c:v>0.41283788277202987</c:v>
                </c:pt>
                <c:pt idx="9">
                  <c:v>0.41283788277202987</c:v>
                </c:pt>
                <c:pt idx="10">
                  <c:v>0.33770780740629297</c:v>
                </c:pt>
                <c:pt idx="11">
                  <c:v>0.33770780740629297</c:v>
                </c:pt>
                <c:pt idx="12">
                  <c:v>0.33770780740629297</c:v>
                </c:pt>
                <c:pt idx="13">
                  <c:v>0.33770780740629297</c:v>
                </c:pt>
                <c:pt idx="14">
                  <c:v>0.33770780740629297</c:v>
                </c:pt>
                <c:pt idx="15">
                  <c:v>0.33770780740629297</c:v>
                </c:pt>
                <c:pt idx="16">
                  <c:v>0.33770780740629297</c:v>
                </c:pt>
                <c:pt idx="17">
                  <c:v>0.33770780740629297</c:v>
                </c:pt>
                <c:pt idx="18">
                  <c:v>0.33770780740629297</c:v>
                </c:pt>
                <c:pt idx="19">
                  <c:v>0.33770780740629297</c:v>
                </c:pt>
                <c:pt idx="20">
                  <c:v>0.26897785437563354</c:v>
                </c:pt>
                <c:pt idx="21">
                  <c:v>0.26897785437563354</c:v>
                </c:pt>
                <c:pt idx="22">
                  <c:v>0.26897785437563354</c:v>
                </c:pt>
                <c:pt idx="23">
                  <c:v>0.26897785437563354</c:v>
                </c:pt>
                <c:pt idx="24">
                  <c:v>0.26897785437563354</c:v>
                </c:pt>
                <c:pt idx="25">
                  <c:v>0.26897785437563354</c:v>
                </c:pt>
                <c:pt idx="26">
                  <c:v>0.26897785437563354</c:v>
                </c:pt>
                <c:pt idx="27">
                  <c:v>0.26897785437563354</c:v>
                </c:pt>
                <c:pt idx="28">
                  <c:v>0.26897785437563354</c:v>
                </c:pt>
                <c:pt idx="29">
                  <c:v>0.26897785437563354</c:v>
                </c:pt>
                <c:pt idx="30">
                  <c:v>0.20712205586855234</c:v>
                </c:pt>
                <c:pt idx="31">
                  <c:v>0.20712205586855234</c:v>
                </c:pt>
                <c:pt idx="32">
                  <c:v>0.20712205586855234</c:v>
                </c:pt>
                <c:pt idx="33">
                  <c:v>0.20712205586855234</c:v>
                </c:pt>
                <c:pt idx="34">
                  <c:v>0.20712205586855234</c:v>
                </c:pt>
                <c:pt idx="35">
                  <c:v>0.20712205586855234</c:v>
                </c:pt>
                <c:pt idx="36">
                  <c:v>0.20712205586855234</c:v>
                </c:pt>
                <c:pt idx="37">
                  <c:v>0.20712205586855234</c:v>
                </c:pt>
                <c:pt idx="38">
                  <c:v>0.20712205586855234</c:v>
                </c:pt>
                <c:pt idx="39">
                  <c:v>0.20712205586855234</c:v>
                </c:pt>
                <c:pt idx="40">
                  <c:v>0.15260733333097529</c:v>
                </c:pt>
                <c:pt idx="41">
                  <c:v>0.15260733333097529</c:v>
                </c:pt>
                <c:pt idx="42">
                  <c:v>0.15260733333097529</c:v>
                </c:pt>
                <c:pt idx="43">
                  <c:v>0.15260733333097529</c:v>
                </c:pt>
                <c:pt idx="44">
                  <c:v>0.15260733333097529</c:v>
                </c:pt>
                <c:pt idx="45">
                  <c:v>0.15260733333097529</c:v>
                </c:pt>
                <c:pt idx="46">
                  <c:v>0.15260733333097529</c:v>
                </c:pt>
                <c:pt idx="47">
                  <c:v>0.15260733333097529</c:v>
                </c:pt>
                <c:pt idx="48">
                  <c:v>0.15260733333097529</c:v>
                </c:pt>
                <c:pt idx="49">
                  <c:v>0.15260733333097529</c:v>
                </c:pt>
                <c:pt idx="50">
                  <c:v>0.10588389379166488</c:v>
                </c:pt>
                <c:pt idx="51">
                  <c:v>0.10588389379166488</c:v>
                </c:pt>
                <c:pt idx="52">
                  <c:v>0.10588389379166488</c:v>
                </c:pt>
                <c:pt idx="53">
                  <c:v>0.10588389379166488</c:v>
                </c:pt>
                <c:pt idx="54">
                  <c:v>0.10588389379166488</c:v>
                </c:pt>
                <c:pt idx="55">
                  <c:v>0.10588389379166488</c:v>
                </c:pt>
                <c:pt idx="56">
                  <c:v>0.10588389379166488</c:v>
                </c:pt>
                <c:pt idx="57">
                  <c:v>0.10588389379166488</c:v>
                </c:pt>
                <c:pt idx="58">
                  <c:v>0.10588389379166488</c:v>
                </c:pt>
                <c:pt idx="59">
                  <c:v>0.10588389379166488</c:v>
                </c:pt>
                <c:pt idx="60">
                  <c:v>6.7368736237725546E-2</c:v>
                </c:pt>
                <c:pt idx="61">
                  <c:v>6.7368736237725546E-2</c:v>
                </c:pt>
                <c:pt idx="62">
                  <c:v>6.7368736237725546E-2</c:v>
                </c:pt>
                <c:pt idx="63">
                  <c:v>6.7368736237725546E-2</c:v>
                </c:pt>
                <c:pt idx="64">
                  <c:v>6.7368736237725546E-2</c:v>
                </c:pt>
                <c:pt idx="65">
                  <c:v>6.7368736237725546E-2</c:v>
                </c:pt>
                <c:pt idx="66">
                  <c:v>6.7368736237725546E-2</c:v>
                </c:pt>
                <c:pt idx="67">
                  <c:v>6.7368736237725546E-2</c:v>
                </c:pt>
                <c:pt idx="68">
                  <c:v>6.7368736237725546E-2</c:v>
                </c:pt>
                <c:pt idx="69">
                  <c:v>6.7368736237725546E-2</c:v>
                </c:pt>
                <c:pt idx="70">
                  <c:v>3.7417273971028842E-2</c:v>
                </c:pt>
                <c:pt idx="71">
                  <c:v>3.7417273971028842E-2</c:v>
                </c:pt>
                <c:pt idx="72">
                  <c:v>3.7417273971028842E-2</c:v>
                </c:pt>
                <c:pt idx="73">
                  <c:v>3.7417273971028842E-2</c:v>
                </c:pt>
                <c:pt idx="74">
                  <c:v>3.7417273971028842E-2</c:v>
                </c:pt>
                <c:pt idx="75">
                  <c:v>3.7417273971028842E-2</c:v>
                </c:pt>
                <c:pt idx="76">
                  <c:v>3.7417273971028842E-2</c:v>
                </c:pt>
                <c:pt idx="77">
                  <c:v>3.7417273971028842E-2</c:v>
                </c:pt>
                <c:pt idx="78">
                  <c:v>3.7417273971028842E-2</c:v>
                </c:pt>
                <c:pt idx="79">
                  <c:v>3.7417273971028842E-2</c:v>
                </c:pt>
                <c:pt idx="80">
                  <c:v>1.6272075519057922E-2</c:v>
                </c:pt>
                <c:pt idx="81">
                  <c:v>1.6272075519057922E-2</c:v>
                </c:pt>
                <c:pt idx="82">
                  <c:v>1.6272075519057922E-2</c:v>
                </c:pt>
                <c:pt idx="83">
                  <c:v>1.6272075519057922E-2</c:v>
                </c:pt>
                <c:pt idx="84">
                  <c:v>1.6272075519057922E-2</c:v>
                </c:pt>
                <c:pt idx="85">
                  <c:v>1.6272075519057922E-2</c:v>
                </c:pt>
                <c:pt idx="86">
                  <c:v>1.6272075519057922E-2</c:v>
                </c:pt>
                <c:pt idx="87">
                  <c:v>1.6272075519057922E-2</c:v>
                </c:pt>
                <c:pt idx="88">
                  <c:v>1.6272075519057922E-2</c:v>
                </c:pt>
                <c:pt idx="89">
                  <c:v>1.6272075519057922E-2</c:v>
                </c:pt>
                <c:pt idx="90">
                  <c:v>3.9589056222337476E-3</c:v>
                </c:pt>
                <c:pt idx="91">
                  <c:v>3.9589056222337476E-3</c:v>
                </c:pt>
                <c:pt idx="92">
                  <c:v>3.9589056222337476E-3</c:v>
                </c:pt>
                <c:pt idx="93">
                  <c:v>3.9589056222337476E-3</c:v>
                </c:pt>
                <c:pt idx="94">
                  <c:v>3.9589056222337476E-3</c:v>
                </c:pt>
                <c:pt idx="95">
                  <c:v>3.9589056222337476E-3</c:v>
                </c:pt>
                <c:pt idx="96">
                  <c:v>3.9589056222337476E-3</c:v>
                </c:pt>
                <c:pt idx="97">
                  <c:v>3.9589056222337476E-3</c:v>
                </c:pt>
                <c:pt idx="98">
                  <c:v>3.9589056222337476E-3</c:v>
                </c:pt>
                <c:pt idx="99">
                  <c:v>3.9589056222337476E-3</c:v>
                </c:pt>
                <c:pt idx="100">
                  <c:v>3.9589056222337476E-3</c:v>
                </c:pt>
              </c:numCache>
            </c:numRef>
          </c:yVal>
          <c:smooth val="0"/>
          <c:extLst>
            <c:ext xmlns:c16="http://schemas.microsoft.com/office/drawing/2014/chart" uri="{C3380CC4-5D6E-409C-BE32-E72D297353CC}">
              <c16:uniqueId val="{00000003-D8BA-4F41-BF36-11BD020FA0E0}"/>
            </c:ext>
          </c:extLst>
        </c:ser>
        <c:dLbls>
          <c:showLegendKey val="0"/>
          <c:showVal val="0"/>
          <c:showCatName val="0"/>
          <c:showSerName val="0"/>
          <c:showPercent val="0"/>
          <c:showBubbleSize val="0"/>
        </c:dLbls>
        <c:axId val="401968368"/>
        <c:axId val="401965232"/>
      </c:scatterChart>
      <c:valAx>
        <c:axId val="4019683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232"/>
        <c:crosses val="autoZero"/>
        <c:crossBetween val="midCat"/>
      </c:valAx>
      <c:valAx>
        <c:axId val="4019652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Area [in^2]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83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Core</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strRef>
              <c:f>Sizing!$IT$59</c:f>
              <c:strCache>
                <c:ptCount val="1"/>
                <c:pt idx="0">
                  <c:v>As-Built Aft Web Core Thickness
[in]</c:v>
                </c:pt>
              </c:strCache>
            </c:strRef>
          </c:tx>
          <c:spPr>
            <a:ln w="25400" cap="rnd">
              <a:noFill/>
              <a:round/>
            </a:ln>
            <a:effectLst/>
          </c:spPr>
          <c:marker>
            <c:symbol val="circle"/>
            <c:size val="5"/>
            <c:spPr>
              <a:solidFill>
                <a:schemeClr val="accent4"/>
              </a:solidFill>
              <a:ln w="9525">
                <a:solidFill>
                  <a:schemeClr val="accent4"/>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Sizing!$IT$60:$IT$160</c:f>
              <c:numCache>
                <c:formatCode>0.000</c:formatCode>
                <c:ptCount val="101"/>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0.25</c:v>
                </c:pt>
                <c:pt idx="28">
                  <c:v>0.25</c:v>
                </c:pt>
                <c:pt idx="29">
                  <c:v>0.25</c:v>
                </c:pt>
                <c:pt idx="30">
                  <c:v>0.25</c:v>
                </c:pt>
                <c:pt idx="31">
                  <c:v>0.25</c:v>
                </c:pt>
                <c:pt idx="32">
                  <c:v>0.25</c:v>
                </c:pt>
                <c:pt idx="33">
                  <c:v>0.25</c:v>
                </c:pt>
                <c:pt idx="34">
                  <c:v>0.25</c:v>
                </c:pt>
                <c:pt idx="35">
                  <c:v>0.25</c:v>
                </c:pt>
                <c:pt idx="36">
                  <c:v>0.25</c:v>
                </c:pt>
                <c:pt idx="37">
                  <c:v>0.25</c:v>
                </c:pt>
                <c:pt idx="38">
                  <c:v>0.25</c:v>
                </c:pt>
                <c:pt idx="39">
                  <c:v>0.25</c:v>
                </c:pt>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1-87BC-4E49-8AD6-62C7F449FE9C}"/>
            </c:ext>
          </c:extLst>
        </c:ser>
        <c:ser>
          <c:idx val="1"/>
          <c:order val="1"/>
          <c:tx>
            <c:strRef>
              <c:f>Sizing!$CN$59</c:f>
              <c:strCache>
                <c:ptCount val="1"/>
                <c:pt idx="0">
                  <c:v>Wing Skin As-Built Core Thickness
[in]</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Sizing!$CN$60:$CN$160</c:f>
              <c:numCache>
                <c:formatCode>0.000</c:formatCode>
                <c:ptCount val="101"/>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0.25</c:v>
                </c:pt>
                <c:pt idx="28">
                  <c:v>0.25</c:v>
                </c:pt>
                <c:pt idx="29">
                  <c:v>0.25</c:v>
                </c:pt>
                <c:pt idx="30">
                  <c:v>0.25</c:v>
                </c:pt>
                <c:pt idx="31">
                  <c:v>0.25</c:v>
                </c:pt>
                <c:pt idx="32">
                  <c:v>0.25</c:v>
                </c:pt>
                <c:pt idx="33">
                  <c:v>0.25</c:v>
                </c:pt>
                <c:pt idx="34">
                  <c:v>0.25</c:v>
                </c:pt>
                <c:pt idx="35">
                  <c:v>0.25</c:v>
                </c:pt>
                <c:pt idx="36">
                  <c:v>0.25</c:v>
                </c:pt>
                <c:pt idx="37">
                  <c:v>0.25</c:v>
                </c:pt>
                <c:pt idx="38">
                  <c:v>0.25</c:v>
                </c:pt>
                <c:pt idx="39">
                  <c:v>0.25</c:v>
                </c:pt>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2-87BC-4E49-8AD6-62C7F449FE9C}"/>
            </c:ext>
          </c:extLst>
        </c:ser>
        <c:ser>
          <c:idx val="0"/>
          <c:order val="2"/>
          <c:tx>
            <c:strRef>
              <c:f>Sizing!$GJ$59</c:f>
              <c:strCache>
                <c:ptCount val="1"/>
                <c:pt idx="0">
                  <c:v>As-Built Spar Core Thickness
[in]</c:v>
                </c:pt>
              </c:strCache>
            </c:strRef>
          </c:tx>
          <c:spPr>
            <a:ln w="25400" cap="rnd">
              <a:noFill/>
              <a:round/>
            </a:ln>
            <a:effectLst/>
          </c:spPr>
          <c:marker>
            <c:symbol val="circle"/>
            <c:size val="5"/>
            <c:spPr>
              <a:solidFill>
                <a:schemeClr val="accent1"/>
              </a:solidFill>
              <a:ln w="9525">
                <a:solidFill>
                  <a:schemeClr val="accent1"/>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Sizing!$GJ$60:$GJ$160</c:f>
              <c:numCache>
                <c:formatCode>0.000</c:formatCode>
                <c:ptCount val="101"/>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0.25</c:v>
                </c:pt>
                <c:pt idx="28">
                  <c:v>0.25</c:v>
                </c:pt>
                <c:pt idx="29">
                  <c:v>0.25</c:v>
                </c:pt>
                <c:pt idx="30">
                  <c:v>0.25</c:v>
                </c:pt>
                <c:pt idx="31">
                  <c:v>0.25</c:v>
                </c:pt>
                <c:pt idx="32">
                  <c:v>0.25</c:v>
                </c:pt>
                <c:pt idx="33">
                  <c:v>0.25</c:v>
                </c:pt>
                <c:pt idx="34">
                  <c:v>0.25</c:v>
                </c:pt>
                <c:pt idx="35">
                  <c:v>0.25</c:v>
                </c:pt>
                <c:pt idx="36">
                  <c:v>0.25</c:v>
                </c:pt>
                <c:pt idx="37">
                  <c:v>0.25</c:v>
                </c:pt>
                <c:pt idx="38">
                  <c:v>0.25</c:v>
                </c:pt>
                <c:pt idx="39">
                  <c:v>0.25</c:v>
                </c:pt>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3-87BC-4E49-8AD6-62C7F449FE9C}"/>
            </c:ext>
          </c:extLst>
        </c:ser>
        <c:dLbls>
          <c:showLegendKey val="0"/>
          <c:showVal val="0"/>
          <c:showCatName val="0"/>
          <c:showSerName val="0"/>
          <c:showPercent val="0"/>
          <c:showBubbleSize val="0"/>
        </c:dLbls>
        <c:axId val="401966016"/>
        <c:axId val="401965624"/>
      </c:scatterChart>
      <c:valAx>
        <c:axId val="40196601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624"/>
        <c:crosses val="autoZero"/>
        <c:crossBetween val="midCat"/>
      </c:valAx>
      <c:valAx>
        <c:axId val="4019656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Thickness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60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Sizing!$FJ$59</c:f>
              <c:strCache>
                <c:ptCount val="1"/>
                <c:pt idx="0">
                  <c:v>Spar Web Facesheet 1, Thickness
[in]</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Sizing!$FJ$60:$FJ$160</c:f>
              <c:numCache>
                <c:formatCode>General</c:formatCode>
                <c:ptCount val="101"/>
                <c:pt idx="0">
                  <c:v>2.3622047244094495E-2</c:v>
                </c:pt>
                <c:pt idx="1">
                  <c:v>2.3622047244094495E-2</c:v>
                </c:pt>
                <c:pt idx="2">
                  <c:v>2.3622047244094495E-2</c:v>
                </c:pt>
                <c:pt idx="3">
                  <c:v>2.3622047244094495E-2</c:v>
                </c:pt>
                <c:pt idx="4">
                  <c:v>2.3622047244094495E-2</c:v>
                </c:pt>
                <c:pt idx="5">
                  <c:v>2.3622047244094495E-2</c:v>
                </c:pt>
                <c:pt idx="6">
                  <c:v>2.3622047244094495E-2</c:v>
                </c:pt>
                <c:pt idx="7">
                  <c:v>2.3622047244094495E-2</c:v>
                </c:pt>
                <c:pt idx="8">
                  <c:v>2.3622047244094495E-2</c:v>
                </c:pt>
                <c:pt idx="9">
                  <c:v>2.3622047244094495E-2</c:v>
                </c:pt>
                <c:pt idx="10">
                  <c:v>2.3622047244094495E-2</c:v>
                </c:pt>
                <c:pt idx="11">
                  <c:v>2.3622047244094495E-2</c:v>
                </c:pt>
                <c:pt idx="12">
                  <c:v>2.3622047244094495E-2</c:v>
                </c:pt>
                <c:pt idx="13">
                  <c:v>2.3622047244094495E-2</c:v>
                </c:pt>
                <c:pt idx="14">
                  <c:v>2.3622047244094495E-2</c:v>
                </c:pt>
                <c:pt idx="15">
                  <c:v>2.3622047244094495E-2</c:v>
                </c:pt>
                <c:pt idx="16">
                  <c:v>2.3622047244094495E-2</c:v>
                </c:pt>
                <c:pt idx="17">
                  <c:v>2.3622047244094495E-2</c:v>
                </c:pt>
                <c:pt idx="18">
                  <c:v>2.3622047244094495E-2</c:v>
                </c:pt>
                <c:pt idx="19">
                  <c:v>2.3622047244094495E-2</c:v>
                </c:pt>
                <c:pt idx="20">
                  <c:v>1.5748031496062995E-2</c:v>
                </c:pt>
                <c:pt idx="21">
                  <c:v>1.5748031496062995E-2</c:v>
                </c:pt>
                <c:pt idx="22">
                  <c:v>1.5748031496062995E-2</c:v>
                </c:pt>
                <c:pt idx="23">
                  <c:v>1.5748031496062995E-2</c:v>
                </c:pt>
                <c:pt idx="24">
                  <c:v>1.5748031496062995E-2</c:v>
                </c:pt>
                <c:pt idx="25">
                  <c:v>1.5748031496062995E-2</c:v>
                </c:pt>
                <c:pt idx="26">
                  <c:v>1.5748031496062995E-2</c:v>
                </c:pt>
                <c:pt idx="27">
                  <c:v>1.5748031496062995E-2</c:v>
                </c:pt>
                <c:pt idx="28">
                  <c:v>1.5748031496062995E-2</c:v>
                </c:pt>
                <c:pt idx="29">
                  <c:v>1.5748031496062995E-2</c:v>
                </c:pt>
                <c:pt idx="30">
                  <c:v>1.5748031496062995E-2</c:v>
                </c:pt>
                <c:pt idx="31">
                  <c:v>1.5748031496062995E-2</c:v>
                </c:pt>
                <c:pt idx="32">
                  <c:v>1.5748031496062995E-2</c:v>
                </c:pt>
                <c:pt idx="33">
                  <c:v>1.5748031496062995E-2</c:v>
                </c:pt>
                <c:pt idx="34">
                  <c:v>1.5748031496062995E-2</c:v>
                </c:pt>
                <c:pt idx="35">
                  <c:v>1.5748031496062995E-2</c:v>
                </c:pt>
                <c:pt idx="36">
                  <c:v>1.5748031496062995E-2</c:v>
                </c:pt>
                <c:pt idx="37">
                  <c:v>1.5748031496062995E-2</c:v>
                </c:pt>
                <c:pt idx="38">
                  <c:v>1.5748031496062995E-2</c:v>
                </c:pt>
                <c:pt idx="39">
                  <c:v>1.5748031496062995E-2</c:v>
                </c:pt>
                <c:pt idx="40">
                  <c:v>1.5748031496062995E-2</c:v>
                </c:pt>
                <c:pt idx="41">
                  <c:v>1.5748031496062995E-2</c:v>
                </c:pt>
                <c:pt idx="42">
                  <c:v>1.5748031496062995E-2</c:v>
                </c:pt>
                <c:pt idx="43">
                  <c:v>1.5748031496062995E-2</c:v>
                </c:pt>
                <c:pt idx="44">
                  <c:v>1.5748031496062995E-2</c:v>
                </c:pt>
                <c:pt idx="45">
                  <c:v>1.5748031496062995E-2</c:v>
                </c:pt>
                <c:pt idx="46">
                  <c:v>1.5748031496062995E-2</c:v>
                </c:pt>
                <c:pt idx="47">
                  <c:v>1.5748031496062995E-2</c:v>
                </c:pt>
                <c:pt idx="48">
                  <c:v>1.5748031496062995E-2</c:v>
                </c:pt>
                <c:pt idx="49">
                  <c:v>1.5748031496062995E-2</c:v>
                </c:pt>
                <c:pt idx="50">
                  <c:v>1.5748031496062995E-2</c:v>
                </c:pt>
                <c:pt idx="51">
                  <c:v>1.5748031496062995E-2</c:v>
                </c:pt>
                <c:pt idx="52">
                  <c:v>1.5748031496062995E-2</c:v>
                </c:pt>
                <c:pt idx="53">
                  <c:v>1.5748031496062995E-2</c:v>
                </c:pt>
                <c:pt idx="54">
                  <c:v>1.5748031496062995E-2</c:v>
                </c:pt>
                <c:pt idx="55">
                  <c:v>1.5748031496062995E-2</c:v>
                </c:pt>
                <c:pt idx="56">
                  <c:v>1.5748031496062995E-2</c:v>
                </c:pt>
                <c:pt idx="57">
                  <c:v>1.5748031496062995E-2</c:v>
                </c:pt>
                <c:pt idx="58">
                  <c:v>1.5748031496062995E-2</c:v>
                </c:pt>
                <c:pt idx="59">
                  <c:v>1.5748031496062995E-2</c:v>
                </c:pt>
                <c:pt idx="60">
                  <c:v>1.5748031496062995E-2</c:v>
                </c:pt>
                <c:pt idx="61">
                  <c:v>1.5748031496062995E-2</c:v>
                </c:pt>
                <c:pt idx="62">
                  <c:v>1.5748031496062995E-2</c:v>
                </c:pt>
                <c:pt idx="63">
                  <c:v>1.5748031496062995E-2</c:v>
                </c:pt>
                <c:pt idx="64">
                  <c:v>1.5748031496062995E-2</c:v>
                </c:pt>
                <c:pt idx="65">
                  <c:v>1.5748031496062995E-2</c:v>
                </c:pt>
                <c:pt idx="66">
                  <c:v>1.5748031496062995E-2</c:v>
                </c:pt>
                <c:pt idx="67">
                  <c:v>1.5748031496062995E-2</c:v>
                </c:pt>
                <c:pt idx="68">
                  <c:v>1.5748031496062995E-2</c:v>
                </c:pt>
                <c:pt idx="69">
                  <c:v>1.5748031496062995E-2</c:v>
                </c:pt>
                <c:pt idx="70">
                  <c:v>1.5748031496062995E-2</c:v>
                </c:pt>
                <c:pt idx="71">
                  <c:v>1.5748031496062995E-2</c:v>
                </c:pt>
                <c:pt idx="72">
                  <c:v>1.5748031496062995E-2</c:v>
                </c:pt>
                <c:pt idx="73">
                  <c:v>1.5748031496062995E-2</c:v>
                </c:pt>
                <c:pt idx="74">
                  <c:v>1.5748031496062995E-2</c:v>
                </c:pt>
                <c:pt idx="75">
                  <c:v>1.5748031496062995E-2</c:v>
                </c:pt>
                <c:pt idx="76">
                  <c:v>1.5748031496062995E-2</c:v>
                </c:pt>
                <c:pt idx="77">
                  <c:v>1.5748031496062995E-2</c:v>
                </c:pt>
                <c:pt idx="78">
                  <c:v>1.5748031496062995E-2</c:v>
                </c:pt>
                <c:pt idx="79">
                  <c:v>1.5748031496062995E-2</c:v>
                </c:pt>
                <c:pt idx="80">
                  <c:v>1.5748031496062995E-2</c:v>
                </c:pt>
                <c:pt idx="81">
                  <c:v>1.5748031496062995E-2</c:v>
                </c:pt>
                <c:pt idx="82">
                  <c:v>1.5748031496062995E-2</c:v>
                </c:pt>
                <c:pt idx="83">
                  <c:v>1.5748031496062995E-2</c:v>
                </c:pt>
                <c:pt idx="84">
                  <c:v>1.5748031496062995E-2</c:v>
                </c:pt>
                <c:pt idx="85">
                  <c:v>1.5748031496062995E-2</c:v>
                </c:pt>
                <c:pt idx="86">
                  <c:v>1.5748031496062995E-2</c:v>
                </c:pt>
                <c:pt idx="87">
                  <c:v>1.5748031496062995E-2</c:v>
                </c:pt>
                <c:pt idx="88">
                  <c:v>1.5748031496062995E-2</c:v>
                </c:pt>
                <c:pt idx="89">
                  <c:v>1.5748031496062995E-2</c:v>
                </c:pt>
                <c:pt idx="90">
                  <c:v>1.5748031496062995E-2</c:v>
                </c:pt>
                <c:pt idx="91">
                  <c:v>1.5748031496062995E-2</c:v>
                </c:pt>
                <c:pt idx="92">
                  <c:v>1.5748031496062995E-2</c:v>
                </c:pt>
                <c:pt idx="93">
                  <c:v>1.5748031496062995E-2</c:v>
                </c:pt>
                <c:pt idx="94">
                  <c:v>1.5748031496062995E-2</c:v>
                </c:pt>
                <c:pt idx="95">
                  <c:v>1.5748031496062995E-2</c:v>
                </c:pt>
                <c:pt idx="96">
                  <c:v>1.5748031496062995E-2</c:v>
                </c:pt>
                <c:pt idx="97">
                  <c:v>1.5748031496062995E-2</c:v>
                </c:pt>
                <c:pt idx="98">
                  <c:v>1.5748031496062995E-2</c:v>
                </c:pt>
                <c:pt idx="99">
                  <c:v>1.5748031496062995E-2</c:v>
                </c:pt>
                <c:pt idx="100">
                  <c:v>1.5748031496062995E-2</c:v>
                </c:pt>
              </c:numCache>
            </c:numRef>
          </c:yVal>
          <c:smooth val="0"/>
          <c:extLst>
            <c:ext xmlns:c16="http://schemas.microsoft.com/office/drawing/2014/chart" uri="{C3380CC4-5D6E-409C-BE32-E72D297353CC}">
              <c16:uniqueId val="{00000000-6846-4A1A-A948-6C46940E5E34}"/>
            </c:ext>
          </c:extLst>
        </c:ser>
        <c:ser>
          <c:idx val="0"/>
          <c:order val="1"/>
          <c:tx>
            <c:strRef>
              <c:f>Sizing!$CO$59</c:f>
              <c:strCache>
                <c:ptCount val="1"/>
                <c:pt idx="0">
                  <c:v>As-built Skin Facesheet OML Thickness [in]</c:v>
                </c:pt>
              </c:strCache>
            </c:strRef>
          </c:tx>
          <c:spPr>
            <a:ln w="25400" cap="rnd">
              <a:noFill/>
              <a:round/>
            </a:ln>
            <a:effectLst/>
          </c:spPr>
          <c:marker>
            <c:symbol val="circle"/>
            <c:size val="5"/>
            <c:spPr>
              <a:solidFill>
                <a:schemeClr val="accent1"/>
              </a:solidFill>
              <a:ln w="9525">
                <a:solidFill>
                  <a:schemeClr val="accent1"/>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Sizing!$CO$60:$CO$160</c:f>
              <c:numCache>
                <c:formatCode>0.000</c:formatCode>
                <c:ptCount val="101"/>
                <c:pt idx="0">
                  <c:v>2.3622047244094495E-2</c:v>
                </c:pt>
                <c:pt idx="1">
                  <c:v>2.3622047244094495E-2</c:v>
                </c:pt>
                <c:pt idx="2">
                  <c:v>2.3622047244094495E-2</c:v>
                </c:pt>
                <c:pt idx="3">
                  <c:v>2.3622047244094495E-2</c:v>
                </c:pt>
                <c:pt idx="4">
                  <c:v>2.3622047244094495E-2</c:v>
                </c:pt>
                <c:pt idx="5">
                  <c:v>2.3622047244094495E-2</c:v>
                </c:pt>
                <c:pt idx="6">
                  <c:v>2.3622047244094495E-2</c:v>
                </c:pt>
                <c:pt idx="7">
                  <c:v>2.3622047244094495E-2</c:v>
                </c:pt>
                <c:pt idx="8">
                  <c:v>2.3622047244094495E-2</c:v>
                </c:pt>
                <c:pt idx="9">
                  <c:v>2.3622047244094495E-2</c:v>
                </c:pt>
                <c:pt idx="10">
                  <c:v>2.3622047244094495E-2</c:v>
                </c:pt>
                <c:pt idx="11">
                  <c:v>2.3622047244094495E-2</c:v>
                </c:pt>
                <c:pt idx="12">
                  <c:v>2.3622047244094495E-2</c:v>
                </c:pt>
                <c:pt idx="13">
                  <c:v>2.3622047244094495E-2</c:v>
                </c:pt>
                <c:pt idx="14">
                  <c:v>2.3622047244094495E-2</c:v>
                </c:pt>
                <c:pt idx="15">
                  <c:v>2.3622047244094495E-2</c:v>
                </c:pt>
                <c:pt idx="16">
                  <c:v>2.3622047244094495E-2</c:v>
                </c:pt>
                <c:pt idx="17">
                  <c:v>2.3622047244094495E-2</c:v>
                </c:pt>
                <c:pt idx="18">
                  <c:v>2.3622047244094495E-2</c:v>
                </c:pt>
                <c:pt idx="19">
                  <c:v>2.3622047244094495E-2</c:v>
                </c:pt>
                <c:pt idx="20">
                  <c:v>2.3622047244094495E-2</c:v>
                </c:pt>
                <c:pt idx="21">
                  <c:v>2.3622047244094495E-2</c:v>
                </c:pt>
                <c:pt idx="22">
                  <c:v>2.3622047244094495E-2</c:v>
                </c:pt>
                <c:pt idx="23">
                  <c:v>2.3622047244094495E-2</c:v>
                </c:pt>
                <c:pt idx="24">
                  <c:v>2.3622047244094495E-2</c:v>
                </c:pt>
                <c:pt idx="25">
                  <c:v>2.3622047244094495E-2</c:v>
                </c:pt>
                <c:pt idx="26">
                  <c:v>2.3622047244094495E-2</c:v>
                </c:pt>
                <c:pt idx="27">
                  <c:v>2.3622047244094495E-2</c:v>
                </c:pt>
                <c:pt idx="28">
                  <c:v>2.3622047244094495E-2</c:v>
                </c:pt>
                <c:pt idx="29">
                  <c:v>2.3622047244094495E-2</c:v>
                </c:pt>
                <c:pt idx="30">
                  <c:v>2.3622047244094495E-2</c:v>
                </c:pt>
                <c:pt idx="31">
                  <c:v>2.3622047244094495E-2</c:v>
                </c:pt>
                <c:pt idx="32">
                  <c:v>2.3622047244094495E-2</c:v>
                </c:pt>
                <c:pt idx="33">
                  <c:v>2.3622047244094495E-2</c:v>
                </c:pt>
                <c:pt idx="34">
                  <c:v>2.3622047244094495E-2</c:v>
                </c:pt>
                <c:pt idx="35">
                  <c:v>2.3622047244094495E-2</c:v>
                </c:pt>
                <c:pt idx="36">
                  <c:v>2.3622047244094495E-2</c:v>
                </c:pt>
                <c:pt idx="37">
                  <c:v>2.3622047244094495E-2</c:v>
                </c:pt>
                <c:pt idx="38">
                  <c:v>2.3622047244094495E-2</c:v>
                </c:pt>
                <c:pt idx="39">
                  <c:v>2.3622047244094495E-2</c:v>
                </c:pt>
                <c:pt idx="40">
                  <c:v>2.3622047244094495E-2</c:v>
                </c:pt>
                <c:pt idx="41">
                  <c:v>2.3622047244094495E-2</c:v>
                </c:pt>
                <c:pt idx="42">
                  <c:v>2.3622047244094495E-2</c:v>
                </c:pt>
                <c:pt idx="43">
                  <c:v>2.3622047244094495E-2</c:v>
                </c:pt>
                <c:pt idx="44">
                  <c:v>2.3622047244094495E-2</c:v>
                </c:pt>
                <c:pt idx="45">
                  <c:v>2.3622047244094495E-2</c:v>
                </c:pt>
                <c:pt idx="46">
                  <c:v>2.3622047244094495E-2</c:v>
                </c:pt>
                <c:pt idx="47">
                  <c:v>2.3622047244094495E-2</c:v>
                </c:pt>
                <c:pt idx="48">
                  <c:v>2.3622047244094495E-2</c:v>
                </c:pt>
                <c:pt idx="49">
                  <c:v>2.3622047244094495E-2</c:v>
                </c:pt>
                <c:pt idx="50">
                  <c:v>2.3622047244094495E-2</c:v>
                </c:pt>
                <c:pt idx="51">
                  <c:v>2.3622047244094495E-2</c:v>
                </c:pt>
                <c:pt idx="52">
                  <c:v>2.3622047244094495E-2</c:v>
                </c:pt>
                <c:pt idx="53">
                  <c:v>2.3622047244094495E-2</c:v>
                </c:pt>
                <c:pt idx="54">
                  <c:v>2.3622047244094495E-2</c:v>
                </c:pt>
                <c:pt idx="55">
                  <c:v>2.3622047244094495E-2</c:v>
                </c:pt>
                <c:pt idx="56">
                  <c:v>2.3622047244094495E-2</c:v>
                </c:pt>
                <c:pt idx="57">
                  <c:v>2.3622047244094495E-2</c:v>
                </c:pt>
                <c:pt idx="58">
                  <c:v>2.3622047244094495E-2</c:v>
                </c:pt>
                <c:pt idx="59">
                  <c:v>2.3622047244094495E-2</c:v>
                </c:pt>
                <c:pt idx="60">
                  <c:v>2.3622047244094495E-2</c:v>
                </c:pt>
                <c:pt idx="61">
                  <c:v>2.3622047244094495E-2</c:v>
                </c:pt>
                <c:pt idx="62">
                  <c:v>2.3622047244094495E-2</c:v>
                </c:pt>
                <c:pt idx="63">
                  <c:v>2.3622047244094495E-2</c:v>
                </c:pt>
                <c:pt idx="64">
                  <c:v>2.3622047244094495E-2</c:v>
                </c:pt>
                <c:pt idx="65">
                  <c:v>2.3622047244094495E-2</c:v>
                </c:pt>
                <c:pt idx="66">
                  <c:v>2.3622047244094495E-2</c:v>
                </c:pt>
                <c:pt idx="67">
                  <c:v>2.3622047244094495E-2</c:v>
                </c:pt>
                <c:pt idx="68">
                  <c:v>2.3622047244094495E-2</c:v>
                </c:pt>
                <c:pt idx="69">
                  <c:v>2.3622047244094495E-2</c:v>
                </c:pt>
                <c:pt idx="70">
                  <c:v>2.3622047244094495E-2</c:v>
                </c:pt>
                <c:pt idx="71">
                  <c:v>2.3622047244094495E-2</c:v>
                </c:pt>
                <c:pt idx="72">
                  <c:v>2.3622047244094495E-2</c:v>
                </c:pt>
                <c:pt idx="73">
                  <c:v>2.3622047244094495E-2</c:v>
                </c:pt>
                <c:pt idx="74">
                  <c:v>2.3622047244094495E-2</c:v>
                </c:pt>
                <c:pt idx="75">
                  <c:v>2.3622047244094495E-2</c:v>
                </c:pt>
                <c:pt idx="76">
                  <c:v>2.3622047244094495E-2</c:v>
                </c:pt>
                <c:pt idx="77">
                  <c:v>2.3622047244094495E-2</c:v>
                </c:pt>
                <c:pt idx="78">
                  <c:v>2.3622047244094495E-2</c:v>
                </c:pt>
                <c:pt idx="79">
                  <c:v>2.3622047244094495E-2</c:v>
                </c:pt>
                <c:pt idx="80">
                  <c:v>2.3622047244094495E-2</c:v>
                </c:pt>
                <c:pt idx="81">
                  <c:v>2.3622047244094495E-2</c:v>
                </c:pt>
                <c:pt idx="82">
                  <c:v>2.3622047244094495E-2</c:v>
                </c:pt>
                <c:pt idx="83">
                  <c:v>2.3622047244094495E-2</c:v>
                </c:pt>
                <c:pt idx="84">
                  <c:v>2.3622047244094495E-2</c:v>
                </c:pt>
                <c:pt idx="85">
                  <c:v>2.3622047244094495E-2</c:v>
                </c:pt>
                <c:pt idx="86">
                  <c:v>2.3622047244094495E-2</c:v>
                </c:pt>
                <c:pt idx="87">
                  <c:v>2.3622047244094495E-2</c:v>
                </c:pt>
                <c:pt idx="88">
                  <c:v>2.3622047244094495E-2</c:v>
                </c:pt>
                <c:pt idx="89">
                  <c:v>2.3622047244094495E-2</c:v>
                </c:pt>
                <c:pt idx="90">
                  <c:v>2.3622047244094495E-2</c:v>
                </c:pt>
                <c:pt idx="91">
                  <c:v>2.3622047244094495E-2</c:v>
                </c:pt>
                <c:pt idx="92">
                  <c:v>2.3622047244094495E-2</c:v>
                </c:pt>
                <c:pt idx="93">
                  <c:v>2.3622047244094495E-2</c:v>
                </c:pt>
                <c:pt idx="94">
                  <c:v>2.3622047244094495E-2</c:v>
                </c:pt>
                <c:pt idx="95">
                  <c:v>2.3622047244094495E-2</c:v>
                </c:pt>
                <c:pt idx="96">
                  <c:v>2.3622047244094495E-2</c:v>
                </c:pt>
                <c:pt idx="97">
                  <c:v>2.3622047244094495E-2</c:v>
                </c:pt>
                <c:pt idx="98">
                  <c:v>2.3622047244094495E-2</c:v>
                </c:pt>
                <c:pt idx="99">
                  <c:v>2.3622047244094495E-2</c:v>
                </c:pt>
                <c:pt idx="100">
                  <c:v>2.3622047244094495E-2</c:v>
                </c:pt>
              </c:numCache>
            </c:numRef>
          </c:yVal>
          <c:smooth val="0"/>
          <c:extLst>
            <c:ext xmlns:c16="http://schemas.microsoft.com/office/drawing/2014/chart" uri="{C3380CC4-5D6E-409C-BE32-E72D297353CC}">
              <c16:uniqueId val="{00000001-6846-4A1A-A948-6C46940E5E34}"/>
            </c:ext>
          </c:extLst>
        </c:ser>
        <c:dLbls>
          <c:showLegendKey val="0"/>
          <c:showVal val="0"/>
          <c:showCatName val="0"/>
          <c:showSerName val="0"/>
          <c:showPercent val="0"/>
          <c:showBubbleSize val="0"/>
        </c:dLbls>
        <c:axId val="401962880"/>
        <c:axId val="401962096"/>
      </c:scatterChart>
      <c:valAx>
        <c:axId val="40196288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2096"/>
        <c:crosses val="autoZero"/>
        <c:crossBetween val="midCat"/>
      </c:valAx>
      <c:valAx>
        <c:axId val="4019620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Thickness</a:t>
                </a:r>
                <a:r>
                  <a:rPr lang="en-US" baseline="0"/>
                  <a:t> [in]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28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 GJ</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1"/>
          <c:tx>
            <c:strRef>
              <c:f>Stiffness!$AQ$43</c:f>
              <c:strCache>
                <c:ptCount val="1"/>
                <c:pt idx="0">
                  <c:v>Net EIcc
[lb-in^2]</c:v>
                </c:pt>
              </c:strCache>
            </c:strRef>
          </c:tx>
          <c:spPr>
            <a:ln w="25400" cap="rnd">
              <a:noFill/>
              <a:round/>
            </a:ln>
            <a:effectLst/>
          </c:spPr>
          <c:marker>
            <c:symbol val="circle"/>
            <c:size val="5"/>
            <c:spPr>
              <a:solidFill>
                <a:schemeClr val="accent2"/>
              </a:solidFill>
              <a:ln w="9525">
                <a:solidFill>
                  <a:schemeClr val="accent2"/>
                </a:solidFill>
              </a:ln>
              <a:effectLst/>
            </c:spPr>
          </c:marker>
          <c:xVal>
            <c:numRef>
              <c:f>Stiffness!$B$44:$B$144</c:f>
              <c:numCache>
                <c:formatCode>0.0</c:formatCode>
                <c:ptCount val="101"/>
                <c:pt idx="0">
                  <c:v>0</c:v>
                </c:pt>
                <c:pt idx="1">
                  <c:v>9.8425200000000004E-2</c:v>
                </c:pt>
                <c:pt idx="2">
                  <c:v>0.19685040000000001</c:v>
                </c:pt>
                <c:pt idx="3">
                  <c:v>0.29527560000000003</c:v>
                </c:pt>
                <c:pt idx="4">
                  <c:v>0.39370080000000002</c:v>
                </c:pt>
                <c:pt idx="5">
                  <c:v>0.49212600000000006</c:v>
                </c:pt>
                <c:pt idx="6">
                  <c:v>0.59055120000000005</c:v>
                </c:pt>
                <c:pt idx="7">
                  <c:v>0.68897640000000004</c:v>
                </c:pt>
                <c:pt idx="8">
                  <c:v>0.78740160000000003</c:v>
                </c:pt>
                <c:pt idx="9">
                  <c:v>0.88582680000000003</c:v>
                </c:pt>
                <c:pt idx="10">
                  <c:v>0.98425200000000013</c:v>
                </c:pt>
                <c:pt idx="11">
                  <c:v>1.0826772</c:v>
                </c:pt>
                <c:pt idx="12">
                  <c:v>1.1811024000000001</c:v>
                </c:pt>
                <c:pt idx="13">
                  <c:v>1.2795276</c:v>
                </c:pt>
                <c:pt idx="14">
                  <c:v>1.3779528000000001</c:v>
                </c:pt>
                <c:pt idx="15">
                  <c:v>1.476378</c:v>
                </c:pt>
                <c:pt idx="16">
                  <c:v>1.5748032000000001</c:v>
                </c:pt>
                <c:pt idx="17">
                  <c:v>1.6732284000000002</c:v>
                </c:pt>
                <c:pt idx="18">
                  <c:v>1.7716536000000001</c:v>
                </c:pt>
                <c:pt idx="19">
                  <c:v>1.8700788000000002</c:v>
                </c:pt>
                <c:pt idx="20">
                  <c:v>1.9685040000000003</c:v>
                </c:pt>
                <c:pt idx="21">
                  <c:v>2.0669292000000001</c:v>
                </c:pt>
                <c:pt idx="22">
                  <c:v>2.1653544</c:v>
                </c:pt>
                <c:pt idx="23">
                  <c:v>2.2637796000000003</c:v>
                </c:pt>
                <c:pt idx="24">
                  <c:v>2.3622048000000002</c:v>
                </c:pt>
                <c:pt idx="25">
                  <c:v>2.4606300000000001</c:v>
                </c:pt>
                <c:pt idx="26">
                  <c:v>2.5590552</c:v>
                </c:pt>
                <c:pt idx="27">
                  <c:v>2.6574804000000003</c:v>
                </c:pt>
                <c:pt idx="28">
                  <c:v>2.7559056000000002</c:v>
                </c:pt>
                <c:pt idx="29">
                  <c:v>2.8543308000000001</c:v>
                </c:pt>
                <c:pt idx="30">
                  <c:v>2.9527559999999999</c:v>
                </c:pt>
                <c:pt idx="31">
                  <c:v>3.0511812000000003</c:v>
                </c:pt>
                <c:pt idx="32">
                  <c:v>3.1496064000000001</c:v>
                </c:pt>
                <c:pt idx="33">
                  <c:v>3.2480316000000005</c:v>
                </c:pt>
                <c:pt idx="34">
                  <c:v>3.3464568000000003</c:v>
                </c:pt>
                <c:pt idx="35">
                  <c:v>3.4448819999999998</c:v>
                </c:pt>
                <c:pt idx="36">
                  <c:v>3.5433072000000001</c:v>
                </c:pt>
                <c:pt idx="37">
                  <c:v>3.6417324</c:v>
                </c:pt>
                <c:pt idx="38">
                  <c:v>3.7401576000000003</c:v>
                </c:pt>
                <c:pt idx="39">
                  <c:v>3.8385828000000002</c:v>
                </c:pt>
                <c:pt idx="40">
                  <c:v>3.9370080000000005</c:v>
                </c:pt>
                <c:pt idx="41">
                  <c:v>4.0354331999999999</c:v>
                </c:pt>
                <c:pt idx="42">
                  <c:v>4.1338584000000003</c:v>
                </c:pt>
                <c:pt idx="43">
                  <c:v>4.2322835999999997</c:v>
                </c:pt>
                <c:pt idx="44">
                  <c:v>4.3307088</c:v>
                </c:pt>
                <c:pt idx="45">
                  <c:v>4.4291340000000003</c:v>
                </c:pt>
                <c:pt idx="46">
                  <c:v>4.5275592000000007</c:v>
                </c:pt>
                <c:pt idx="47">
                  <c:v>4.6259844000000001</c:v>
                </c:pt>
                <c:pt idx="48">
                  <c:v>4.7244096000000004</c:v>
                </c:pt>
                <c:pt idx="49">
                  <c:v>4.8228347999999999</c:v>
                </c:pt>
                <c:pt idx="50">
                  <c:v>4.9212600000000002</c:v>
                </c:pt>
                <c:pt idx="51">
                  <c:v>5.0196852000000005</c:v>
                </c:pt>
                <c:pt idx="52">
                  <c:v>5.1181103999999999</c:v>
                </c:pt>
                <c:pt idx="53">
                  <c:v>5.2165356000000003</c:v>
                </c:pt>
                <c:pt idx="54">
                  <c:v>5.3149608000000006</c:v>
                </c:pt>
                <c:pt idx="55">
                  <c:v>5.4133860000000009</c:v>
                </c:pt>
                <c:pt idx="56">
                  <c:v>5.5118112000000004</c:v>
                </c:pt>
                <c:pt idx="57">
                  <c:v>5.6102363999999998</c:v>
                </c:pt>
                <c:pt idx="58">
                  <c:v>5.7086616000000001</c:v>
                </c:pt>
                <c:pt idx="59">
                  <c:v>5.8070867999999995</c:v>
                </c:pt>
                <c:pt idx="60">
                  <c:v>5.9055119999999999</c:v>
                </c:pt>
                <c:pt idx="61">
                  <c:v>6.0039372000000002</c:v>
                </c:pt>
                <c:pt idx="62">
                  <c:v>6.1023624000000005</c:v>
                </c:pt>
                <c:pt idx="63">
                  <c:v>6.2007876</c:v>
                </c:pt>
                <c:pt idx="64">
                  <c:v>6.2992128000000003</c:v>
                </c:pt>
                <c:pt idx="65">
                  <c:v>6.3976380000000006</c:v>
                </c:pt>
                <c:pt idx="66">
                  <c:v>6.4960632000000009</c:v>
                </c:pt>
                <c:pt idx="67">
                  <c:v>6.5944884000000004</c:v>
                </c:pt>
                <c:pt idx="68">
                  <c:v>6.6929136000000007</c:v>
                </c:pt>
                <c:pt idx="69">
                  <c:v>6.7913388000000001</c:v>
                </c:pt>
                <c:pt idx="70">
                  <c:v>6.8897639999999996</c:v>
                </c:pt>
                <c:pt idx="71">
                  <c:v>6.9881891999999999</c:v>
                </c:pt>
                <c:pt idx="72">
                  <c:v>7.0866144000000002</c:v>
                </c:pt>
                <c:pt idx="73">
                  <c:v>7.1850396000000005</c:v>
                </c:pt>
                <c:pt idx="74">
                  <c:v>7.2834648</c:v>
                </c:pt>
                <c:pt idx="75">
                  <c:v>7.3818900000000003</c:v>
                </c:pt>
                <c:pt idx="76">
                  <c:v>7.4803152000000006</c:v>
                </c:pt>
                <c:pt idx="77">
                  <c:v>7.5787404</c:v>
                </c:pt>
                <c:pt idx="78">
                  <c:v>7.6771656000000004</c:v>
                </c:pt>
                <c:pt idx="79">
                  <c:v>7.7755908000000007</c:v>
                </c:pt>
                <c:pt idx="80">
                  <c:v>7.874016000000001</c:v>
                </c:pt>
                <c:pt idx="81">
                  <c:v>7.9724412000000004</c:v>
                </c:pt>
                <c:pt idx="82">
                  <c:v>8.0708663999999999</c:v>
                </c:pt>
                <c:pt idx="83">
                  <c:v>8.1692915999999993</c:v>
                </c:pt>
                <c:pt idx="84">
                  <c:v>8.2677168000000005</c:v>
                </c:pt>
                <c:pt idx="85">
                  <c:v>8.366142</c:v>
                </c:pt>
                <c:pt idx="86">
                  <c:v>8.4645671999999994</c:v>
                </c:pt>
                <c:pt idx="87">
                  <c:v>8.5629924000000006</c:v>
                </c:pt>
                <c:pt idx="88">
                  <c:v>8.6614176</c:v>
                </c:pt>
                <c:pt idx="89">
                  <c:v>8.7598428000000013</c:v>
                </c:pt>
                <c:pt idx="90">
                  <c:v>8.8582680000000007</c:v>
                </c:pt>
                <c:pt idx="91">
                  <c:v>8.9566932000000001</c:v>
                </c:pt>
                <c:pt idx="92">
                  <c:v>9.0551184000000013</c:v>
                </c:pt>
                <c:pt idx="93">
                  <c:v>9.1535436000000008</c:v>
                </c:pt>
                <c:pt idx="94">
                  <c:v>9.2519688000000002</c:v>
                </c:pt>
                <c:pt idx="95">
                  <c:v>9.3503939999999997</c:v>
                </c:pt>
                <c:pt idx="96">
                  <c:v>9.4488192000000009</c:v>
                </c:pt>
                <c:pt idx="97">
                  <c:v>9.5472444000000003</c:v>
                </c:pt>
                <c:pt idx="98">
                  <c:v>9.6456695999999997</c:v>
                </c:pt>
                <c:pt idx="99">
                  <c:v>9.7440948000000009</c:v>
                </c:pt>
                <c:pt idx="100">
                  <c:v>9.8425200000000004</c:v>
                </c:pt>
              </c:numCache>
            </c:numRef>
          </c:xVal>
          <c:yVal>
            <c:numRef>
              <c:f>Stiffness!$AQ$44:$AQ$144</c:f>
              <c:numCache>
                <c:formatCode>0.00E+00</c:formatCode>
                <c:ptCount val="101"/>
                <c:pt idx="0">
                  <c:v>37735512.683770753</c:v>
                </c:pt>
                <c:pt idx="1">
                  <c:v>37263002.416818298</c:v>
                </c:pt>
                <c:pt idx="2">
                  <c:v>36793469.117711939</c:v>
                </c:pt>
                <c:pt idx="3">
                  <c:v>36326912.78645169</c:v>
                </c:pt>
                <c:pt idx="4">
                  <c:v>35863333.423037551</c:v>
                </c:pt>
                <c:pt idx="5">
                  <c:v>35402731.027469486</c:v>
                </c:pt>
                <c:pt idx="6">
                  <c:v>34945105.599747561</c:v>
                </c:pt>
                <c:pt idx="7">
                  <c:v>34490457.139871716</c:v>
                </c:pt>
                <c:pt idx="8">
                  <c:v>34038785.647841975</c:v>
                </c:pt>
                <c:pt idx="9">
                  <c:v>33590091.123658359</c:v>
                </c:pt>
                <c:pt idx="10">
                  <c:v>28172225.628359366</c:v>
                </c:pt>
                <c:pt idx="11">
                  <c:v>27803024.083539117</c:v>
                </c:pt>
                <c:pt idx="12">
                  <c:v>27436257.744706485</c:v>
                </c:pt>
                <c:pt idx="13">
                  <c:v>27071926.611861419</c:v>
                </c:pt>
                <c:pt idx="14">
                  <c:v>26710030.685003929</c:v>
                </c:pt>
                <c:pt idx="15">
                  <c:v>26350569.964134034</c:v>
                </c:pt>
                <c:pt idx="16">
                  <c:v>25993544.449251704</c:v>
                </c:pt>
                <c:pt idx="17">
                  <c:v>25638954.140356954</c:v>
                </c:pt>
                <c:pt idx="18">
                  <c:v>25286799.037449785</c:v>
                </c:pt>
                <c:pt idx="19">
                  <c:v>24937079.140530214</c:v>
                </c:pt>
                <c:pt idx="20">
                  <c:v>20403945.556980196</c:v>
                </c:pt>
                <c:pt idx="21">
                  <c:v>20123577.844750024</c:v>
                </c:pt>
                <c:pt idx="22">
                  <c:v>19845149.727836084</c:v>
                </c:pt>
                <c:pt idx="23">
                  <c:v>19568661.206238374</c:v>
                </c:pt>
                <c:pt idx="24">
                  <c:v>19294112.279956914</c:v>
                </c:pt>
                <c:pt idx="25">
                  <c:v>19021502.948991682</c:v>
                </c:pt>
                <c:pt idx="26">
                  <c:v>18750833.213342685</c:v>
                </c:pt>
                <c:pt idx="27">
                  <c:v>18482103.073009923</c:v>
                </c:pt>
                <c:pt idx="28">
                  <c:v>18215312.527993403</c:v>
                </c:pt>
                <c:pt idx="29">
                  <c:v>17950461.578293119</c:v>
                </c:pt>
                <c:pt idx="30">
                  <c:v>14229368.141174043</c:v>
                </c:pt>
                <c:pt idx="31">
                  <c:v>14023948.33159991</c:v>
                </c:pt>
                <c:pt idx="32">
                  <c:v>13820022.07609693</c:v>
                </c:pt>
                <c:pt idx="33">
                  <c:v>13617589.3746651</c:v>
                </c:pt>
                <c:pt idx="34">
                  <c:v>13416650.227304421</c:v>
                </c:pt>
                <c:pt idx="35">
                  <c:v>13217204.634014901</c:v>
                </c:pt>
                <c:pt idx="36">
                  <c:v>13019252.594796523</c:v>
                </c:pt>
                <c:pt idx="37">
                  <c:v>12822794.109649293</c:v>
                </c:pt>
                <c:pt idx="38">
                  <c:v>12627829.178573217</c:v>
                </c:pt>
                <c:pt idx="39">
                  <c:v>12434357.80156829</c:v>
                </c:pt>
                <c:pt idx="40">
                  <c:v>9452416.4956165105</c:v>
                </c:pt>
                <c:pt idx="41">
                  <c:v>9308731.4657177199</c:v>
                </c:pt>
                <c:pt idx="42">
                  <c:v>9166146.8850348666</c:v>
                </c:pt>
                <c:pt idx="43">
                  <c:v>9024662.7535679508</c:v>
                </c:pt>
                <c:pt idx="44">
                  <c:v>8884279.0713169724</c:v>
                </c:pt>
                <c:pt idx="45">
                  <c:v>8744995.8382819369</c:v>
                </c:pt>
                <c:pt idx="46">
                  <c:v>8606813.0544628333</c:v>
                </c:pt>
                <c:pt idx="47">
                  <c:v>8469730.7198596671</c:v>
                </c:pt>
                <c:pt idx="48">
                  <c:v>8333748.8344724383</c:v>
                </c:pt>
                <c:pt idx="49">
                  <c:v>8198867.398301146</c:v>
                </c:pt>
                <c:pt idx="50">
                  <c:v>5883134.7305452144</c:v>
                </c:pt>
                <c:pt idx="51">
                  <c:v>5788733.2328485986</c:v>
                </c:pt>
                <c:pt idx="52">
                  <c:v>5695095.2623387845</c:v>
                </c:pt>
                <c:pt idx="53">
                  <c:v>5602220.8190157712</c:v>
                </c:pt>
                <c:pt idx="54">
                  <c:v>5510109.9028795594</c:v>
                </c:pt>
                <c:pt idx="55">
                  <c:v>5418762.5139301531</c:v>
                </c:pt>
                <c:pt idx="56">
                  <c:v>5328178.6521675438</c:v>
                </c:pt>
                <c:pt idx="57">
                  <c:v>5238358.3175917361</c:v>
                </c:pt>
                <c:pt idx="58">
                  <c:v>5149301.5102027291</c:v>
                </c:pt>
                <c:pt idx="59">
                  <c:v>5061008.2300005229</c:v>
                </c:pt>
                <c:pt idx="60">
                  <c:v>3338436.8253046419</c:v>
                </c:pt>
                <c:pt idx="61">
                  <c:v>3281727.1850903872</c:v>
                </c:pt>
                <c:pt idx="62">
                  <c:v>3225503.3398333834</c:v>
                </c:pt>
                <c:pt idx="63">
                  <c:v>3169765.2895336291</c:v>
                </c:pt>
                <c:pt idx="64">
                  <c:v>3114513.0341911241</c:v>
                </c:pt>
                <c:pt idx="65">
                  <c:v>3059746.573805871</c:v>
                </c:pt>
                <c:pt idx="66">
                  <c:v>3005465.9083778649</c:v>
                </c:pt>
                <c:pt idx="67">
                  <c:v>2951671.0379071087</c:v>
                </c:pt>
                <c:pt idx="68">
                  <c:v>2898361.9623936019</c:v>
                </c:pt>
                <c:pt idx="69">
                  <c:v>2845538.681837345</c:v>
                </c:pt>
                <c:pt idx="70">
                  <c:v>1642663.0343519049</c:v>
                </c:pt>
                <c:pt idx="71">
                  <c:v>1613024.9410070933</c:v>
                </c:pt>
                <c:pt idx="72">
                  <c:v>1583656.6630696096</c:v>
                </c:pt>
                <c:pt idx="73">
                  <c:v>1554558.2005394537</c:v>
                </c:pt>
                <c:pt idx="74">
                  <c:v>1525729.5534166261</c:v>
                </c:pt>
                <c:pt idx="75">
                  <c:v>1497170.7217011277</c:v>
                </c:pt>
                <c:pt idx="76">
                  <c:v>1468881.7053929556</c:v>
                </c:pt>
                <c:pt idx="77">
                  <c:v>1440862.504492112</c:v>
                </c:pt>
                <c:pt idx="78">
                  <c:v>1413113.1189985962</c:v>
                </c:pt>
                <c:pt idx="79">
                  <c:v>1385633.5489124083</c:v>
                </c:pt>
                <c:pt idx="80">
                  <c:v>627799.1568840344</c:v>
                </c:pt>
                <c:pt idx="81">
                  <c:v>615719.90943205485</c:v>
                </c:pt>
                <c:pt idx="82">
                  <c:v>603757.99967516365</c:v>
                </c:pt>
                <c:pt idx="83">
                  <c:v>591913.42761336069</c:v>
                </c:pt>
                <c:pt idx="84">
                  <c:v>580186.19324664597</c:v>
                </c:pt>
                <c:pt idx="85">
                  <c:v>568576.29657501983</c:v>
                </c:pt>
                <c:pt idx="86">
                  <c:v>557083.73759848159</c:v>
                </c:pt>
                <c:pt idx="87">
                  <c:v>545708.5163170317</c:v>
                </c:pt>
                <c:pt idx="88">
                  <c:v>534450.63273066992</c:v>
                </c:pt>
                <c:pt idx="89">
                  <c:v>523310.08683939639</c:v>
                </c:pt>
                <c:pt idx="90">
                  <c:v>132879.59692031055</c:v>
                </c:pt>
                <c:pt idx="91">
                  <c:v>130139.45794969444</c:v>
                </c:pt>
                <c:pt idx="92">
                  <c:v>127427.86658876958</c:v>
                </c:pt>
                <c:pt idx="93">
                  <c:v>124744.82283753598</c:v>
                </c:pt>
                <c:pt idx="94">
                  <c:v>122090.32669599367</c:v>
                </c:pt>
                <c:pt idx="95">
                  <c:v>119464.3781641427</c:v>
                </c:pt>
                <c:pt idx="96">
                  <c:v>116866.97724198288</c:v>
                </c:pt>
                <c:pt idx="97">
                  <c:v>114298.1239295144</c:v>
                </c:pt>
                <c:pt idx="98">
                  <c:v>111757.81822673712</c:v>
                </c:pt>
                <c:pt idx="99">
                  <c:v>109246.0601336511</c:v>
                </c:pt>
                <c:pt idx="100">
                  <c:v>106762.84965025641</c:v>
                </c:pt>
              </c:numCache>
            </c:numRef>
          </c:yVal>
          <c:smooth val="0"/>
          <c:extLst>
            <c:ext xmlns:c16="http://schemas.microsoft.com/office/drawing/2014/chart" uri="{C3380CC4-5D6E-409C-BE32-E72D297353CC}">
              <c16:uniqueId val="{00000005-DB6C-4ABC-A5F4-AA73E94C94A1}"/>
            </c:ext>
          </c:extLst>
        </c:ser>
        <c:ser>
          <c:idx val="2"/>
          <c:order val="2"/>
          <c:tx>
            <c:strRef>
              <c:f>Stiffness!$AV$43</c:f>
              <c:strCache>
                <c:ptCount val="1"/>
                <c:pt idx="0">
                  <c:v>Net EInn
[lb-in^2]</c:v>
                </c:pt>
              </c:strCache>
            </c:strRef>
          </c:tx>
          <c:spPr>
            <a:ln w="25400" cap="rnd">
              <a:noFill/>
              <a:round/>
            </a:ln>
            <a:effectLst/>
          </c:spPr>
          <c:marker>
            <c:symbol val="circle"/>
            <c:size val="5"/>
            <c:spPr>
              <a:solidFill>
                <a:schemeClr val="accent3"/>
              </a:solidFill>
              <a:ln w="9525">
                <a:solidFill>
                  <a:schemeClr val="accent3"/>
                </a:solidFill>
              </a:ln>
              <a:effectLst/>
            </c:spPr>
          </c:marker>
          <c:xVal>
            <c:numRef>
              <c:f>Stiffness!$B$44:$B$144</c:f>
              <c:numCache>
                <c:formatCode>0.0</c:formatCode>
                <c:ptCount val="101"/>
                <c:pt idx="0">
                  <c:v>0</c:v>
                </c:pt>
                <c:pt idx="1">
                  <c:v>9.8425200000000004E-2</c:v>
                </c:pt>
                <c:pt idx="2">
                  <c:v>0.19685040000000001</c:v>
                </c:pt>
                <c:pt idx="3">
                  <c:v>0.29527560000000003</c:v>
                </c:pt>
                <c:pt idx="4">
                  <c:v>0.39370080000000002</c:v>
                </c:pt>
                <c:pt idx="5">
                  <c:v>0.49212600000000006</c:v>
                </c:pt>
                <c:pt idx="6">
                  <c:v>0.59055120000000005</c:v>
                </c:pt>
                <c:pt idx="7">
                  <c:v>0.68897640000000004</c:v>
                </c:pt>
                <c:pt idx="8">
                  <c:v>0.78740160000000003</c:v>
                </c:pt>
                <c:pt idx="9">
                  <c:v>0.88582680000000003</c:v>
                </c:pt>
                <c:pt idx="10">
                  <c:v>0.98425200000000013</c:v>
                </c:pt>
                <c:pt idx="11">
                  <c:v>1.0826772</c:v>
                </c:pt>
                <c:pt idx="12">
                  <c:v>1.1811024000000001</c:v>
                </c:pt>
                <c:pt idx="13">
                  <c:v>1.2795276</c:v>
                </c:pt>
                <c:pt idx="14">
                  <c:v>1.3779528000000001</c:v>
                </c:pt>
                <c:pt idx="15">
                  <c:v>1.476378</c:v>
                </c:pt>
                <c:pt idx="16">
                  <c:v>1.5748032000000001</c:v>
                </c:pt>
                <c:pt idx="17">
                  <c:v>1.6732284000000002</c:v>
                </c:pt>
                <c:pt idx="18">
                  <c:v>1.7716536000000001</c:v>
                </c:pt>
                <c:pt idx="19">
                  <c:v>1.8700788000000002</c:v>
                </c:pt>
                <c:pt idx="20">
                  <c:v>1.9685040000000003</c:v>
                </c:pt>
                <c:pt idx="21">
                  <c:v>2.0669292000000001</c:v>
                </c:pt>
                <c:pt idx="22">
                  <c:v>2.1653544</c:v>
                </c:pt>
                <c:pt idx="23">
                  <c:v>2.2637796000000003</c:v>
                </c:pt>
                <c:pt idx="24">
                  <c:v>2.3622048000000002</c:v>
                </c:pt>
                <c:pt idx="25">
                  <c:v>2.4606300000000001</c:v>
                </c:pt>
                <c:pt idx="26">
                  <c:v>2.5590552</c:v>
                </c:pt>
                <c:pt idx="27">
                  <c:v>2.6574804000000003</c:v>
                </c:pt>
                <c:pt idx="28">
                  <c:v>2.7559056000000002</c:v>
                </c:pt>
                <c:pt idx="29">
                  <c:v>2.8543308000000001</c:v>
                </c:pt>
                <c:pt idx="30">
                  <c:v>2.9527559999999999</c:v>
                </c:pt>
                <c:pt idx="31">
                  <c:v>3.0511812000000003</c:v>
                </c:pt>
                <c:pt idx="32">
                  <c:v>3.1496064000000001</c:v>
                </c:pt>
                <c:pt idx="33">
                  <c:v>3.2480316000000005</c:v>
                </c:pt>
                <c:pt idx="34">
                  <c:v>3.3464568000000003</c:v>
                </c:pt>
                <c:pt idx="35">
                  <c:v>3.4448819999999998</c:v>
                </c:pt>
                <c:pt idx="36">
                  <c:v>3.5433072000000001</c:v>
                </c:pt>
                <c:pt idx="37">
                  <c:v>3.6417324</c:v>
                </c:pt>
                <c:pt idx="38">
                  <c:v>3.7401576000000003</c:v>
                </c:pt>
                <c:pt idx="39">
                  <c:v>3.8385828000000002</c:v>
                </c:pt>
                <c:pt idx="40">
                  <c:v>3.9370080000000005</c:v>
                </c:pt>
                <c:pt idx="41">
                  <c:v>4.0354331999999999</c:v>
                </c:pt>
                <c:pt idx="42">
                  <c:v>4.1338584000000003</c:v>
                </c:pt>
                <c:pt idx="43">
                  <c:v>4.2322835999999997</c:v>
                </c:pt>
                <c:pt idx="44">
                  <c:v>4.3307088</c:v>
                </c:pt>
                <c:pt idx="45">
                  <c:v>4.4291340000000003</c:v>
                </c:pt>
                <c:pt idx="46">
                  <c:v>4.5275592000000007</c:v>
                </c:pt>
                <c:pt idx="47">
                  <c:v>4.6259844000000001</c:v>
                </c:pt>
                <c:pt idx="48">
                  <c:v>4.7244096000000004</c:v>
                </c:pt>
                <c:pt idx="49">
                  <c:v>4.8228347999999999</c:v>
                </c:pt>
                <c:pt idx="50">
                  <c:v>4.9212600000000002</c:v>
                </c:pt>
                <c:pt idx="51">
                  <c:v>5.0196852000000005</c:v>
                </c:pt>
                <c:pt idx="52">
                  <c:v>5.1181103999999999</c:v>
                </c:pt>
                <c:pt idx="53">
                  <c:v>5.2165356000000003</c:v>
                </c:pt>
                <c:pt idx="54">
                  <c:v>5.3149608000000006</c:v>
                </c:pt>
                <c:pt idx="55">
                  <c:v>5.4133860000000009</c:v>
                </c:pt>
                <c:pt idx="56">
                  <c:v>5.5118112000000004</c:v>
                </c:pt>
                <c:pt idx="57">
                  <c:v>5.6102363999999998</c:v>
                </c:pt>
                <c:pt idx="58">
                  <c:v>5.7086616000000001</c:v>
                </c:pt>
                <c:pt idx="59">
                  <c:v>5.8070867999999995</c:v>
                </c:pt>
                <c:pt idx="60">
                  <c:v>5.9055119999999999</c:v>
                </c:pt>
                <c:pt idx="61">
                  <c:v>6.0039372000000002</c:v>
                </c:pt>
                <c:pt idx="62">
                  <c:v>6.1023624000000005</c:v>
                </c:pt>
                <c:pt idx="63">
                  <c:v>6.2007876</c:v>
                </c:pt>
                <c:pt idx="64">
                  <c:v>6.2992128000000003</c:v>
                </c:pt>
                <c:pt idx="65">
                  <c:v>6.3976380000000006</c:v>
                </c:pt>
                <c:pt idx="66">
                  <c:v>6.4960632000000009</c:v>
                </c:pt>
                <c:pt idx="67">
                  <c:v>6.5944884000000004</c:v>
                </c:pt>
                <c:pt idx="68">
                  <c:v>6.6929136000000007</c:v>
                </c:pt>
                <c:pt idx="69">
                  <c:v>6.7913388000000001</c:v>
                </c:pt>
                <c:pt idx="70">
                  <c:v>6.8897639999999996</c:v>
                </c:pt>
                <c:pt idx="71">
                  <c:v>6.9881891999999999</c:v>
                </c:pt>
                <c:pt idx="72">
                  <c:v>7.0866144000000002</c:v>
                </c:pt>
                <c:pt idx="73">
                  <c:v>7.1850396000000005</c:v>
                </c:pt>
                <c:pt idx="74">
                  <c:v>7.2834648</c:v>
                </c:pt>
                <c:pt idx="75">
                  <c:v>7.3818900000000003</c:v>
                </c:pt>
                <c:pt idx="76">
                  <c:v>7.4803152000000006</c:v>
                </c:pt>
                <c:pt idx="77">
                  <c:v>7.5787404</c:v>
                </c:pt>
                <c:pt idx="78">
                  <c:v>7.6771656000000004</c:v>
                </c:pt>
                <c:pt idx="79">
                  <c:v>7.7755908000000007</c:v>
                </c:pt>
                <c:pt idx="80">
                  <c:v>7.874016000000001</c:v>
                </c:pt>
                <c:pt idx="81">
                  <c:v>7.9724412000000004</c:v>
                </c:pt>
                <c:pt idx="82">
                  <c:v>8.0708663999999999</c:v>
                </c:pt>
                <c:pt idx="83">
                  <c:v>8.1692915999999993</c:v>
                </c:pt>
                <c:pt idx="84">
                  <c:v>8.2677168000000005</c:v>
                </c:pt>
                <c:pt idx="85">
                  <c:v>8.366142</c:v>
                </c:pt>
                <c:pt idx="86">
                  <c:v>8.4645671999999994</c:v>
                </c:pt>
                <c:pt idx="87">
                  <c:v>8.5629924000000006</c:v>
                </c:pt>
                <c:pt idx="88">
                  <c:v>8.6614176</c:v>
                </c:pt>
                <c:pt idx="89">
                  <c:v>8.7598428000000013</c:v>
                </c:pt>
                <c:pt idx="90">
                  <c:v>8.8582680000000007</c:v>
                </c:pt>
                <c:pt idx="91">
                  <c:v>8.9566932000000001</c:v>
                </c:pt>
                <c:pt idx="92">
                  <c:v>9.0551184000000013</c:v>
                </c:pt>
                <c:pt idx="93">
                  <c:v>9.1535436000000008</c:v>
                </c:pt>
                <c:pt idx="94">
                  <c:v>9.2519688000000002</c:v>
                </c:pt>
                <c:pt idx="95">
                  <c:v>9.3503939999999997</c:v>
                </c:pt>
                <c:pt idx="96">
                  <c:v>9.4488192000000009</c:v>
                </c:pt>
                <c:pt idx="97">
                  <c:v>9.5472444000000003</c:v>
                </c:pt>
                <c:pt idx="98">
                  <c:v>9.6456695999999997</c:v>
                </c:pt>
                <c:pt idx="99">
                  <c:v>9.7440948000000009</c:v>
                </c:pt>
                <c:pt idx="100">
                  <c:v>9.8425200000000004</c:v>
                </c:pt>
              </c:numCache>
            </c:numRef>
          </c:xVal>
          <c:yVal>
            <c:numRef>
              <c:f>Stiffness!$AV$44:$AV$144</c:f>
              <c:numCache>
                <c:formatCode>0.00E+00</c:formatCode>
                <c:ptCount val="101"/>
                <c:pt idx="0">
                  <c:v>32895748.403073091</c:v>
                </c:pt>
                <c:pt idx="1">
                  <c:v>32592796.078726672</c:v>
                </c:pt>
                <c:pt idx="2">
                  <c:v>32291245.230051871</c:v>
                </c:pt>
                <c:pt idx="3">
                  <c:v>31991095.857048698</c:v>
                </c:pt>
                <c:pt idx="4">
                  <c:v>31692347.959717114</c:v>
                </c:pt>
                <c:pt idx="5">
                  <c:v>31395001.538057148</c:v>
                </c:pt>
                <c:pt idx="6">
                  <c:v>31099056.592068799</c:v>
                </c:pt>
                <c:pt idx="7">
                  <c:v>30804513.12175205</c:v>
                </c:pt>
                <c:pt idx="8">
                  <c:v>30511371.12710689</c:v>
                </c:pt>
                <c:pt idx="9">
                  <c:v>30219630.608133372</c:v>
                </c:pt>
                <c:pt idx="10">
                  <c:v>24684981.906729277</c:v>
                </c:pt>
                <c:pt idx="11">
                  <c:v>24446672.937281117</c:v>
                </c:pt>
                <c:pt idx="12">
                  <c:v>24209519.872292686</c:v>
                </c:pt>
                <c:pt idx="13">
                  <c:v>23973522.711763993</c:v>
                </c:pt>
                <c:pt idx="14">
                  <c:v>23738681.455695014</c:v>
                </c:pt>
                <c:pt idx="15">
                  <c:v>23504996.104085807</c:v>
                </c:pt>
                <c:pt idx="16">
                  <c:v>23272466.656936299</c:v>
                </c:pt>
                <c:pt idx="17">
                  <c:v>23041093.114246532</c:v>
                </c:pt>
                <c:pt idx="18">
                  <c:v>22810875.476016503</c:v>
                </c:pt>
                <c:pt idx="19">
                  <c:v>22581813.742246218</c:v>
                </c:pt>
                <c:pt idx="20">
                  <c:v>17970521.165852893</c:v>
                </c:pt>
                <c:pt idx="21">
                  <c:v>17788234.724495161</c:v>
                </c:pt>
                <c:pt idx="22">
                  <c:v>17606877.525829151</c:v>
                </c:pt>
                <c:pt idx="23">
                  <c:v>17426449.569854856</c:v>
                </c:pt>
                <c:pt idx="24">
                  <c:v>17246950.856572252</c:v>
                </c:pt>
                <c:pt idx="25">
                  <c:v>17068381.38598137</c:v>
                </c:pt>
                <c:pt idx="26">
                  <c:v>16890741.158082206</c:v>
                </c:pt>
                <c:pt idx="27">
                  <c:v>16714030.172874758</c:v>
                </c:pt>
                <c:pt idx="28">
                  <c:v>16538248.430359015</c:v>
                </c:pt>
                <c:pt idx="29">
                  <c:v>16363395.930534981</c:v>
                </c:pt>
                <c:pt idx="30">
                  <c:v>12597576.921082292</c:v>
                </c:pt>
                <c:pt idx="31">
                  <c:v>12462964.42024509</c:v>
                </c:pt>
                <c:pt idx="32">
                  <c:v>12329074.994613815</c:v>
                </c:pt>
                <c:pt idx="33">
                  <c:v>12195908.644188467</c:v>
                </c:pt>
                <c:pt idx="34">
                  <c:v>12063465.36896906</c:v>
                </c:pt>
                <c:pt idx="35">
                  <c:v>11931745.168955578</c:v>
                </c:pt>
                <c:pt idx="36">
                  <c:v>11800748.044148015</c:v>
                </c:pt>
                <c:pt idx="37">
                  <c:v>11670473.994546387</c:v>
                </c:pt>
                <c:pt idx="38">
                  <c:v>11540923.020150697</c:v>
                </c:pt>
                <c:pt idx="39">
                  <c:v>11412095.120960925</c:v>
                </c:pt>
                <c:pt idx="40">
                  <c:v>8412639.4650430046</c:v>
                </c:pt>
                <c:pt idx="41">
                  <c:v>8317671.5770271588</c:v>
                </c:pt>
                <c:pt idx="42">
                  <c:v>8223242.7687919112</c:v>
                </c:pt>
                <c:pt idx="43">
                  <c:v>8129353.0403372664</c:v>
                </c:pt>
                <c:pt idx="44">
                  <c:v>8036002.3916632226</c:v>
                </c:pt>
                <c:pt idx="45">
                  <c:v>7943190.8227697797</c:v>
                </c:pt>
                <c:pt idx="46">
                  <c:v>7850918.3336569369</c:v>
                </c:pt>
                <c:pt idx="47">
                  <c:v>7759184.9243246932</c:v>
                </c:pt>
                <c:pt idx="48">
                  <c:v>7667990.5947730541</c:v>
                </c:pt>
                <c:pt idx="49">
                  <c:v>7577335.3450020123</c:v>
                </c:pt>
                <c:pt idx="50">
                  <c:v>5264325.3689538985</c:v>
                </c:pt>
                <c:pt idx="51">
                  <c:v>5201342.9802397322</c:v>
                </c:pt>
                <c:pt idx="52">
                  <c:v>5138739.6229521334</c:v>
                </c:pt>
                <c:pt idx="53">
                  <c:v>5076515.2970910976</c:v>
                </c:pt>
                <c:pt idx="54">
                  <c:v>5014670.0026566284</c:v>
                </c:pt>
                <c:pt idx="55">
                  <c:v>4953203.7396487212</c:v>
                </c:pt>
                <c:pt idx="56">
                  <c:v>4892116.5080673806</c:v>
                </c:pt>
                <c:pt idx="57">
                  <c:v>4831408.307912604</c:v>
                </c:pt>
                <c:pt idx="58">
                  <c:v>4771079.139184393</c:v>
                </c:pt>
                <c:pt idx="59">
                  <c:v>4711129.0018827468</c:v>
                </c:pt>
                <c:pt idx="60">
                  <c:v>3004137.3015605193</c:v>
                </c:pt>
                <c:pt idx="61">
                  <c:v>2965909.0084202439</c:v>
                </c:pt>
                <c:pt idx="62">
                  <c:v>2927925.5069116047</c:v>
                </c:pt>
                <c:pt idx="63">
                  <c:v>2890186.7970345994</c:v>
                </c:pt>
                <c:pt idx="64">
                  <c:v>2852692.8787892284</c:v>
                </c:pt>
                <c:pt idx="65">
                  <c:v>2815443.7521754936</c:v>
                </c:pt>
                <c:pt idx="66">
                  <c:v>2778439.4171933909</c:v>
                </c:pt>
                <c:pt idx="67">
                  <c:v>2741679.8738429258</c:v>
                </c:pt>
                <c:pt idx="68">
                  <c:v>2705165.1221240931</c:v>
                </c:pt>
                <c:pt idx="69">
                  <c:v>2668895.1620368962</c:v>
                </c:pt>
                <c:pt idx="70">
                  <c:v>1487106.5956904634</c:v>
                </c:pt>
                <c:pt idx="71">
                  <c:v>1466897.0014070871</c:v>
                </c:pt>
                <c:pt idx="72">
                  <c:v>1446825.671166698</c:v>
                </c:pt>
                <c:pt idx="73">
                  <c:v>1426892.6049692978</c:v>
                </c:pt>
                <c:pt idx="74">
                  <c:v>1407097.8028148853</c:v>
                </c:pt>
                <c:pt idx="75">
                  <c:v>1387441.2647034603</c:v>
                </c:pt>
                <c:pt idx="76">
                  <c:v>1367922.9906350223</c:v>
                </c:pt>
                <c:pt idx="77">
                  <c:v>1348542.980609573</c:v>
                </c:pt>
                <c:pt idx="78">
                  <c:v>1329301.2346271113</c:v>
                </c:pt>
                <c:pt idx="79">
                  <c:v>1310197.7526876372</c:v>
                </c:pt>
                <c:pt idx="80">
                  <c:v>572204.79886902962</c:v>
                </c:pt>
                <c:pt idx="81">
                  <c:v>563861.70569813135</c:v>
                </c:pt>
                <c:pt idx="82">
                  <c:v>555579.88371331082</c:v>
                </c:pt>
                <c:pt idx="83">
                  <c:v>547359.33291456755</c:v>
                </c:pt>
                <c:pt idx="84">
                  <c:v>539200.05330190202</c:v>
                </c:pt>
                <c:pt idx="85">
                  <c:v>531102.04487531434</c:v>
                </c:pt>
                <c:pt idx="86">
                  <c:v>523065.30763480399</c:v>
                </c:pt>
                <c:pt idx="87">
                  <c:v>515089.84158037126</c:v>
                </c:pt>
                <c:pt idx="88">
                  <c:v>507175.64671201626</c:v>
                </c:pt>
                <c:pt idx="89">
                  <c:v>499322.72302973864</c:v>
                </c:pt>
                <c:pt idx="90">
                  <c:v>122111.31632416401</c:v>
                </c:pt>
                <c:pt idx="91">
                  <c:v>120190.85372463369</c:v>
                </c:pt>
                <c:pt idx="92">
                  <c:v>118285.61275733217</c:v>
                </c:pt>
                <c:pt idx="93">
                  <c:v>116395.59342225939</c:v>
                </c:pt>
                <c:pt idx="94">
                  <c:v>114520.7957194154</c:v>
                </c:pt>
                <c:pt idx="95">
                  <c:v>112661.21964880021</c:v>
                </c:pt>
                <c:pt idx="96">
                  <c:v>110816.8652104138</c:v>
                </c:pt>
                <c:pt idx="97">
                  <c:v>108987.73240425609</c:v>
                </c:pt>
                <c:pt idx="98">
                  <c:v>107173.8212303272</c:v>
                </c:pt>
                <c:pt idx="99">
                  <c:v>105375.13168862708</c:v>
                </c:pt>
                <c:pt idx="100">
                  <c:v>103591.66377915576</c:v>
                </c:pt>
              </c:numCache>
            </c:numRef>
          </c:yVal>
          <c:smooth val="0"/>
          <c:extLst>
            <c:ext xmlns:c16="http://schemas.microsoft.com/office/drawing/2014/chart" uri="{C3380CC4-5D6E-409C-BE32-E72D297353CC}">
              <c16:uniqueId val="{00000006-DB6C-4ABC-A5F4-AA73E94C94A1}"/>
            </c:ext>
          </c:extLst>
        </c:ser>
        <c:dLbls>
          <c:showLegendKey val="0"/>
          <c:showVal val="0"/>
          <c:showCatName val="0"/>
          <c:showSerName val="0"/>
          <c:showPercent val="0"/>
          <c:showBubbleSize val="0"/>
        </c:dLbls>
        <c:axId val="401968368"/>
        <c:axId val="401965232"/>
      </c:scatterChart>
      <c:scatterChart>
        <c:scatterStyle val="lineMarker"/>
        <c:varyColors val="0"/>
        <c:ser>
          <c:idx val="0"/>
          <c:order val="0"/>
          <c:tx>
            <c:v>Chord [ft]</c:v>
          </c:tx>
          <c:spPr>
            <a:ln w="25400" cap="rnd">
              <a:noFill/>
              <a:round/>
            </a:ln>
            <a:effectLst/>
          </c:spPr>
          <c:marker>
            <c:symbol val="circle"/>
            <c:size val="5"/>
            <c:spPr>
              <a:solidFill>
                <a:schemeClr val="accent1"/>
              </a:solidFill>
              <a:ln w="9525">
                <a:solidFill>
                  <a:schemeClr val="accent1"/>
                </a:solidFill>
              </a:ln>
              <a:effectLst/>
            </c:spPr>
          </c:marker>
          <c:xVal>
            <c:numRef>
              <c:f>Stiffness!$B$44:$B$144</c:f>
              <c:numCache>
                <c:formatCode>0.0</c:formatCode>
                <c:ptCount val="101"/>
                <c:pt idx="0">
                  <c:v>0</c:v>
                </c:pt>
                <c:pt idx="1">
                  <c:v>9.8425200000000004E-2</c:v>
                </c:pt>
                <c:pt idx="2">
                  <c:v>0.19685040000000001</c:v>
                </c:pt>
                <c:pt idx="3">
                  <c:v>0.29527560000000003</c:v>
                </c:pt>
                <c:pt idx="4">
                  <c:v>0.39370080000000002</c:v>
                </c:pt>
                <c:pt idx="5">
                  <c:v>0.49212600000000006</c:v>
                </c:pt>
                <c:pt idx="6">
                  <c:v>0.59055120000000005</c:v>
                </c:pt>
                <c:pt idx="7">
                  <c:v>0.68897640000000004</c:v>
                </c:pt>
                <c:pt idx="8">
                  <c:v>0.78740160000000003</c:v>
                </c:pt>
                <c:pt idx="9">
                  <c:v>0.88582680000000003</c:v>
                </c:pt>
                <c:pt idx="10">
                  <c:v>0.98425200000000013</c:v>
                </c:pt>
                <c:pt idx="11">
                  <c:v>1.0826772</c:v>
                </c:pt>
                <c:pt idx="12">
                  <c:v>1.1811024000000001</c:v>
                </c:pt>
                <c:pt idx="13">
                  <c:v>1.2795276</c:v>
                </c:pt>
                <c:pt idx="14">
                  <c:v>1.3779528000000001</c:v>
                </c:pt>
                <c:pt idx="15">
                  <c:v>1.476378</c:v>
                </c:pt>
                <c:pt idx="16">
                  <c:v>1.5748032000000001</c:v>
                </c:pt>
                <c:pt idx="17">
                  <c:v>1.6732284000000002</c:v>
                </c:pt>
                <c:pt idx="18">
                  <c:v>1.7716536000000001</c:v>
                </c:pt>
                <c:pt idx="19">
                  <c:v>1.8700788000000002</c:v>
                </c:pt>
                <c:pt idx="20">
                  <c:v>1.9685040000000003</c:v>
                </c:pt>
                <c:pt idx="21">
                  <c:v>2.0669292000000001</c:v>
                </c:pt>
                <c:pt idx="22">
                  <c:v>2.1653544</c:v>
                </c:pt>
                <c:pt idx="23">
                  <c:v>2.2637796000000003</c:v>
                </c:pt>
                <c:pt idx="24">
                  <c:v>2.3622048000000002</c:v>
                </c:pt>
                <c:pt idx="25">
                  <c:v>2.4606300000000001</c:v>
                </c:pt>
                <c:pt idx="26">
                  <c:v>2.5590552</c:v>
                </c:pt>
                <c:pt idx="27">
                  <c:v>2.6574804000000003</c:v>
                </c:pt>
                <c:pt idx="28">
                  <c:v>2.7559056000000002</c:v>
                </c:pt>
                <c:pt idx="29">
                  <c:v>2.8543308000000001</c:v>
                </c:pt>
                <c:pt idx="30">
                  <c:v>2.9527559999999999</c:v>
                </c:pt>
                <c:pt idx="31">
                  <c:v>3.0511812000000003</c:v>
                </c:pt>
                <c:pt idx="32">
                  <c:v>3.1496064000000001</c:v>
                </c:pt>
                <c:pt idx="33">
                  <c:v>3.2480316000000005</c:v>
                </c:pt>
                <c:pt idx="34">
                  <c:v>3.3464568000000003</c:v>
                </c:pt>
                <c:pt idx="35">
                  <c:v>3.4448819999999998</c:v>
                </c:pt>
                <c:pt idx="36">
                  <c:v>3.5433072000000001</c:v>
                </c:pt>
                <c:pt idx="37">
                  <c:v>3.6417324</c:v>
                </c:pt>
                <c:pt idx="38">
                  <c:v>3.7401576000000003</c:v>
                </c:pt>
                <c:pt idx="39">
                  <c:v>3.8385828000000002</c:v>
                </c:pt>
                <c:pt idx="40">
                  <c:v>3.9370080000000005</c:v>
                </c:pt>
                <c:pt idx="41">
                  <c:v>4.0354331999999999</c:v>
                </c:pt>
                <c:pt idx="42">
                  <c:v>4.1338584000000003</c:v>
                </c:pt>
                <c:pt idx="43">
                  <c:v>4.2322835999999997</c:v>
                </c:pt>
                <c:pt idx="44">
                  <c:v>4.3307088</c:v>
                </c:pt>
                <c:pt idx="45">
                  <c:v>4.4291340000000003</c:v>
                </c:pt>
                <c:pt idx="46">
                  <c:v>4.5275592000000007</c:v>
                </c:pt>
                <c:pt idx="47">
                  <c:v>4.6259844000000001</c:v>
                </c:pt>
                <c:pt idx="48">
                  <c:v>4.7244096000000004</c:v>
                </c:pt>
                <c:pt idx="49">
                  <c:v>4.8228347999999999</c:v>
                </c:pt>
                <c:pt idx="50">
                  <c:v>4.9212600000000002</c:v>
                </c:pt>
                <c:pt idx="51">
                  <c:v>5.0196852000000005</c:v>
                </c:pt>
                <c:pt idx="52">
                  <c:v>5.1181103999999999</c:v>
                </c:pt>
                <c:pt idx="53">
                  <c:v>5.2165356000000003</c:v>
                </c:pt>
                <c:pt idx="54">
                  <c:v>5.3149608000000006</c:v>
                </c:pt>
                <c:pt idx="55">
                  <c:v>5.4133860000000009</c:v>
                </c:pt>
                <c:pt idx="56">
                  <c:v>5.5118112000000004</c:v>
                </c:pt>
                <c:pt idx="57">
                  <c:v>5.6102363999999998</c:v>
                </c:pt>
                <c:pt idx="58">
                  <c:v>5.7086616000000001</c:v>
                </c:pt>
                <c:pt idx="59">
                  <c:v>5.8070867999999995</c:v>
                </c:pt>
                <c:pt idx="60">
                  <c:v>5.9055119999999999</c:v>
                </c:pt>
                <c:pt idx="61">
                  <c:v>6.0039372000000002</c:v>
                </c:pt>
                <c:pt idx="62">
                  <c:v>6.1023624000000005</c:v>
                </c:pt>
                <c:pt idx="63">
                  <c:v>6.2007876</c:v>
                </c:pt>
                <c:pt idx="64">
                  <c:v>6.2992128000000003</c:v>
                </c:pt>
                <c:pt idx="65">
                  <c:v>6.3976380000000006</c:v>
                </c:pt>
                <c:pt idx="66">
                  <c:v>6.4960632000000009</c:v>
                </c:pt>
                <c:pt idx="67">
                  <c:v>6.5944884000000004</c:v>
                </c:pt>
                <c:pt idx="68">
                  <c:v>6.6929136000000007</c:v>
                </c:pt>
                <c:pt idx="69">
                  <c:v>6.7913388000000001</c:v>
                </c:pt>
                <c:pt idx="70">
                  <c:v>6.8897639999999996</c:v>
                </c:pt>
                <c:pt idx="71">
                  <c:v>6.9881891999999999</c:v>
                </c:pt>
                <c:pt idx="72">
                  <c:v>7.0866144000000002</c:v>
                </c:pt>
                <c:pt idx="73">
                  <c:v>7.1850396000000005</c:v>
                </c:pt>
                <c:pt idx="74">
                  <c:v>7.2834648</c:v>
                </c:pt>
                <c:pt idx="75">
                  <c:v>7.3818900000000003</c:v>
                </c:pt>
                <c:pt idx="76">
                  <c:v>7.4803152000000006</c:v>
                </c:pt>
                <c:pt idx="77">
                  <c:v>7.5787404</c:v>
                </c:pt>
                <c:pt idx="78">
                  <c:v>7.6771656000000004</c:v>
                </c:pt>
                <c:pt idx="79">
                  <c:v>7.7755908000000007</c:v>
                </c:pt>
                <c:pt idx="80">
                  <c:v>7.874016000000001</c:v>
                </c:pt>
                <c:pt idx="81">
                  <c:v>7.9724412000000004</c:v>
                </c:pt>
                <c:pt idx="82">
                  <c:v>8.0708663999999999</c:v>
                </c:pt>
                <c:pt idx="83">
                  <c:v>8.1692915999999993</c:v>
                </c:pt>
                <c:pt idx="84">
                  <c:v>8.2677168000000005</c:v>
                </c:pt>
                <c:pt idx="85">
                  <c:v>8.366142</c:v>
                </c:pt>
                <c:pt idx="86">
                  <c:v>8.4645671999999994</c:v>
                </c:pt>
                <c:pt idx="87">
                  <c:v>8.5629924000000006</c:v>
                </c:pt>
                <c:pt idx="88">
                  <c:v>8.6614176</c:v>
                </c:pt>
                <c:pt idx="89">
                  <c:v>8.7598428000000013</c:v>
                </c:pt>
                <c:pt idx="90">
                  <c:v>8.8582680000000007</c:v>
                </c:pt>
                <c:pt idx="91">
                  <c:v>8.9566932000000001</c:v>
                </c:pt>
                <c:pt idx="92">
                  <c:v>9.0551184000000013</c:v>
                </c:pt>
                <c:pt idx="93">
                  <c:v>9.1535436000000008</c:v>
                </c:pt>
                <c:pt idx="94">
                  <c:v>9.2519688000000002</c:v>
                </c:pt>
                <c:pt idx="95">
                  <c:v>9.3503939999999997</c:v>
                </c:pt>
                <c:pt idx="96">
                  <c:v>9.4488192000000009</c:v>
                </c:pt>
                <c:pt idx="97">
                  <c:v>9.5472444000000003</c:v>
                </c:pt>
                <c:pt idx="98">
                  <c:v>9.6456695999999997</c:v>
                </c:pt>
                <c:pt idx="99">
                  <c:v>9.7440948000000009</c:v>
                </c:pt>
                <c:pt idx="100">
                  <c:v>9.8425200000000004</c:v>
                </c:pt>
              </c:numCache>
            </c:numRef>
          </c:xVal>
          <c:yVal>
            <c:numRef>
              <c:f>Stiffness!$C$44:$C$144</c:f>
              <c:numCache>
                <c:formatCode>0.00</c:formatCode>
                <c:ptCount val="101"/>
                <c:pt idx="0">
                  <c:v>2.1325460000000001</c:v>
                </c:pt>
                <c:pt idx="1">
                  <c:v>2.1227034800000002</c:v>
                </c:pt>
                <c:pt idx="2">
                  <c:v>2.1128609599999999</c:v>
                </c:pt>
                <c:pt idx="3">
                  <c:v>2.10301844</c:v>
                </c:pt>
                <c:pt idx="4">
                  <c:v>2.0931759200000002</c:v>
                </c:pt>
                <c:pt idx="5">
                  <c:v>2.0833333999999999</c:v>
                </c:pt>
                <c:pt idx="6">
                  <c:v>2.07349088</c:v>
                </c:pt>
                <c:pt idx="7">
                  <c:v>2.0636483600000002</c:v>
                </c:pt>
                <c:pt idx="8">
                  <c:v>2.0538058399999999</c:v>
                </c:pt>
                <c:pt idx="9">
                  <c:v>2.04396332</c:v>
                </c:pt>
                <c:pt idx="10">
                  <c:v>2.0341208000000002</c:v>
                </c:pt>
                <c:pt idx="11">
                  <c:v>2.0242782799999999</c:v>
                </c:pt>
                <c:pt idx="12">
                  <c:v>2.01443576</c:v>
                </c:pt>
                <c:pt idx="13">
                  <c:v>2.0045932400000002</c:v>
                </c:pt>
                <c:pt idx="14">
                  <c:v>1.9947507199999999</c:v>
                </c:pt>
                <c:pt idx="15">
                  <c:v>1.9849082</c:v>
                </c:pt>
                <c:pt idx="16">
                  <c:v>1.9750656800000002</c:v>
                </c:pt>
                <c:pt idx="17">
                  <c:v>1.9652231600000001</c:v>
                </c:pt>
                <c:pt idx="18">
                  <c:v>1.95538064</c:v>
                </c:pt>
                <c:pt idx="19">
                  <c:v>1.9455381200000001</c:v>
                </c:pt>
                <c:pt idx="20">
                  <c:v>1.9356955999999998</c:v>
                </c:pt>
                <c:pt idx="21">
                  <c:v>1.92585308</c:v>
                </c:pt>
                <c:pt idx="22">
                  <c:v>1.9160105600000001</c:v>
                </c:pt>
                <c:pt idx="23">
                  <c:v>1.9061680400000001</c:v>
                </c:pt>
                <c:pt idx="24">
                  <c:v>1.89632552</c:v>
                </c:pt>
                <c:pt idx="25">
                  <c:v>1.8864830000000001</c:v>
                </c:pt>
                <c:pt idx="26">
                  <c:v>1.8766404800000001</c:v>
                </c:pt>
                <c:pt idx="27">
                  <c:v>1.86679796</c:v>
                </c:pt>
                <c:pt idx="28">
                  <c:v>1.8569554400000001</c:v>
                </c:pt>
                <c:pt idx="29">
                  <c:v>1.84711292</c:v>
                </c:pt>
                <c:pt idx="30">
                  <c:v>1.8372704</c:v>
                </c:pt>
                <c:pt idx="31">
                  <c:v>1.8274278800000001</c:v>
                </c:pt>
                <c:pt idx="32">
                  <c:v>1.81758536</c:v>
                </c:pt>
                <c:pt idx="33">
                  <c:v>1.80774284</c:v>
                </c:pt>
                <c:pt idx="34">
                  <c:v>1.7979003200000001</c:v>
                </c:pt>
                <c:pt idx="35">
                  <c:v>1.7880578</c:v>
                </c:pt>
                <c:pt idx="36">
                  <c:v>1.77821528</c:v>
                </c:pt>
                <c:pt idx="37">
                  <c:v>1.7683727600000001</c:v>
                </c:pt>
                <c:pt idx="38">
                  <c:v>1.75853024</c:v>
                </c:pt>
                <c:pt idx="39">
                  <c:v>1.7486877199999999</c:v>
                </c:pt>
                <c:pt idx="40">
                  <c:v>1.7388452000000001</c:v>
                </c:pt>
                <c:pt idx="41">
                  <c:v>1.72900268</c:v>
                </c:pt>
                <c:pt idx="42">
                  <c:v>1.7191601599999999</c:v>
                </c:pt>
                <c:pt idx="43">
                  <c:v>1.7093176400000001</c:v>
                </c:pt>
                <c:pt idx="44">
                  <c:v>1.69947512</c:v>
                </c:pt>
                <c:pt idx="45">
                  <c:v>1.6896325999999999</c:v>
                </c:pt>
                <c:pt idx="46">
                  <c:v>1.6797900800000001</c:v>
                </c:pt>
                <c:pt idx="47">
                  <c:v>1.66994756</c:v>
                </c:pt>
                <c:pt idx="48">
                  <c:v>1.6601050399999999</c:v>
                </c:pt>
                <c:pt idx="49">
                  <c:v>1.6502625200000001</c:v>
                </c:pt>
                <c:pt idx="50">
                  <c:v>1.64042</c:v>
                </c:pt>
                <c:pt idx="51">
                  <c:v>1.6305774799999999</c:v>
                </c:pt>
                <c:pt idx="52">
                  <c:v>1.6207349600000001</c:v>
                </c:pt>
                <c:pt idx="53">
                  <c:v>1.61089244</c:v>
                </c:pt>
                <c:pt idx="54">
                  <c:v>1.6010499199999999</c:v>
                </c:pt>
                <c:pt idx="55">
                  <c:v>1.5912074</c:v>
                </c:pt>
                <c:pt idx="56">
                  <c:v>1.58136488</c:v>
                </c:pt>
                <c:pt idx="57">
                  <c:v>1.5715223599999999</c:v>
                </c:pt>
                <c:pt idx="58">
                  <c:v>1.56167984</c:v>
                </c:pt>
                <c:pt idx="59">
                  <c:v>1.55183732</c:v>
                </c:pt>
                <c:pt idx="60">
                  <c:v>1.5419947999999999</c:v>
                </c:pt>
                <c:pt idx="61">
                  <c:v>1.53215228</c:v>
                </c:pt>
                <c:pt idx="62">
                  <c:v>1.52230976</c:v>
                </c:pt>
                <c:pt idx="63">
                  <c:v>1.5124672399999999</c:v>
                </c:pt>
                <c:pt idx="64">
                  <c:v>1.50262472</c:v>
                </c:pt>
                <c:pt idx="65">
                  <c:v>1.4927821999999999</c:v>
                </c:pt>
                <c:pt idx="66">
                  <c:v>1.4829396799999999</c:v>
                </c:pt>
                <c:pt idx="67">
                  <c:v>1.47309716</c:v>
                </c:pt>
                <c:pt idx="68">
                  <c:v>1.4632546399999999</c:v>
                </c:pt>
                <c:pt idx="69">
                  <c:v>1.4534121199999999</c:v>
                </c:pt>
                <c:pt idx="70">
                  <c:v>1.4435696</c:v>
                </c:pt>
                <c:pt idx="71">
                  <c:v>1.4337270799999999</c:v>
                </c:pt>
                <c:pt idx="72">
                  <c:v>1.4238845599999999</c:v>
                </c:pt>
                <c:pt idx="73">
                  <c:v>1.41404204</c:v>
                </c:pt>
                <c:pt idx="74">
                  <c:v>1.4041995199999999</c:v>
                </c:pt>
                <c:pt idx="75">
                  <c:v>1.3943569999999998</c:v>
                </c:pt>
                <c:pt idx="76">
                  <c:v>1.38451448</c:v>
                </c:pt>
                <c:pt idx="77">
                  <c:v>1.3746719599999999</c:v>
                </c:pt>
                <c:pt idx="78">
                  <c:v>1.3648294399999998</c:v>
                </c:pt>
                <c:pt idx="79">
                  <c:v>1.35498692</c:v>
                </c:pt>
                <c:pt idx="80">
                  <c:v>1.3451443999999999</c:v>
                </c:pt>
                <c:pt idx="81">
                  <c:v>1.3353018799999998</c:v>
                </c:pt>
                <c:pt idx="82">
                  <c:v>1.32545936</c:v>
                </c:pt>
                <c:pt idx="83">
                  <c:v>1.3156168399999999</c:v>
                </c:pt>
                <c:pt idx="84">
                  <c:v>1.3057743199999998</c:v>
                </c:pt>
                <c:pt idx="85">
                  <c:v>1.2959318</c:v>
                </c:pt>
                <c:pt idx="86">
                  <c:v>1.2860892799999999</c:v>
                </c:pt>
                <c:pt idx="87">
                  <c:v>1.2762467599999998</c:v>
                </c:pt>
                <c:pt idx="88">
                  <c:v>1.26640424</c:v>
                </c:pt>
                <c:pt idx="89">
                  <c:v>1.2565617199999999</c:v>
                </c:pt>
                <c:pt idx="90">
                  <c:v>1.2467192</c:v>
                </c:pt>
                <c:pt idx="91">
                  <c:v>1.23687668</c:v>
                </c:pt>
                <c:pt idx="92">
                  <c:v>1.2270341599999999</c:v>
                </c:pt>
                <c:pt idx="93">
                  <c:v>1.21719164</c:v>
                </c:pt>
                <c:pt idx="94">
                  <c:v>1.2073491199999999</c:v>
                </c:pt>
                <c:pt idx="95">
                  <c:v>1.1975065999999999</c:v>
                </c:pt>
                <c:pt idx="96">
                  <c:v>1.18766408</c:v>
                </c:pt>
                <c:pt idx="97">
                  <c:v>1.1778215599999999</c:v>
                </c:pt>
                <c:pt idx="98">
                  <c:v>1.1679790399999999</c:v>
                </c:pt>
                <c:pt idx="99">
                  <c:v>1.15813652</c:v>
                </c:pt>
                <c:pt idx="100">
                  <c:v>1.1482939999999999</c:v>
                </c:pt>
              </c:numCache>
            </c:numRef>
          </c:yVal>
          <c:smooth val="0"/>
          <c:extLst>
            <c:ext xmlns:c16="http://schemas.microsoft.com/office/drawing/2014/chart" uri="{C3380CC4-5D6E-409C-BE32-E72D297353CC}">
              <c16:uniqueId val="{00000004-DB6C-4ABC-A5F4-AA73E94C94A1}"/>
            </c:ext>
          </c:extLst>
        </c:ser>
        <c:ser>
          <c:idx val="3"/>
          <c:order val="3"/>
          <c:tx>
            <c:strRef>
              <c:f>Stiffness!$BC$43</c:f>
              <c:strCache>
                <c:ptCount val="1"/>
                <c:pt idx="0">
                  <c:v>GJ 
[lb-in^2]</c:v>
                </c:pt>
              </c:strCache>
            </c:strRef>
          </c:tx>
          <c:spPr>
            <a:ln w="25400" cap="rnd">
              <a:noFill/>
              <a:round/>
            </a:ln>
            <a:effectLst/>
          </c:spPr>
          <c:marker>
            <c:symbol val="circle"/>
            <c:size val="5"/>
            <c:spPr>
              <a:solidFill>
                <a:schemeClr val="accent4"/>
              </a:solidFill>
              <a:ln w="9525">
                <a:solidFill>
                  <a:schemeClr val="accent4"/>
                </a:solidFill>
              </a:ln>
              <a:effectLst/>
            </c:spPr>
          </c:marker>
          <c:xVal>
            <c:numRef>
              <c:f>Stiffness!$B$44:$B$144</c:f>
              <c:numCache>
                <c:formatCode>0.0</c:formatCode>
                <c:ptCount val="101"/>
                <c:pt idx="0">
                  <c:v>0</c:v>
                </c:pt>
                <c:pt idx="1">
                  <c:v>9.8425200000000004E-2</c:v>
                </c:pt>
                <c:pt idx="2">
                  <c:v>0.19685040000000001</c:v>
                </c:pt>
                <c:pt idx="3">
                  <c:v>0.29527560000000003</c:v>
                </c:pt>
                <c:pt idx="4">
                  <c:v>0.39370080000000002</c:v>
                </c:pt>
                <c:pt idx="5">
                  <c:v>0.49212600000000006</c:v>
                </c:pt>
                <c:pt idx="6">
                  <c:v>0.59055120000000005</c:v>
                </c:pt>
                <c:pt idx="7">
                  <c:v>0.68897640000000004</c:v>
                </c:pt>
                <c:pt idx="8">
                  <c:v>0.78740160000000003</c:v>
                </c:pt>
                <c:pt idx="9">
                  <c:v>0.88582680000000003</c:v>
                </c:pt>
                <c:pt idx="10">
                  <c:v>0.98425200000000013</c:v>
                </c:pt>
                <c:pt idx="11">
                  <c:v>1.0826772</c:v>
                </c:pt>
                <c:pt idx="12">
                  <c:v>1.1811024000000001</c:v>
                </c:pt>
                <c:pt idx="13">
                  <c:v>1.2795276</c:v>
                </c:pt>
                <c:pt idx="14">
                  <c:v>1.3779528000000001</c:v>
                </c:pt>
                <c:pt idx="15">
                  <c:v>1.476378</c:v>
                </c:pt>
                <c:pt idx="16">
                  <c:v>1.5748032000000001</c:v>
                </c:pt>
                <c:pt idx="17">
                  <c:v>1.6732284000000002</c:v>
                </c:pt>
                <c:pt idx="18">
                  <c:v>1.7716536000000001</c:v>
                </c:pt>
                <c:pt idx="19">
                  <c:v>1.8700788000000002</c:v>
                </c:pt>
                <c:pt idx="20">
                  <c:v>1.9685040000000003</c:v>
                </c:pt>
                <c:pt idx="21">
                  <c:v>2.0669292000000001</c:v>
                </c:pt>
                <c:pt idx="22">
                  <c:v>2.1653544</c:v>
                </c:pt>
                <c:pt idx="23">
                  <c:v>2.2637796000000003</c:v>
                </c:pt>
                <c:pt idx="24">
                  <c:v>2.3622048000000002</c:v>
                </c:pt>
                <c:pt idx="25">
                  <c:v>2.4606300000000001</c:v>
                </c:pt>
                <c:pt idx="26">
                  <c:v>2.5590552</c:v>
                </c:pt>
                <c:pt idx="27">
                  <c:v>2.6574804000000003</c:v>
                </c:pt>
                <c:pt idx="28">
                  <c:v>2.7559056000000002</c:v>
                </c:pt>
                <c:pt idx="29">
                  <c:v>2.8543308000000001</c:v>
                </c:pt>
                <c:pt idx="30">
                  <c:v>2.9527559999999999</c:v>
                </c:pt>
                <c:pt idx="31">
                  <c:v>3.0511812000000003</c:v>
                </c:pt>
                <c:pt idx="32">
                  <c:v>3.1496064000000001</c:v>
                </c:pt>
                <c:pt idx="33">
                  <c:v>3.2480316000000005</c:v>
                </c:pt>
                <c:pt idx="34">
                  <c:v>3.3464568000000003</c:v>
                </c:pt>
                <c:pt idx="35">
                  <c:v>3.4448819999999998</c:v>
                </c:pt>
                <c:pt idx="36">
                  <c:v>3.5433072000000001</c:v>
                </c:pt>
                <c:pt idx="37">
                  <c:v>3.6417324</c:v>
                </c:pt>
                <c:pt idx="38">
                  <c:v>3.7401576000000003</c:v>
                </c:pt>
                <c:pt idx="39">
                  <c:v>3.8385828000000002</c:v>
                </c:pt>
                <c:pt idx="40">
                  <c:v>3.9370080000000005</c:v>
                </c:pt>
                <c:pt idx="41">
                  <c:v>4.0354331999999999</c:v>
                </c:pt>
                <c:pt idx="42">
                  <c:v>4.1338584000000003</c:v>
                </c:pt>
                <c:pt idx="43">
                  <c:v>4.2322835999999997</c:v>
                </c:pt>
                <c:pt idx="44">
                  <c:v>4.3307088</c:v>
                </c:pt>
                <c:pt idx="45">
                  <c:v>4.4291340000000003</c:v>
                </c:pt>
                <c:pt idx="46">
                  <c:v>4.5275592000000007</c:v>
                </c:pt>
                <c:pt idx="47">
                  <c:v>4.6259844000000001</c:v>
                </c:pt>
                <c:pt idx="48">
                  <c:v>4.7244096000000004</c:v>
                </c:pt>
                <c:pt idx="49">
                  <c:v>4.8228347999999999</c:v>
                </c:pt>
                <c:pt idx="50">
                  <c:v>4.9212600000000002</c:v>
                </c:pt>
                <c:pt idx="51">
                  <c:v>5.0196852000000005</c:v>
                </c:pt>
                <c:pt idx="52">
                  <c:v>5.1181103999999999</c:v>
                </c:pt>
                <c:pt idx="53">
                  <c:v>5.2165356000000003</c:v>
                </c:pt>
                <c:pt idx="54">
                  <c:v>5.3149608000000006</c:v>
                </c:pt>
                <c:pt idx="55">
                  <c:v>5.4133860000000009</c:v>
                </c:pt>
                <c:pt idx="56">
                  <c:v>5.5118112000000004</c:v>
                </c:pt>
                <c:pt idx="57">
                  <c:v>5.6102363999999998</c:v>
                </c:pt>
                <c:pt idx="58">
                  <c:v>5.7086616000000001</c:v>
                </c:pt>
                <c:pt idx="59">
                  <c:v>5.8070867999999995</c:v>
                </c:pt>
                <c:pt idx="60">
                  <c:v>5.9055119999999999</c:v>
                </c:pt>
                <c:pt idx="61">
                  <c:v>6.0039372000000002</c:v>
                </c:pt>
                <c:pt idx="62">
                  <c:v>6.1023624000000005</c:v>
                </c:pt>
                <c:pt idx="63">
                  <c:v>6.2007876</c:v>
                </c:pt>
                <c:pt idx="64">
                  <c:v>6.2992128000000003</c:v>
                </c:pt>
                <c:pt idx="65">
                  <c:v>6.3976380000000006</c:v>
                </c:pt>
                <c:pt idx="66">
                  <c:v>6.4960632000000009</c:v>
                </c:pt>
                <c:pt idx="67">
                  <c:v>6.5944884000000004</c:v>
                </c:pt>
                <c:pt idx="68">
                  <c:v>6.6929136000000007</c:v>
                </c:pt>
                <c:pt idx="69">
                  <c:v>6.7913388000000001</c:v>
                </c:pt>
                <c:pt idx="70">
                  <c:v>6.8897639999999996</c:v>
                </c:pt>
                <c:pt idx="71">
                  <c:v>6.9881891999999999</c:v>
                </c:pt>
                <c:pt idx="72">
                  <c:v>7.0866144000000002</c:v>
                </c:pt>
                <c:pt idx="73">
                  <c:v>7.1850396000000005</c:v>
                </c:pt>
                <c:pt idx="74">
                  <c:v>7.2834648</c:v>
                </c:pt>
                <c:pt idx="75">
                  <c:v>7.3818900000000003</c:v>
                </c:pt>
                <c:pt idx="76">
                  <c:v>7.4803152000000006</c:v>
                </c:pt>
                <c:pt idx="77">
                  <c:v>7.5787404</c:v>
                </c:pt>
                <c:pt idx="78">
                  <c:v>7.6771656000000004</c:v>
                </c:pt>
                <c:pt idx="79">
                  <c:v>7.7755908000000007</c:v>
                </c:pt>
                <c:pt idx="80">
                  <c:v>7.874016000000001</c:v>
                </c:pt>
                <c:pt idx="81">
                  <c:v>7.9724412000000004</c:v>
                </c:pt>
                <c:pt idx="82">
                  <c:v>8.0708663999999999</c:v>
                </c:pt>
                <c:pt idx="83">
                  <c:v>8.1692915999999993</c:v>
                </c:pt>
                <c:pt idx="84">
                  <c:v>8.2677168000000005</c:v>
                </c:pt>
                <c:pt idx="85">
                  <c:v>8.366142</c:v>
                </c:pt>
                <c:pt idx="86">
                  <c:v>8.4645671999999994</c:v>
                </c:pt>
                <c:pt idx="87">
                  <c:v>8.5629924000000006</c:v>
                </c:pt>
                <c:pt idx="88">
                  <c:v>8.6614176</c:v>
                </c:pt>
                <c:pt idx="89">
                  <c:v>8.7598428000000013</c:v>
                </c:pt>
                <c:pt idx="90">
                  <c:v>8.8582680000000007</c:v>
                </c:pt>
                <c:pt idx="91">
                  <c:v>8.9566932000000001</c:v>
                </c:pt>
                <c:pt idx="92">
                  <c:v>9.0551184000000013</c:v>
                </c:pt>
                <c:pt idx="93">
                  <c:v>9.1535436000000008</c:v>
                </c:pt>
                <c:pt idx="94">
                  <c:v>9.2519688000000002</c:v>
                </c:pt>
                <c:pt idx="95">
                  <c:v>9.3503939999999997</c:v>
                </c:pt>
                <c:pt idx="96">
                  <c:v>9.4488192000000009</c:v>
                </c:pt>
                <c:pt idx="97">
                  <c:v>9.5472444000000003</c:v>
                </c:pt>
                <c:pt idx="98">
                  <c:v>9.6456695999999997</c:v>
                </c:pt>
                <c:pt idx="99">
                  <c:v>9.7440948000000009</c:v>
                </c:pt>
                <c:pt idx="100">
                  <c:v>9.8425200000000004</c:v>
                </c:pt>
              </c:numCache>
            </c:numRef>
          </c:xVal>
          <c:yVal>
            <c:numRef>
              <c:f>Stiffness!$BC$44:$BC$144</c:f>
              <c:numCache>
                <c:formatCode>0.00E+00</c:formatCode>
                <c:ptCount val="101"/>
                <c:pt idx="0">
                  <c:v>558925784.96279287</c:v>
                </c:pt>
                <c:pt idx="1">
                  <c:v>551222475.93851924</c:v>
                </c:pt>
                <c:pt idx="2">
                  <c:v>543590273.87491965</c:v>
                </c:pt>
                <c:pt idx="3">
                  <c:v>536028849.06429344</c:v>
                </c:pt>
                <c:pt idx="4">
                  <c:v>528537871.79894078</c:v>
                </c:pt>
                <c:pt idx="5">
                  <c:v>521117012.37116092</c:v>
                </c:pt>
                <c:pt idx="6">
                  <c:v>513765941.07325423</c:v>
                </c:pt>
                <c:pt idx="7">
                  <c:v>506484328.19752067</c:v>
                </c:pt>
                <c:pt idx="8">
                  <c:v>499271844.03625923</c:v>
                </c:pt>
                <c:pt idx="9">
                  <c:v>492128158.88177055</c:v>
                </c:pt>
                <c:pt idx="10">
                  <c:v>485052943.02635413</c:v>
                </c:pt>
                <c:pt idx="11">
                  <c:v>478045866.76230955</c:v>
                </c:pt>
                <c:pt idx="12">
                  <c:v>471106600.38193721</c:v>
                </c:pt>
                <c:pt idx="13">
                  <c:v>464234814.17753619</c:v>
                </c:pt>
                <c:pt idx="14">
                  <c:v>457430178.44140685</c:v>
                </c:pt>
                <c:pt idx="15">
                  <c:v>450692363.46584922</c:v>
                </c:pt>
                <c:pt idx="16">
                  <c:v>444021039.54316205</c:v>
                </c:pt>
                <c:pt idx="17">
                  <c:v>437415876.96564603</c:v>
                </c:pt>
                <c:pt idx="18">
                  <c:v>430876546.02560127</c:v>
                </c:pt>
                <c:pt idx="19">
                  <c:v>424402717.01532656</c:v>
                </c:pt>
                <c:pt idx="20">
                  <c:v>417994060.22712207</c:v>
                </c:pt>
                <c:pt idx="21">
                  <c:v>411650245.95328814</c:v>
                </c:pt>
                <c:pt idx="22">
                  <c:v>405370944.48612422</c:v>
                </c:pt>
                <c:pt idx="23">
                  <c:v>399155826.11792988</c:v>
                </c:pt>
                <c:pt idx="24">
                  <c:v>393004561.14100534</c:v>
                </c:pt>
                <c:pt idx="25">
                  <c:v>386916819.84765011</c:v>
                </c:pt>
                <c:pt idx="26">
                  <c:v>380892272.53016436</c:v>
                </c:pt>
                <c:pt idx="27">
                  <c:v>374930589.48084772</c:v>
                </c:pt>
                <c:pt idx="28">
                  <c:v>369031440.99199963</c:v>
                </c:pt>
                <c:pt idx="29">
                  <c:v>363194497.35592037</c:v>
                </c:pt>
                <c:pt idx="30">
                  <c:v>357419428.86490971</c:v>
                </c:pt>
                <c:pt idx="31">
                  <c:v>351705905.81126726</c:v>
                </c:pt>
                <c:pt idx="32">
                  <c:v>346053598.4872933</c:v>
                </c:pt>
                <c:pt idx="33">
                  <c:v>340462177.18528682</c:v>
                </c:pt>
                <c:pt idx="34">
                  <c:v>334931312.19754821</c:v>
                </c:pt>
                <c:pt idx="35">
                  <c:v>329460673.81637722</c:v>
                </c:pt>
                <c:pt idx="36">
                  <c:v>324049932.33407366</c:v>
                </c:pt>
                <c:pt idx="37">
                  <c:v>318698758.04293716</c:v>
                </c:pt>
                <c:pt idx="38">
                  <c:v>313406821.23526782</c:v>
                </c:pt>
                <c:pt idx="39">
                  <c:v>308173792.20336521</c:v>
                </c:pt>
                <c:pt idx="40">
                  <c:v>302999341.23952907</c:v>
                </c:pt>
                <c:pt idx="41">
                  <c:v>297883138.63605982</c:v>
                </c:pt>
                <c:pt idx="42">
                  <c:v>292824854.68525654</c:v>
                </c:pt>
                <c:pt idx="43">
                  <c:v>287824159.67941928</c:v>
                </c:pt>
                <c:pt idx="44">
                  <c:v>282880723.91084796</c:v>
                </c:pt>
                <c:pt idx="45">
                  <c:v>277994217.67184252</c:v>
                </c:pt>
                <c:pt idx="46">
                  <c:v>273164311.25470227</c:v>
                </c:pt>
                <c:pt idx="47">
                  <c:v>268390674.95172754</c:v>
                </c:pt>
                <c:pt idx="48">
                  <c:v>263672979.05521792</c:v>
                </c:pt>
                <c:pt idx="49">
                  <c:v>259010893.85747328</c:v>
                </c:pt>
                <c:pt idx="50">
                  <c:v>254404089.65079316</c:v>
                </c:pt>
                <c:pt idx="51">
                  <c:v>249852236.72747788</c:v>
                </c:pt>
                <c:pt idx="52">
                  <c:v>245355005.37982702</c:v>
                </c:pt>
                <c:pt idx="53">
                  <c:v>240912065.90014017</c:v>
                </c:pt>
                <c:pt idx="54">
                  <c:v>236523088.58071733</c:v>
                </c:pt>
                <c:pt idx="55">
                  <c:v>232187743.71385849</c:v>
                </c:pt>
                <c:pt idx="56">
                  <c:v>227905701.59186316</c:v>
                </c:pt>
                <c:pt idx="57">
                  <c:v>223676632.50703132</c:v>
                </c:pt>
                <c:pt idx="58">
                  <c:v>219500206.75166282</c:v>
                </c:pt>
                <c:pt idx="59">
                  <c:v>215376094.61805728</c:v>
                </c:pt>
                <c:pt idx="60">
                  <c:v>211303966.39851445</c:v>
                </c:pt>
                <c:pt idx="61">
                  <c:v>207283492.38533455</c:v>
                </c:pt>
                <c:pt idx="62">
                  <c:v>203314342.87081718</c:v>
                </c:pt>
                <c:pt idx="63">
                  <c:v>199396188.14726192</c:v>
                </c:pt>
                <c:pt idx="64">
                  <c:v>195528698.50696886</c:v>
                </c:pt>
                <c:pt idx="65">
                  <c:v>191711544.24223793</c:v>
                </c:pt>
                <c:pt idx="66">
                  <c:v>187944395.64536861</c:v>
                </c:pt>
                <c:pt idx="67">
                  <c:v>184226923.00866094</c:v>
                </c:pt>
                <c:pt idx="68">
                  <c:v>180558796.62441462</c:v>
                </c:pt>
                <c:pt idx="69">
                  <c:v>176939686.78492957</c:v>
                </c:pt>
                <c:pt idx="70">
                  <c:v>173369263.78250542</c:v>
                </c:pt>
                <c:pt idx="71">
                  <c:v>169847197.90944207</c:v>
                </c:pt>
                <c:pt idx="72">
                  <c:v>166373159.45803943</c:v>
                </c:pt>
                <c:pt idx="73">
                  <c:v>162946818.7205973</c:v>
                </c:pt>
                <c:pt idx="74">
                  <c:v>159567845.98941526</c:v>
                </c:pt>
                <c:pt idx="75">
                  <c:v>156235911.55679342</c:v>
                </c:pt>
                <c:pt idx="76">
                  <c:v>152950685.71503142</c:v>
                </c:pt>
                <c:pt idx="77">
                  <c:v>149711838.75642914</c:v>
                </c:pt>
                <c:pt idx="78">
                  <c:v>146519040.97328633</c:v>
                </c:pt>
                <c:pt idx="79">
                  <c:v>143371962.65790287</c:v>
                </c:pt>
                <c:pt idx="80">
                  <c:v>140270274.10257858</c:v>
                </c:pt>
                <c:pt idx="81">
                  <c:v>137213645.59961319</c:v>
                </c:pt>
                <c:pt idx="82">
                  <c:v>134201747.44130658</c:v>
                </c:pt>
                <c:pt idx="83">
                  <c:v>131234249.91995855</c:v>
                </c:pt>
                <c:pt idx="84">
                  <c:v>128310823.32786882</c:v>
                </c:pt>
                <c:pt idx="85">
                  <c:v>125431137.95733747</c:v>
                </c:pt>
                <c:pt idx="86">
                  <c:v>122594864.100664</c:v>
                </c:pt>
                <c:pt idx="87">
                  <c:v>119801672.0501484</c:v>
                </c:pt>
                <c:pt idx="88">
                  <c:v>117051232.09809045</c:v>
                </c:pt>
                <c:pt idx="89">
                  <c:v>114343214.53678985</c:v>
                </c:pt>
                <c:pt idx="90">
                  <c:v>111677289.6585466</c:v>
                </c:pt>
                <c:pt idx="91">
                  <c:v>109053127.7556604</c:v>
                </c:pt>
                <c:pt idx="92">
                  <c:v>106470399.12043115</c:v>
                </c:pt>
                <c:pt idx="93">
                  <c:v>103928774.04515852</c:v>
                </c:pt>
                <c:pt idx="94">
                  <c:v>101427922.82214235</c:v>
                </c:pt>
                <c:pt idx="95">
                  <c:v>98967515.743682653</c:v>
                </c:pt>
                <c:pt idx="96">
                  <c:v>96547223.10207893</c:v>
                </c:pt>
                <c:pt idx="97">
                  <c:v>94166715.189631313</c:v>
                </c:pt>
                <c:pt idx="98">
                  <c:v>91825662.298639387</c:v>
                </c:pt>
                <c:pt idx="99">
                  <c:v>89523734.721403047</c:v>
                </c:pt>
                <c:pt idx="100">
                  <c:v>87260602.750222087</c:v>
                </c:pt>
              </c:numCache>
            </c:numRef>
          </c:yVal>
          <c:smooth val="0"/>
          <c:extLst>
            <c:ext xmlns:c16="http://schemas.microsoft.com/office/drawing/2014/chart" uri="{C3380CC4-5D6E-409C-BE32-E72D297353CC}">
              <c16:uniqueId val="{00000007-DB6C-4ABC-A5F4-AA73E94C94A1}"/>
            </c:ext>
          </c:extLst>
        </c:ser>
        <c:dLbls>
          <c:showLegendKey val="0"/>
          <c:showVal val="0"/>
          <c:showCatName val="0"/>
          <c:showSerName val="0"/>
          <c:showPercent val="0"/>
          <c:showBubbleSize val="0"/>
        </c:dLbls>
        <c:axId val="803003984"/>
        <c:axId val="803000744"/>
      </c:scatterChart>
      <c:valAx>
        <c:axId val="4019683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232"/>
        <c:crosses val="autoZero"/>
        <c:crossBetween val="midCat"/>
      </c:valAx>
      <c:valAx>
        <c:axId val="4019652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EI, GJ</a:t>
                </a:r>
              </a:p>
              <a:p>
                <a:pPr>
                  <a:defRPr/>
                </a:pPr>
                <a:r>
                  <a:rPr lang="en-US"/>
                  <a:t> [lb-in^2]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8368"/>
        <c:crosses val="autoZero"/>
        <c:crossBetween val="midCat"/>
      </c:valAx>
      <c:valAx>
        <c:axId val="803000744"/>
        <c:scaling>
          <c:orientation val="minMax"/>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03984"/>
        <c:crosses val="max"/>
        <c:crossBetween val="midCat"/>
      </c:valAx>
      <c:valAx>
        <c:axId val="803003984"/>
        <c:scaling>
          <c:orientation val="minMax"/>
        </c:scaling>
        <c:delete val="1"/>
        <c:axPos val="b"/>
        <c:numFmt formatCode="0.0" sourceLinked="1"/>
        <c:majorTickMark val="out"/>
        <c:minorTickMark val="none"/>
        <c:tickLblPos val="nextTo"/>
        <c:crossAx val="8030007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Point</a:t>
            </a:r>
            <a:r>
              <a:rPr lang="en-US" sz="1600" baseline="0"/>
              <a:t> Mass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322915430912192E-2"/>
          <c:y val="8.1856478223837001E-2"/>
          <c:w val="0.67814340859845068"/>
          <c:h val="0.85522293985755093"/>
        </c:manualLayout>
      </c:layout>
      <c:scatterChart>
        <c:scatterStyle val="lineMarker"/>
        <c:varyColors val="0"/>
        <c:ser>
          <c:idx val="5"/>
          <c:order val="0"/>
          <c:tx>
            <c:v>Masses</c:v>
          </c:tx>
          <c:spPr>
            <a:ln w="25400" cap="rnd">
              <a:noFill/>
              <a:round/>
            </a:ln>
            <a:effectLst/>
          </c:spPr>
          <c:marker>
            <c:symbol val="star"/>
            <c:size val="5"/>
            <c:spPr>
              <a:noFill/>
              <a:ln w="101600">
                <a:solidFill>
                  <a:srgbClr val="C00000"/>
                </a:solidFill>
              </a:ln>
              <a:effectLst/>
            </c:spPr>
          </c:marker>
          <c:xVal>
            <c:numRef>
              <c:f>'REF - ASWING STRUCT-Imperial'!$E$52:$E$70</c:f>
              <c:numCache>
                <c:formatCode>0.000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xVal>
          <c:yVal>
            <c:numRef>
              <c:f>'REF - ASWING STRUCT-Imperial'!$F$52:$F$70</c:f>
              <c:numCache>
                <c:formatCode>0.000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0"/>
          <c:extLst xmlns:c15="http://schemas.microsoft.com/office/drawing/2012/chart">
            <c:ext xmlns:c16="http://schemas.microsoft.com/office/drawing/2014/chart" uri="{C3380CC4-5D6E-409C-BE32-E72D297353CC}">
              <c16:uniqueId val="{00000005-48FA-4110-B7B7-F74B5BD22CB8}"/>
            </c:ext>
          </c:extLst>
        </c:ser>
        <c:ser>
          <c:idx val="0"/>
          <c:order val="1"/>
          <c:tx>
            <c:v>Right Forward Boom</c:v>
          </c:tx>
          <c:spPr>
            <a:ln w="63500" cap="rnd">
              <a:solidFill>
                <a:schemeClr val="accent1"/>
              </a:solidFill>
              <a:round/>
            </a:ln>
            <a:effectLst/>
          </c:spPr>
          <c:marker>
            <c:symbol val="none"/>
          </c:marker>
          <c:xVal>
            <c:numRef>
              <c:f>'REF - ASWING STRUCT-Imperial'!$Q$50:$Q$51</c:f>
              <c:numCache>
                <c:formatCode>General</c:formatCode>
                <c:ptCount val="2"/>
                <c:pt idx="0">
                  <c:v>0</c:v>
                </c:pt>
                <c:pt idx="1">
                  <c:v>0</c:v>
                </c:pt>
              </c:numCache>
            </c:numRef>
          </c:xVal>
          <c:yVal>
            <c:numRef>
              <c:f>'REF - ASWING STRUCT-Imperial'!$R$50:$R$51</c:f>
              <c:numCache>
                <c:formatCode>General</c:formatCode>
                <c:ptCount val="2"/>
                <c:pt idx="0">
                  <c:v>0</c:v>
                </c:pt>
                <c:pt idx="1">
                  <c:v>0</c:v>
                </c:pt>
              </c:numCache>
            </c:numRef>
          </c:yVal>
          <c:smooth val="0"/>
          <c:extLst>
            <c:ext xmlns:c16="http://schemas.microsoft.com/office/drawing/2014/chart" uri="{C3380CC4-5D6E-409C-BE32-E72D297353CC}">
              <c16:uniqueId val="{00000006-48FA-4110-B7B7-F74B5BD22CB8}"/>
            </c:ext>
          </c:extLst>
        </c:ser>
        <c:ser>
          <c:idx val="1"/>
          <c:order val="2"/>
          <c:tx>
            <c:v>Left Forward Boom</c:v>
          </c:tx>
          <c:spPr>
            <a:ln w="63500" cap="rnd">
              <a:solidFill>
                <a:schemeClr val="accent2"/>
              </a:solidFill>
              <a:round/>
            </a:ln>
            <a:effectLst/>
          </c:spPr>
          <c:marker>
            <c:symbol val="none"/>
          </c:marker>
          <c:xVal>
            <c:numRef>
              <c:f>'REF - ASWING STRUCT-Imperial'!$V$50:$V$51</c:f>
              <c:numCache>
                <c:formatCode>General</c:formatCode>
                <c:ptCount val="2"/>
                <c:pt idx="0">
                  <c:v>0</c:v>
                </c:pt>
                <c:pt idx="1">
                  <c:v>0</c:v>
                </c:pt>
              </c:numCache>
            </c:numRef>
          </c:xVal>
          <c:yVal>
            <c:numRef>
              <c:f>'REF - ASWING STRUCT-Imperial'!$W$50:$W$51</c:f>
              <c:numCache>
                <c:formatCode>General</c:formatCode>
                <c:ptCount val="2"/>
                <c:pt idx="0">
                  <c:v>0</c:v>
                </c:pt>
                <c:pt idx="1">
                  <c:v>0</c:v>
                </c:pt>
              </c:numCache>
            </c:numRef>
          </c:yVal>
          <c:smooth val="0"/>
          <c:extLst>
            <c:ext xmlns:c16="http://schemas.microsoft.com/office/drawing/2014/chart" uri="{C3380CC4-5D6E-409C-BE32-E72D297353CC}">
              <c16:uniqueId val="{00000007-48FA-4110-B7B7-F74B5BD22CB8}"/>
            </c:ext>
          </c:extLst>
        </c:ser>
        <c:ser>
          <c:idx val="2"/>
          <c:order val="3"/>
          <c:tx>
            <c:v>Back Right Boom</c:v>
          </c:tx>
          <c:spPr>
            <a:ln w="63500" cap="rnd">
              <a:solidFill>
                <a:schemeClr val="accent3"/>
              </a:solidFill>
              <a:round/>
            </a:ln>
            <a:effectLst/>
          </c:spPr>
          <c:marker>
            <c:symbol val="none"/>
          </c:marker>
          <c:xVal>
            <c:numRef>
              <c:f>'REF - ASWING STRUCT-Imperial'!$AA$50:$AA$51</c:f>
              <c:numCache>
                <c:formatCode>General</c:formatCode>
                <c:ptCount val="2"/>
                <c:pt idx="0">
                  <c:v>0</c:v>
                </c:pt>
                <c:pt idx="1">
                  <c:v>0</c:v>
                </c:pt>
              </c:numCache>
            </c:numRef>
          </c:xVal>
          <c:yVal>
            <c:numRef>
              <c:f>'REF - ASWING STRUCT-Imperial'!$AB$50:$AB$51</c:f>
              <c:numCache>
                <c:formatCode>General</c:formatCode>
                <c:ptCount val="2"/>
                <c:pt idx="0">
                  <c:v>0</c:v>
                </c:pt>
                <c:pt idx="1">
                  <c:v>0</c:v>
                </c:pt>
              </c:numCache>
            </c:numRef>
          </c:yVal>
          <c:smooth val="0"/>
          <c:extLst>
            <c:ext xmlns:c16="http://schemas.microsoft.com/office/drawing/2014/chart" uri="{C3380CC4-5D6E-409C-BE32-E72D297353CC}">
              <c16:uniqueId val="{00000008-48FA-4110-B7B7-F74B5BD22CB8}"/>
            </c:ext>
          </c:extLst>
        </c:ser>
        <c:ser>
          <c:idx val="3"/>
          <c:order val="4"/>
          <c:tx>
            <c:v>Back Left Boom</c:v>
          </c:tx>
          <c:spPr>
            <a:ln w="63500" cap="rnd">
              <a:solidFill>
                <a:schemeClr val="accent4"/>
              </a:solidFill>
              <a:round/>
            </a:ln>
            <a:effectLst/>
          </c:spPr>
          <c:marker>
            <c:symbol val="none"/>
          </c:marker>
          <c:xVal>
            <c:numRef>
              <c:f>'REF - ASWING STRUCT-Imperial'!$AF$50:$AF$51</c:f>
              <c:numCache>
                <c:formatCode>General</c:formatCode>
                <c:ptCount val="2"/>
                <c:pt idx="0">
                  <c:v>0</c:v>
                </c:pt>
                <c:pt idx="1">
                  <c:v>0</c:v>
                </c:pt>
              </c:numCache>
            </c:numRef>
          </c:xVal>
          <c:yVal>
            <c:numRef>
              <c:f>'REF - ASWING STRUCT-Imperial'!$AG$50:$AG$51</c:f>
              <c:numCache>
                <c:formatCode>General</c:formatCode>
                <c:ptCount val="2"/>
                <c:pt idx="0">
                  <c:v>0</c:v>
                </c:pt>
                <c:pt idx="1">
                  <c:v>0</c:v>
                </c:pt>
              </c:numCache>
            </c:numRef>
          </c:yVal>
          <c:smooth val="0"/>
          <c:extLst>
            <c:ext xmlns:c16="http://schemas.microsoft.com/office/drawing/2014/chart" uri="{C3380CC4-5D6E-409C-BE32-E72D297353CC}">
              <c16:uniqueId val="{00000009-48FA-4110-B7B7-F74B5BD22CB8}"/>
            </c:ext>
          </c:extLst>
        </c:ser>
        <c:ser>
          <c:idx val="4"/>
          <c:order val="5"/>
          <c:tx>
            <c:v>Right Outside Boom</c:v>
          </c:tx>
          <c:spPr>
            <a:ln w="63500" cap="rnd">
              <a:solidFill>
                <a:schemeClr val="accent5"/>
              </a:solidFill>
              <a:round/>
            </a:ln>
            <a:effectLst/>
          </c:spPr>
          <c:marker>
            <c:symbol val="none"/>
          </c:marker>
          <c:xVal>
            <c:numRef>
              <c:f>'REF - ASWING STRUCT-Imperial'!$AK$50:$AK$51</c:f>
              <c:numCache>
                <c:formatCode>General</c:formatCode>
                <c:ptCount val="2"/>
                <c:pt idx="0">
                  <c:v>0</c:v>
                </c:pt>
                <c:pt idx="1">
                  <c:v>0</c:v>
                </c:pt>
              </c:numCache>
            </c:numRef>
          </c:xVal>
          <c:yVal>
            <c:numRef>
              <c:f>'REF - ASWING STRUCT-Imperial'!$AL$50:$AL$51</c:f>
              <c:numCache>
                <c:formatCode>General</c:formatCode>
                <c:ptCount val="2"/>
                <c:pt idx="0">
                  <c:v>0</c:v>
                </c:pt>
                <c:pt idx="1">
                  <c:v>0</c:v>
                </c:pt>
              </c:numCache>
            </c:numRef>
          </c:yVal>
          <c:smooth val="0"/>
          <c:extLst>
            <c:ext xmlns:c16="http://schemas.microsoft.com/office/drawing/2014/chart" uri="{C3380CC4-5D6E-409C-BE32-E72D297353CC}">
              <c16:uniqueId val="{0000000A-48FA-4110-B7B7-F74B5BD22CB8}"/>
            </c:ext>
          </c:extLst>
        </c:ser>
        <c:ser>
          <c:idx val="6"/>
          <c:order val="6"/>
          <c:tx>
            <c:v>Left Outside Boom</c:v>
          </c:tx>
          <c:spPr>
            <a:ln w="63500" cap="rnd">
              <a:solidFill>
                <a:schemeClr val="accent1">
                  <a:lumMod val="60000"/>
                </a:schemeClr>
              </a:solidFill>
              <a:round/>
            </a:ln>
            <a:effectLst/>
          </c:spPr>
          <c:marker>
            <c:symbol val="none"/>
          </c:marker>
          <c:xVal>
            <c:numRef>
              <c:f>'REF - ASWING STRUCT-Imperial'!$AP$50:$AP$51</c:f>
              <c:numCache>
                <c:formatCode>General</c:formatCode>
                <c:ptCount val="2"/>
                <c:pt idx="0">
                  <c:v>0</c:v>
                </c:pt>
                <c:pt idx="1">
                  <c:v>0</c:v>
                </c:pt>
              </c:numCache>
            </c:numRef>
          </c:xVal>
          <c:yVal>
            <c:numRef>
              <c:f>'REF - ASWING STRUCT-Imperial'!$AQ$50:$AQ$51</c:f>
              <c:numCache>
                <c:formatCode>General</c:formatCode>
                <c:ptCount val="2"/>
                <c:pt idx="0">
                  <c:v>0</c:v>
                </c:pt>
                <c:pt idx="1">
                  <c:v>0</c:v>
                </c:pt>
              </c:numCache>
            </c:numRef>
          </c:yVal>
          <c:smooth val="0"/>
          <c:extLst>
            <c:ext xmlns:c16="http://schemas.microsoft.com/office/drawing/2014/chart" uri="{C3380CC4-5D6E-409C-BE32-E72D297353CC}">
              <c16:uniqueId val="{0000000B-48FA-4110-B7B7-F74B5BD22CB8}"/>
            </c:ext>
          </c:extLst>
        </c:ser>
        <c:dLbls>
          <c:showLegendKey val="0"/>
          <c:showVal val="0"/>
          <c:showCatName val="0"/>
          <c:showSerName val="0"/>
          <c:showPercent val="0"/>
          <c:showBubbleSize val="0"/>
        </c:dLbls>
        <c:axId val="658251624"/>
        <c:axId val="658259904"/>
      </c:scatterChart>
      <c:valAx>
        <c:axId val="658251624"/>
        <c:scaling>
          <c:orientation val="minMax"/>
          <c:max val="47"/>
          <c:min val="13"/>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9904"/>
        <c:crosses val="autoZero"/>
        <c:crossBetween val="midCat"/>
      </c:valAx>
      <c:valAx>
        <c:axId val="658259904"/>
        <c:scaling>
          <c:orientation val="minMax"/>
          <c:max val="16"/>
          <c:min val="-16"/>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1624"/>
        <c:crosses val="autoZero"/>
        <c:crossBetween val="midCat"/>
      </c:valAx>
      <c:spPr>
        <a:noFill/>
        <a:ln>
          <a:noFill/>
        </a:ln>
        <a:effectLst/>
      </c:spPr>
    </c:plotArea>
    <c:legend>
      <c:legendPos val="r"/>
      <c:layout>
        <c:manualLayout>
          <c:xMode val="edge"/>
          <c:yMode val="edge"/>
          <c:x val="0.79776791891747167"/>
          <c:y val="0.2538545316331739"/>
          <c:w val="0.19549888478122679"/>
          <c:h val="0.3896242678073098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'REF - Shear Buckling'!$P$9</c:f>
              <c:strCache>
                <c:ptCount val="1"/>
                <c:pt idx="0">
                  <c:v>KM (table)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1"/>
            <c:dispEq val="1"/>
            <c:trendlineLbl>
              <c:layout>
                <c:manualLayout>
                  <c:x val="-0.21090266841644795"/>
                  <c:y val="7.4912146398366866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'REF - Shear Buckling'!$O$10:$O$14</c:f>
              <c:numCache>
                <c:formatCode>General</c:formatCode>
                <c:ptCount val="5"/>
                <c:pt idx="0">
                  <c:v>0</c:v>
                </c:pt>
                <c:pt idx="1">
                  <c:v>0.05</c:v>
                </c:pt>
                <c:pt idx="2">
                  <c:v>0.1</c:v>
                </c:pt>
                <c:pt idx="3">
                  <c:v>0.2</c:v>
                </c:pt>
                <c:pt idx="4">
                  <c:v>0.4</c:v>
                </c:pt>
              </c:numCache>
            </c:numRef>
          </c:xVal>
          <c:yVal>
            <c:numRef>
              <c:f>'REF - Shear Buckling'!$P$10:$P$14</c:f>
              <c:numCache>
                <c:formatCode>General</c:formatCode>
                <c:ptCount val="5"/>
                <c:pt idx="0">
                  <c:v>5.3</c:v>
                </c:pt>
                <c:pt idx="1">
                  <c:v>4.5</c:v>
                </c:pt>
                <c:pt idx="2">
                  <c:v>3.9</c:v>
                </c:pt>
                <c:pt idx="3">
                  <c:v>3.1</c:v>
                </c:pt>
                <c:pt idx="4">
                  <c:v>2.1</c:v>
                </c:pt>
              </c:numCache>
            </c:numRef>
          </c:yVal>
          <c:smooth val="0"/>
          <c:extLst>
            <c:ext xmlns:c16="http://schemas.microsoft.com/office/drawing/2014/chart" uri="{C3380CC4-5D6E-409C-BE32-E72D297353CC}">
              <c16:uniqueId val="{00000001-07B0-478A-BADE-6FCA7449E1DC}"/>
            </c:ext>
          </c:extLst>
        </c:ser>
        <c:dLbls>
          <c:showLegendKey val="0"/>
          <c:showVal val="0"/>
          <c:showCatName val="0"/>
          <c:showSerName val="0"/>
          <c:showPercent val="0"/>
          <c:showBubbleSize val="0"/>
        </c:dLbls>
        <c:axId val="401963272"/>
        <c:axId val="401963664"/>
      </c:scatterChart>
      <c:valAx>
        <c:axId val="401963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3664"/>
        <c:crosses val="autoZero"/>
        <c:crossBetween val="midCat"/>
      </c:valAx>
      <c:valAx>
        <c:axId val="40196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3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chart" Target="../charts/chart9.xm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chart" Target="../charts/chart11.xml"/><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9.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6</xdr:col>
      <xdr:colOff>459155</xdr:colOff>
      <xdr:row>7</xdr:row>
      <xdr:rowOff>97693</xdr:rowOff>
    </xdr:from>
    <xdr:to>
      <xdr:col>12</xdr:col>
      <xdr:colOff>601832</xdr:colOff>
      <xdr:row>18</xdr:row>
      <xdr:rowOff>29461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4405" r="11467" b="22688"/>
        <a:stretch/>
      </xdr:blipFill>
      <xdr:spPr>
        <a:xfrm>
          <a:off x="7092463" y="1401885"/>
          <a:ext cx="3919757" cy="1988191"/>
        </a:xfrm>
        <a:prstGeom prst="rect">
          <a:avLst/>
        </a:prstGeom>
        <a:ln>
          <a:solidFill>
            <a:schemeClr val="tx1"/>
          </a:solidFill>
        </a:ln>
      </xdr:spPr>
    </xdr:pic>
    <xdr:clientData/>
  </xdr:twoCellAnchor>
  <xdr:twoCellAnchor editAs="oneCell">
    <xdr:from>
      <xdr:col>1</xdr:col>
      <xdr:colOff>82826</xdr:colOff>
      <xdr:row>78</xdr:row>
      <xdr:rowOff>66261</xdr:rowOff>
    </xdr:from>
    <xdr:to>
      <xdr:col>11</xdr:col>
      <xdr:colOff>115819</xdr:colOff>
      <xdr:row>100</xdr:row>
      <xdr:rowOff>33132</xdr:rowOff>
    </xdr:to>
    <xdr:pic>
      <xdr:nvPicPr>
        <xdr:cNvPr id="6" name="Picture 5">
          <a:extLst>
            <a:ext uri="{FF2B5EF4-FFF2-40B4-BE49-F238E27FC236}">
              <a16:creationId xmlns:a16="http://schemas.microsoft.com/office/drawing/2014/main" id="{7224F0CA-988B-3A41-62F6-39AB5B290840}"/>
            </a:ext>
          </a:extLst>
        </xdr:cNvPr>
        <xdr:cNvPicPr>
          <a:picLocks noChangeAspect="1"/>
        </xdr:cNvPicPr>
      </xdr:nvPicPr>
      <xdr:blipFill>
        <a:blip xmlns:r="http://schemas.openxmlformats.org/officeDocument/2006/relationships" r:embed="rId2"/>
        <a:stretch>
          <a:fillRect/>
        </a:stretch>
      </xdr:blipFill>
      <xdr:spPr>
        <a:xfrm>
          <a:off x="1200978" y="21543065"/>
          <a:ext cx="9466885" cy="4157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133351</xdr:colOff>
      <xdr:row>0</xdr:row>
      <xdr:rowOff>143808</xdr:rowOff>
    </xdr:from>
    <xdr:to>
      <xdr:col>13</xdr:col>
      <xdr:colOff>403413</xdr:colOff>
      <xdr:row>61</xdr:row>
      <xdr:rowOff>124758</xdr:rowOff>
    </xdr:to>
    <xdr:graphicFrame macro="">
      <xdr:nvGraphicFramePr>
        <xdr:cNvPr id="2" name="Chart 1">
          <a:extLst>
            <a:ext uri="{FF2B5EF4-FFF2-40B4-BE49-F238E27FC236}">
              <a16:creationId xmlns:a16="http://schemas.microsoft.com/office/drawing/2014/main" id="{B0F037F1-8548-4520-A7A0-B4B5114EC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22087</xdr:colOff>
      <xdr:row>43</xdr:row>
      <xdr:rowOff>153821</xdr:rowOff>
    </xdr:from>
    <xdr:to>
      <xdr:col>22</xdr:col>
      <xdr:colOff>1471020</xdr:colOff>
      <xdr:row>58</xdr:row>
      <xdr:rowOff>153820</xdr:rowOff>
    </xdr:to>
    <xdr:grpSp>
      <xdr:nvGrpSpPr>
        <xdr:cNvPr id="8" name="Group 7">
          <a:extLst>
            <a:ext uri="{FF2B5EF4-FFF2-40B4-BE49-F238E27FC236}">
              <a16:creationId xmlns:a16="http://schemas.microsoft.com/office/drawing/2014/main" id="{5D5D6E3B-3510-9B7C-A134-91CF92C8AB98}"/>
            </a:ext>
          </a:extLst>
        </xdr:cNvPr>
        <xdr:cNvGrpSpPr/>
      </xdr:nvGrpSpPr>
      <xdr:grpSpPr>
        <a:xfrm>
          <a:off x="18378123" y="8644678"/>
          <a:ext cx="6935333" cy="2857499"/>
          <a:chOff x="22357522" y="8314951"/>
          <a:chExt cx="7197063" cy="2733260"/>
        </a:xfrm>
      </xdr:grpSpPr>
      <xdr:pic>
        <xdr:nvPicPr>
          <xdr:cNvPr id="3" name="Picture 2">
            <a:extLst>
              <a:ext uri="{FF2B5EF4-FFF2-40B4-BE49-F238E27FC236}">
                <a16:creationId xmlns:a16="http://schemas.microsoft.com/office/drawing/2014/main" id="{931D7252-6F1D-4439-8ED9-CC4E43BDAD00}"/>
              </a:ext>
            </a:extLst>
          </xdr:cNvPr>
          <xdr:cNvPicPr>
            <a:picLocks noChangeAspect="1"/>
          </xdr:cNvPicPr>
        </xdr:nvPicPr>
        <xdr:blipFill>
          <a:blip xmlns:r="http://schemas.openxmlformats.org/officeDocument/2006/relationships" r:embed="rId2"/>
          <a:stretch>
            <a:fillRect/>
          </a:stretch>
        </xdr:blipFill>
        <xdr:spPr>
          <a:xfrm>
            <a:off x="22357522" y="8314951"/>
            <a:ext cx="7197063" cy="2733260"/>
          </a:xfrm>
          <a:prstGeom prst="rect">
            <a:avLst/>
          </a:prstGeom>
          <a:ln>
            <a:solidFill>
              <a:schemeClr val="tx1"/>
            </a:solidFill>
          </a:ln>
        </xdr:spPr>
      </xdr:pic>
      <xdr:sp macro="" textlink="">
        <xdr:nvSpPr>
          <xdr:cNvPr id="4" name="Rectangle 3">
            <a:extLst>
              <a:ext uri="{FF2B5EF4-FFF2-40B4-BE49-F238E27FC236}">
                <a16:creationId xmlns:a16="http://schemas.microsoft.com/office/drawing/2014/main" id="{ABE6D7AF-2983-1239-D657-32ED357A7D87}"/>
              </a:ext>
            </a:extLst>
          </xdr:cNvPr>
          <xdr:cNvSpPr/>
        </xdr:nvSpPr>
        <xdr:spPr>
          <a:xfrm rot="20921104">
            <a:off x="23551781" y="9714599"/>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F2FA431A-D942-46B4-AE72-958F082CB642}"/>
              </a:ext>
            </a:extLst>
          </xdr:cNvPr>
          <xdr:cNvSpPr/>
        </xdr:nvSpPr>
        <xdr:spPr>
          <a:xfrm rot="391268">
            <a:off x="23566136" y="10358434"/>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A556F6EC-7420-46E7-8B41-C0A82C4221C9}"/>
              </a:ext>
            </a:extLst>
          </xdr:cNvPr>
          <xdr:cNvSpPr/>
        </xdr:nvSpPr>
        <xdr:spPr>
          <a:xfrm>
            <a:off x="23533009" y="9723434"/>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5CB9AA8B-AF05-4E46-8EFD-63CD454CB1C4}"/>
              </a:ext>
            </a:extLst>
          </xdr:cNvPr>
          <xdr:cNvSpPr/>
        </xdr:nvSpPr>
        <xdr:spPr>
          <a:xfrm>
            <a:off x="23536321" y="10334138"/>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133351</xdr:colOff>
      <xdr:row>0</xdr:row>
      <xdr:rowOff>143808</xdr:rowOff>
    </xdr:from>
    <xdr:to>
      <xdr:col>13</xdr:col>
      <xdr:colOff>403413</xdr:colOff>
      <xdr:row>61</xdr:row>
      <xdr:rowOff>124758</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44</xdr:row>
      <xdr:rowOff>0</xdr:rowOff>
    </xdr:from>
    <xdr:to>
      <xdr:col>22</xdr:col>
      <xdr:colOff>1448933</xdr:colOff>
      <xdr:row>58</xdr:row>
      <xdr:rowOff>184149</xdr:rowOff>
    </xdr:to>
    <xdr:grpSp>
      <xdr:nvGrpSpPr>
        <xdr:cNvPr id="4" name="Group 3">
          <a:extLst>
            <a:ext uri="{FF2B5EF4-FFF2-40B4-BE49-F238E27FC236}">
              <a16:creationId xmlns:a16="http://schemas.microsoft.com/office/drawing/2014/main" id="{3D6148A1-4EC6-49AC-BCD8-B38B691660B8}"/>
            </a:ext>
          </a:extLst>
        </xdr:cNvPr>
        <xdr:cNvGrpSpPr/>
      </xdr:nvGrpSpPr>
      <xdr:grpSpPr>
        <a:xfrm>
          <a:off x="21364575" y="8591550"/>
          <a:ext cx="6944858" cy="2851149"/>
          <a:chOff x="22357522" y="8314951"/>
          <a:chExt cx="7197063" cy="2733260"/>
        </a:xfrm>
      </xdr:grpSpPr>
      <xdr:pic>
        <xdr:nvPicPr>
          <xdr:cNvPr id="5" name="Picture 4">
            <a:extLst>
              <a:ext uri="{FF2B5EF4-FFF2-40B4-BE49-F238E27FC236}">
                <a16:creationId xmlns:a16="http://schemas.microsoft.com/office/drawing/2014/main" id="{5ADCE2F7-ACFF-4922-C2CA-AF3DEFB371A7}"/>
              </a:ext>
            </a:extLst>
          </xdr:cNvPr>
          <xdr:cNvPicPr>
            <a:picLocks noChangeAspect="1"/>
          </xdr:cNvPicPr>
        </xdr:nvPicPr>
        <xdr:blipFill>
          <a:blip xmlns:r="http://schemas.openxmlformats.org/officeDocument/2006/relationships" r:embed="rId2"/>
          <a:stretch>
            <a:fillRect/>
          </a:stretch>
        </xdr:blipFill>
        <xdr:spPr>
          <a:xfrm>
            <a:off x="22357522" y="8314951"/>
            <a:ext cx="7197063" cy="2733260"/>
          </a:xfrm>
          <a:prstGeom prst="rect">
            <a:avLst/>
          </a:prstGeom>
          <a:ln>
            <a:solidFill>
              <a:schemeClr val="tx1"/>
            </a:solidFill>
          </a:ln>
        </xdr:spPr>
      </xdr:pic>
      <xdr:sp macro="" textlink="">
        <xdr:nvSpPr>
          <xdr:cNvPr id="6" name="Rectangle 5">
            <a:extLst>
              <a:ext uri="{FF2B5EF4-FFF2-40B4-BE49-F238E27FC236}">
                <a16:creationId xmlns:a16="http://schemas.microsoft.com/office/drawing/2014/main" id="{05587C83-665B-8C5E-EB4B-249A812BD2A6}"/>
              </a:ext>
            </a:extLst>
          </xdr:cNvPr>
          <xdr:cNvSpPr/>
        </xdr:nvSpPr>
        <xdr:spPr>
          <a:xfrm rot="20921104">
            <a:off x="23551781" y="9714599"/>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ADC87899-AF84-B78A-5C4A-CC0331101A54}"/>
              </a:ext>
            </a:extLst>
          </xdr:cNvPr>
          <xdr:cNvSpPr/>
        </xdr:nvSpPr>
        <xdr:spPr>
          <a:xfrm rot="391268">
            <a:off x="23566136" y="10358434"/>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9C6B7B36-CEC7-B260-9F65-913A4ECD7D06}"/>
              </a:ext>
            </a:extLst>
          </xdr:cNvPr>
          <xdr:cNvSpPr/>
        </xdr:nvSpPr>
        <xdr:spPr>
          <a:xfrm>
            <a:off x="23533009" y="9723434"/>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3FAC0130-B155-34CE-DF22-DF9241688171}"/>
              </a:ext>
            </a:extLst>
          </xdr:cNvPr>
          <xdr:cNvSpPr/>
        </xdr:nvSpPr>
        <xdr:spPr>
          <a:xfrm>
            <a:off x="23536321" y="10334138"/>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24</xdr:col>
      <xdr:colOff>69850</xdr:colOff>
      <xdr:row>16</xdr:row>
      <xdr:rowOff>6350</xdr:rowOff>
    </xdr:from>
    <xdr:to>
      <xdr:col>34</xdr:col>
      <xdr:colOff>552450</xdr:colOff>
      <xdr:row>40</xdr:row>
      <xdr:rowOff>171450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42</xdr:row>
      <xdr:rowOff>0</xdr:rowOff>
    </xdr:from>
    <xdr:to>
      <xdr:col>34</xdr:col>
      <xdr:colOff>482600</xdr:colOff>
      <xdr:row>66</xdr:row>
      <xdr:rowOff>165100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68</xdr:row>
      <xdr:rowOff>0</xdr:rowOff>
    </xdr:from>
    <xdr:to>
      <xdr:col>34</xdr:col>
      <xdr:colOff>482600</xdr:colOff>
      <xdr:row>92</xdr:row>
      <xdr:rowOff>165100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268</xdr:col>
      <xdr:colOff>89647</xdr:colOff>
      <xdr:row>56</xdr:row>
      <xdr:rowOff>139224</xdr:rowOff>
    </xdr:from>
    <xdr:to>
      <xdr:col>283</xdr:col>
      <xdr:colOff>19695</xdr:colOff>
      <xdr:row>82</xdr:row>
      <xdr:rowOff>161739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268</xdr:col>
      <xdr:colOff>80816</xdr:colOff>
      <xdr:row>84</xdr:row>
      <xdr:rowOff>103910</xdr:rowOff>
    </xdr:from>
    <xdr:to>
      <xdr:col>283</xdr:col>
      <xdr:colOff>-1</xdr:colOff>
      <xdr:row>108</xdr:row>
      <xdr:rowOff>111125</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268</xdr:col>
      <xdr:colOff>56282</xdr:colOff>
      <xdr:row>109</xdr:row>
      <xdr:rowOff>170296</xdr:rowOff>
    </xdr:from>
    <xdr:to>
      <xdr:col>283</xdr:col>
      <xdr:colOff>-1</xdr:colOff>
      <xdr:row>140</xdr:row>
      <xdr:rowOff>31750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39</xdr:col>
      <xdr:colOff>662213</xdr:colOff>
      <xdr:row>14</xdr:row>
      <xdr:rowOff>34471</xdr:rowOff>
    </xdr:from>
    <xdr:to>
      <xdr:col>46</xdr:col>
      <xdr:colOff>381000</xdr:colOff>
      <xdr:row>23</xdr:row>
      <xdr:rowOff>146034</xdr:rowOff>
    </xdr:to>
    <xdr:pic>
      <xdr:nvPicPr>
        <xdr:cNvPr id="2" name="Picture 1">
          <a:extLst>
            <a:ext uri="{FF2B5EF4-FFF2-40B4-BE49-F238E27FC236}">
              <a16:creationId xmlns:a16="http://schemas.microsoft.com/office/drawing/2014/main" id="{2D5D6254-203C-EFBC-A281-D134415F0EB2}"/>
            </a:ext>
          </a:extLst>
        </xdr:cNvPr>
        <xdr:cNvPicPr>
          <a:picLocks noChangeAspect="1"/>
        </xdr:cNvPicPr>
      </xdr:nvPicPr>
      <xdr:blipFill>
        <a:blip xmlns:r="http://schemas.openxmlformats.org/officeDocument/2006/relationships" r:embed="rId1"/>
        <a:stretch>
          <a:fillRect/>
        </a:stretch>
      </xdr:blipFill>
      <xdr:spPr>
        <a:xfrm>
          <a:off x="33390113" y="2625271"/>
          <a:ext cx="7033987" cy="1781613"/>
        </a:xfrm>
        <a:prstGeom prst="rect">
          <a:avLst/>
        </a:prstGeom>
      </xdr:spPr>
    </xdr:pic>
    <xdr:clientData/>
  </xdr:twoCellAnchor>
  <xdr:twoCellAnchor editAs="oneCell">
    <xdr:from>
      <xdr:col>38</xdr:col>
      <xdr:colOff>57150</xdr:colOff>
      <xdr:row>25</xdr:row>
      <xdr:rowOff>69850</xdr:rowOff>
    </xdr:from>
    <xdr:to>
      <xdr:col>41</xdr:col>
      <xdr:colOff>628650</xdr:colOff>
      <xdr:row>29</xdr:row>
      <xdr:rowOff>15240</xdr:rowOff>
    </xdr:to>
    <xdr:pic>
      <xdr:nvPicPr>
        <xdr:cNvPr id="3" name="Picture 2">
          <a:extLst>
            <a:ext uri="{FF2B5EF4-FFF2-40B4-BE49-F238E27FC236}">
              <a16:creationId xmlns:a16="http://schemas.microsoft.com/office/drawing/2014/main" id="{3DB52A6F-FBA6-B5A1-17C5-0276AEB3D910}"/>
            </a:ext>
          </a:extLst>
        </xdr:cNvPr>
        <xdr:cNvPicPr>
          <a:picLocks noChangeAspect="1"/>
        </xdr:cNvPicPr>
      </xdr:nvPicPr>
      <xdr:blipFill>
        <a:blip xmlns:r="http://schemas.openxmlformats.org/officeDocument/2006/relationships" r:embed="rId2"/>
        <a:stretch>
          <a:fillRect/>
        </a:stretch>
      </xdr:blipFill>
      <xdr:spPr>
        <a:xfrm>
          <a:off x="31115000" y="4699000"/>
          <a:ext cx="3600450" cy="681990"/>
        </a:xfrm>
        <a:prstGeom prst="rect">
          <a:avLst/>
        </a:prstGeom>
      </xdr:spPr>
    </xdr:pic>
    <xdr:clientData/>
  </xdr:twoCellAnchor>
  <xdr:twoCellAnchor editAs="oneCell">
    <xdr:from>
      <xdr:col>38</xdr:col>
      <xdr:colOff>57151</xdr:colOff>
      <xdr:row>30</xdr:row>
      <xdr:rowOff>50801</xdr:rowOff>
    </xdr:from>
    <xdr:to>
      <xdr:col>42</xdr:col>
      <xdr:colOff>552451</xdr:colOff>
      <xdr:row>34</xdr:row>
      <xdr:rowOff>2531</xdr:rowOff>
    </xdr:to>
    <xdr:pic>
      <xdr:nvPicPr>
        <xdr:cNvPr id="4" name="Picture 3">
          <a:extLst>
            <a:ext uri="{FF2B5EF4-FFF2-40B4-BE49-F238E27FC236}">
              <a16:creationId xmlns:a16="http://schemas.microsoft.com/office/drawing/2014/main" id="{C8AC6137-F4E6-55F7-9DB6-6F271E7185E8}"/>
            </a:ext>
          </a:extLst>
        </xdr:cNvPr>
        <xdr:cNvPicPr>
          <a:picLocks noChangeAspect="1"/>
        </xdr:cNvPicPr>
      </xdr:nvPicPr>
      <xdr:blipFill>
        <a:blip xmlns:r="http://schemas.openxmlformats.org/officeDocument/2006/relationships" r:embed="rId3"/>
        <a:stretch>
          <a:fillRect/>
        </a:stretch>
      </xdr:blipFill>
      <xdr:spPr>
        <a:xfrm>
          <a:off x="31115001" y="5600701"/>
          <a:ext cx="4451350" cy="701030"/>
        </a:xfrm>
        <a:prstGeom prst="rect">
          <a:avLst/>
        </a:prstGeom>
      </xdr:spPr>
    </xdr:pic>
    <xdr:clientData/>
  </xdr:twoCellAnchor>
  <xdr:twoCellAnchor editAs="oneCell">
    <xdr:from>
      <xdr:col>50</xdr:col>
      <xdr:colOff>82550</xdr:colOff>
      <xdr:row>30</xdr:row>
      <xdr:rowOff>31980</xdr:rowOff>
    </xdr:from>
    <xdr:to>
      <xdr:col>53</xdr:col>
      <xdr:colOff>552450</xdr:colOff>
      <xdr:row>33</xdr:row>
      <xdr:rowOff>152288</xdr:rowOff>
    </xdr:to>
    <xdr:pic>
      <xdr:nvPicPr>
        <xdr:cNvPr id="5" name="Picture 4">
          <a:extLst>
            <a:ext uri="{FF2B5EF4-FFF2-40B4-BE49-F238E27FC236}">
              <a16:creationId xmlns:a16="http://schemas.microsoft.com/office/drawing/2014/main" id="{0778A5AE-FC3A-528C-3621-DC0CCCF19976}"/>
            </a:ext>
          </a:extLst>
        </xdr:cNvPr>
        <xdr:cNvPicPr>
          <a:picLocks noChangeAspect="1"/>
        </xdr:cNvPicPr>
      </xdr:nvPicPr>
      <xdr:blipFill>
        <a:blip xmlns:r="http://schemas.openxmlformats.org/officeDocument/2006/relationships" r:embed="rId4"/>
        <a:stretch>
          <a:fillRect/>
        </a:stretch>
      </xdr:blipFill>
      <xdr:spPr>
        <a:xfrm>
          <a:off x="43300650" y="5581880"/>
          <a:ext cx="2413000" cy="679108"/>
        </a:xfrm>
        <a:prstGeom prst="rect">
          <a:avLst/>
        </a:prstGeom>
      </xdr:spPr>
    </xdr:pic>
    <xdr:clientData/>
  </xdr:twoCellAnchor>
  <xdr:twoCellAnchor editAs="oneCell">
    <xdr:from>
      <xdr:col>50</xdr:col>
      <xdr:colOff>158749</xdr:colOff>
      <xdr:row>38</xdr:row>
      <xdr:rowOff>104930</xdr:rowOff>
    </xdr:from>
    <xdr:to>
      <xdr:col>54</xdr:col>
      <xdr:colOff>95250</xdr:colOff>
      <xdr:row>40</xdr:row>
      <xdr:rowOff>69850</xdr:rowOff>
    </xdr:to>
    <xdr:pic>
      <xdr:nvPicPr>
        <xdr:cNvPr id="7" name="Picture 6">
          <a:extLst>
            <a:ext uri="{FF2B5EF4-FFF2-40B4-BE49-F238E27FC236}">
              <a16:creationId xmlns:a16="http://schemas.microsoft.com/office/drawing/2014/main" id="{9923CD29-3BE8-13DB-1484-7C458EEDE2D7}"/>
            </a:ext>
          </a:extLst>
        </xdr:cNvPr>
        <xdr:cNvPicPr>
          <a:picLocks noChangeAspect="1"/>
        </xdr:cNvPicPr>
      </xdr:nvPicPr>
      <xdr:blipFill rotWithShape="1">
        <a:blip xmlns:r="http://schemas.openxmlformats.org/officeDocument/2006/relationships" r:embed="rId5"/>
        <a:srcRect l="7328" b="16655"/>
        <a:stretch/>
      </xdr:blipFill>
      <xdr:spPr>
        <a:xfrm>
          <a:off x="43376849" y="7159780"/>
          <a:ext cx="2489201" cy="333220"/>
        </a:xfrm>
        <a:prstGeom prst="rect">
          <a:avLst/>
        </a:prstGeom>
      </xdr:spPr>
    </xdr:pic>
    <xdr:clientData/>
  </xdr:twoCellAnchor>
  <xdr:twoCellAnchor editAs="oneCell">
    <xdr:from>
      <xdr:col>40</xdr:col>
      <xdr:colOff>52296</xdr:colOff>
      <xdr:row>1</xdr:row>
      <xdr:rowOff>127000</xdr:rowOff>
    </xdr:from>
    <xdr:to>
      <xdr:col>45</xdr:col>
      <xdr:colOff>973373</xdr:colOff>
      <xdr:row>14</xdr:row>
      <xdr:rowOff>7471</xdr:rowOff>
    </xdr:to>
    <xdr:pic>
      <xdr:nvPicPr>
        <xdr:cNvPr id="8" name="Picture 7">
          <a:extLst>
            <a:ext uri="{FF2B5EF4-FFF2-40B4-BE49-F238E27FC236}">
              <a16:creationId xmlns:a16="http://schemas.microsoft.com/office/drawing/2014/main" id="{62E60E8B-D500-4E65-B8BF-33B87CF90433}"/>
            </a:ext>
          </a:extLst>
        </xdr:cNvPr>
        <xdr:cNvPicPr>
          <a:picLocks noChangeAspect="1"/>
        </xdr:cNvPicPr>
      </xdr:nvPicPr>
      <xdr:blipFill>
        <a:blip xmlns:r="http://schemas.openxmlformats.org/officeDocument/2006/relationships" r:embed="rId6"/>
        <a:stretch>
          <a:fillRect/>
        </a:stretch>
      </xdr:blipFill>
      <xdr:spPr>
        <a:xfrm>
          <a:off x="33886590" y="313765"/>
          <a:ext cx="6135548" cy="2323353"/>
        </a:xfrm>
        <a:prstGeom prst="rect">
          <a:avLst/>
        </a:prstGeom>
      </xdr:spPr>
    </xdr:pic>
    <xdr:clientData/>
  </xdr:twoCellAnchor>
  <xdr:twoCellAnchor>
    <xdr:from>
      <xdr:col>47</xdr:col>
      <xdr:colOff>880461</xdr:colOff>
      <xdr:row>0</xdr:row>
      <xdr:rowOff>0</xdr:rowOff>
    </xdr:from>
    <xdr:to>
      <xdr:col>57</xdr:col>
      <xdr:colOff>163285</xdr:colOff>
      <xdr:row>27</xdr:row>
      <xdr:rowOff>90714</xdr:rowOff>
    </xdr:to>
    <xdr:graphicFrame macro="">
      <xdr:nvGraphicFramePr>
        <xdr:cNvPr id="9" name="Chart 8">
          <a:extLst>
            <a:ext uri="{FF2B5EF4-FFF2-40B4-BE49-F238E27FC236}">
              <a16:creationId xmlns:a16="http://schemas.microsoft.com/office/drawing/2014/main" id="{0D05FFF8-B492-4028-982C-627B9D2CA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766082</xdr:colOff>
      <xdr:row>0</xdr:row>
      <xdr:rowOff>163285</xdr:rowOff>
    </xdr:from>
    <xdr:to>
      <xdr:col>30</xdr:col>
      <xdr:colOff>503465</xdr:colOff>
      <xdr:row>34</xdr:row>
      <xdr:rowOff>176892</xdr:rowOff>
    </xdr:to>
    <xdr:graphicFrame macro="">
      <xdr:nvGraphicFramePr>
        <xdr:cNvPr id="2" name="Chart 1">
          <a:extLst>
            <a:ext uri="{FF2B5EF4-FFF2-40B4-BE49-F238E27FC236}">
              <a16:creationId xmlns:a16="http://schemas.microsoft.com/office/drawing/2014/main" id="{1FB05CBF-CBC1-4648-879E-79CA1107F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6351</xdr:colOff>
      <xdr:row>2</xdr:row>
      <xdr:rowOff>12700</xdr:rowOff>
    </xdr:from>
    <xdr:to>
      <xdr:col>2</xdr:col>
      <xdr:colOff>172428</xdr:colOff>
      <xdr:row>3</xdr:row>
      <xdr:rowOff>112002</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351" y="381000"/>
          <a:ext cx="1409700" cy="283452"/>
        </a:xfrm>
        <a:prstGeom prst="rect">
          <a:avLst/>
        </a:prstGeom>
      </xdr:spPr>
    </xdr:pic>
    <xdr:clientData/>
  </xdr:twoCellAnchor>
  <xdr:twoCellAnchor editAs="oneCell">
    <xdr:from>
      <xdr:col>0</xdr:col>
      <xdr:colOff>31751</xdr:colOff>
      <xdr:row>3</xdr:row>
      <xdr:rowOff>139700</xdr:rowOff>
    </xdr:from>
    <xdr:to>
      <xdr:col>6</xdr:col>
      <xdr:colOff>229578</xdr:colOff>
      <xdr:row>7</xdr:row>
      <xdr:rowOff>176969</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31751" y="692150"/>
          <a:ext cx="3879850" cy="773869"/>
        </a:xfrm>
        <a:prstGeom prst="rect">
          <a:avLst/>
        </a:prstGeom>
      </xdr:spPr>
    </xdr:pic>
    <xdr:clientData/>
  </xdr:twoCellAnchor>
  <xdr:twoCellAnchor editAs="oneCell">
    <xdr:from>
      <xdr:col>0</xdr:col>
      <xdr:colOff>0</xdr:colOff>
      <xdr:row>8</xdr:row>
      <xdr:rowOff>38100</xdr:rowOff>
    </xdr:from>
    <xdr:to>
      <xdr:col>2</xdr:col>
      <xdr:colOff>572477</xdr:colOff>
      <xdr:row>9</xdr:row>
      <xdr:rowOff>188873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0" y="1511300"/>
          <a:ext cx="1816100" cy="333457"/>
        </a:xfrm>
        <a:prstGeom prst="rect">
          <a:avLst/>
        </a:prstGeom>
      </xdr:spPr>
    </xdr:pic>
    <xdr:clientData/>
  </xdr:twoCellAnchor>
  <xdr:twoCellAnchor editAs="oneCell">
    <xdr:from>
      <xdr:col>0</xdr:col>
      <xdr:colOff>1</xdr:colOff>
      <xdr:row>9</xdr:row>
      <xdr:rowOff>177801</xdr:rowOff>
    </xdr:from>
    <xdr:to>
      <xdr:col>5</xdr:col>
      <xdr:colOff>563526</xdr:colOff>
      <xdr:row>32</xdr:row>
      <xdr:rowOff>63500</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 y="1848339"/>
          <a:ext cx="3640833" cy="4179276"/>
        </a:xfrm>
        <a:prstGeom prst="rect">
          <a:avLst/>
        </a:prstGeom>
      </xdr:spPr>
    </xdr:pic>
    <xdr:clientData/>
  </xdr:twoCellAnchor>
  <xdr:twoCellAnchor editAs="oneCell">
    <xdr:from>
      <xdr:col>0</xdr:col>
      <xdr:colOff>244231</xdr:colOff>
      <xdr:row>33</xdr:row>
      <xdr:rowOff>34194</xdr:rowOff>
    </xdr:from>
    <xdr:to>
      <xdr:col>5</xdr:col>
      <xdr:colOff>381001</xdr:colOff>
      <xdr:row>41</xdr:row>
      <xdr:rowOff>1106</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244231" y="6159502"/>
          <a:ext cx="3214078" cy="1451835"/>
        </a:xfrm>
        <a:prstGeom prst="rect">
          <a:avLst/>
        </a:prstGeom>
      </xdr:spPr>
    </xdr:pic>
    <xdr:clientData/>
  </xdr:twoCellAnchor>
  <xdr:twoCellAnchor editAs="oneCell">
    <xdr:from>
      <xdr:col>6</xdr:col>
      <xdr:colOff>395165</xdr:colOff>
      <xdr:row>2</xdr:row>
      <xdr:rowOff>56172</xdr:rowOff>
    </xdr:from>
    <xdr:to>
      <xdr:col>13</xdr:col>
      <xdr:colOff>76228</xdr:colOff>
      <xdr:row>32</xdr:row>
      <xdr:rowOff>185615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4058627" y="427403"/>
          <a:ext cx="3955101" cy="5722327"/>
        </a:xfrm>
        <a:prstGeom prst="rect">
          <a:avLst/>
        </a:prstGeom>
      </xdr:spPr>
    </xdr:pic>
    <xdr:clientData/>
  </xdr:twoCellAnchor>
  <xdr:twoCellAnchor>
    <xdr:from>
      <xdr:col>13</xdr:col>
      <xdr:colOff>544634</xdr:colOff>
      <xdr:row>14</xdr:row>
      <xdr:rowOff>127974</xdr:rowOff>
    </xdr:from>
    <xdr:to>
      <xdr:col>21</xdr:col>
      <xdr:colOff>129442</xdr:colOff>
      <xdr:row>29</xdr:row>
      <xdr:rowOff>86943</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19050</xdr:rowOff>
    </xdr:from>
    <xdr:to>
      <xdr:col>13</xdr:col>
      <xdr:colOff>567257</xdr:colOff>
      <xdr:row>23</xdr:row>
      <xdr:rowOff>78907</xdr:rowOff>
    </xdr:to>
    <xdr:pic>
      <xdr:nvPicPr>
        <xdr:cNvPr id="2" name="Picture 1">
          <a:extLst>
            <a:ext uri="{FF2B5EF4-FFF2-40B4-BE49-F238E27FC236}">
              <a16:creationId xmlns:a16="http://schemas.microsoft.com/office/drawing/2014/main" id="{4BD37277-3803-491C-A8F5-E3E2B1609E5A}"/>
            </a:ext>
          </a:extLst>
        </xdr:cNvPr>
        <xdr:cNvPicPr>
          <a:picLocks noChangeAspect="1"/>
        </xdr:cNvPicPr>
      </xdr:nvPicPr>
      <xdr:blipFill>
        <a:blip xmlns:r="http://schemas.openxmlformats.org/officeDocument/2006/relationships" r:embed="rId1"/>
        <a:stretch>
          <a:fillRect/>
        </a:stretch>
      </xdr:blipFill>
      <xdr:spPr>
        <a:xfrm>
          <a:off x="0" y="571500"/>
          <a:ext cx="8542857" cy="3742857"/>
        </a:xfrm>
        <a:prstGeom prst="rect">
          <a:avLst/>
        </a:prstGeom>
      </xdr:spPr>
    </xdr:pic>
    <xdr:clientData/>
  </xdr:twoCellAnchor>
  <xdr:twoCellAnchor editAs="oneCell">
    <xdr:from>
      <xdr:col>3</xdr:col>
      <xdr:colOff>514350</xdr:colOff>
      <xdr:row>23</xdr:row>
      <xdr:rowOff>88900</xdr:rowOff>
    </xdr:from>
    <xdr:to>
      <xdr:col>9</xdr:col>
      <xdr:colOff>218655</xdr:colOff>
      <xdr:row>30</xdr:row>
      <xdr:rowOff>56993</xdr:rowOff>
    </xdr:to>
    <xdr:pic>
      <xdr:nvPicPr>
        <xdr:cNvPr id="3" name="Picture 2">
          <a:extLst>
            <a:ext uri="{FF2B5EF4-FFF2-40B4-BE49-F238E27FC236}">
              <a16:creationId xmlns:a16="http://schemas.microsoft.com/office/drawing/2014/main" id="{06431591-5722-1420-1865-20167EC517AE}"/>
            </a:ext>
          </a:extLst>
        </xdr:cNvPr>
        <xdr:cNvPicPr>
          <a:picLocks noChangeAspect="1"/>
        </xdr:cNvPicPr>
      </xdr:nvPicPr>
      <xdr:blipFill>
        <a:blip xmlns:r="http://schemas.openxmlformats.org/officeDocument/2006/relationships" r:embed="rId2"/>
        <a:stretch>
          <a:fillRect/>
        </a:stretch>
      </xdr:blipFill>
      <xdr:spPr>
        <a:xfrm>
          <a:off x="2393950" y="4324350"/>
          <a:ext cx="3361905" cy="1257143"/>
        </a:xfrm>
        <a:prstGeom prst="rect">
          <a:avLst/>
        </a:prstGeom>
      </xdr:spPr>
    </xdr:pic>
    <xdr:clientData/>
  </xdr:twoCellAnchor>
  <xdr:twoCellAnchor editAs="oneCell">
    <xdr:from>
      <xdr:col>0</xdr:col>
      <xdr:colOff>38101</xdr:colOff>
      <xdr:row>31</xdr:row>
      <xdr:rowOff>0</xdr:rowOff>
    </xdr:from>
    <xdr:to>
      <xdr:col>13</xdr:col>
      <xdr:colOff>565151</xdr:colOff>
      <xdr:row>50</xdr:row>
      <xdr:rowOff>119900</xdr:rowOff>
    </xdr:to>
    <xdr:pic>
      <xdr:nvPicPr>
        <xdr:cNvPr id="4" name="Picture 3">
          <a:extLst>
            <a:ext uri="{FF2B5EF4-FFF2-40B4-BE49-F238E27FC236}">
              <a16:creationId xmlns:a16="http://schemas.microsoft.com/office/drawing/2014/main" id="{AC90CEE8-A8B1-4C94-954C-5251C7B1FB50}"/>
            </a:ext>
          </a:extLst>
        </xdr:cNvPr>
        <xdr:cNvPicPr>
          <a:picLocks noChangeAspect="1"/>
        </xdr:cNvPicPr>
      </xdr:nvPicPr>
      <xdr:blipFill>
        <a:blip xmlns:r="http://schemas.openxmlformats.org/officeDocument/2006/relationships" r:embed="rId3"/>
        <a:stretch>
          <a:fillRect/>
        </a:stretch>
      </xdr:blipFill>
      <xdr:spPr>
        <a:xfrm>
          <a:off x="38101" y="5708650"/>
          <a:ext cx="8502650" cy="3618750"/>
        </a:xfrm>
        <a:prstGeom prst="rect">
          <a:avLst/>
        </a:prstGeom>
      </xdr:spPr>
    </xdr:pic>
    <xdr:clientData/>
  </xdr:twoCellAnchor>
  <xdr:twoCellAnchor editAs="oneCell">
    <xdr:from>
      <xdr:col>0</xdr:col>
      <xdr:colOff>190500</xdr:colOff>
      <xdr:row>51</xdr:row>
      <xdr:rowOff>146050</xdr:rowOff>
    </xdr:from>
    <xdr:to>
      <xdr:col>14</xdr:col>
      <xdr:colOff>173167</xdr:colOff>
      <xdr:row>77</xdr:row>
      <xdr:rowOff>0</xdr:rowOff>
    </xdr:to>
    <xdr:pic>
      <xdr:nvPicPr>
        <xdr:cNvPr id="5" name="Picture 4">
          <a:extLst>
            <a:ext uri="{FF2B5EF4-FFF2-40B4-BE49-F238E27FC236}">
              <a16:creationId xmlns:a16="http://schemas.microsoft.com/office/drawing/2014/main" id="{939D665B-6F18-26A3-90BB-B48C67881932}"/>
            </a:ext>
          </a:extLst>
        </xdr:cNvPr>
        <xdr:cNvPicPr>
          <a:picLocks noChangeAspect="1"/>
        </xdr:cNvPicPr>
      </xdr:nvPicPr>
      <xdr:blipFill>
        <a:blip xmlns:r="http://schemas.openxmlformats.org/officeDocument/2006/relationships" r:embed="rId4"/>
        <a:stretch>
          <a:fillRect/>
        </a:stretch>
      </xdr:blipFill>
      <xdr:spPr>
        <a:xfrm>
          <a:off x="190500" y="9537700"/>
          <a:ext cx="8567867" cy="4641850"/>
        </a:xfrm>
        <a:prstGeom prst="rect">
          <a:avLst/>
        </a:prstGeom>
      </xdr:spPr>
    </xdr:pic>
    <xdr:clientData/>
  </xdr:twoCellAnchor>
  <xdr:twoCellAnchor editAs="oneCell">
    <xdr:from>
      <xdr:col>0</xdr:col>
      <xdr:colOff>330200</xdr:colOff>
      <xdr:row>78</xdr:row>
      <xdr:rowOff>88900</xdr:rowOff>
    </xdr:from>
    <xdr:to>
      <xdr:col>14</xdr:col>
      <xdr:colOff>32623</xdr:colOff>
      <xdr:row>111</xdr:row>
      <xdr:rowOff>36981</xdr:rowOff>
    </xdr:to>
    <xdr:pic>
      <xdr:nvPicPr>
        <xdr:cNvPr id="6" name="Picture 5">
          <a:extLst>
            <a:ext uri="{FF2B5EF4-FFF2-40B4-BE49-F238E27FC236}">
              <a16:creationId xmlns:a16="http://schemas.microsoft.com/office/drawing/2014/main" id="{F82B238A-B70F-BACD-58FF-255B4F1980B3}"/>
            </a:ext>
          </a:extLst>
        </xdr:cNvPr>
        <xdr:cNvPicPr>
          <a:picLocks noChangeAspect="1"/>
        </xdr:cNvPicPr>
      </xdr:nvPicPr>
      <xdr:blipFill>
        <a:blip xmlns:r="http://schemas.openxmlformats.org/officeDocument/2006/relationships" r:embed="rId5"/>
        <a:stretch>
          <a:fillRect/>
        </a:stretch>
      </xdr:blipFill>
      <xdr:spPr>
        <a:xfrm>
          <a:off x="330200" y="14452600"/>
          <a:ext cx="8287623" cy="6025031"/>
        </a:xfrm>
        <a:prstGeom prst="rect">
          <a:avLst/>
        </a:prstGeom>
      </xdr:spPr>
    </xdr:pic>
    <xdr:clientData/>
  </xdr:twoCellAnchor>
  <xdr:twoCellAnchor editAs="oneCell">
    <xdr:from>
      <xdr:col>17</xdr:col>
      <xdr:colOff>69850</xdr:colOff>
      <xdr:row>78</xdr:row>
      <xdr:rowOff>49434</xdr:rowOff>
    </xdr:from>
    <xdr:to>
      <xdr:col>28</xdr:col>
      <xdr:colOff>552450</xdr:colOff>
      <xdr:row>99</xdr:row>
      <xdr:rowOff>100851</xdr:rowOff>
    </xdr:to>
    <xdr:pic>
      <xdr:nvPicPr>
        <xdr:cNvPr id="7" name="Picture 6">
          <a:extLst>
            <a:ext uri="{FF2B5EF4-FFF2-40B4-BE49-F238E27FC236}">
              <a16:creationId xmlns:a16="http://schemas.microsoft.com/office/drawing/2014/main" id="{CB57E9B7-5567-3D3A-73C6-8F8AF3D5FE4B}"/>
            </a:ext>
          </a:extLst>
        </xdr:cNvPr>
        <xdr:cNvPicPr>
          <a:picLocks noChangeAspect="1"/>
        </xdr:cNvPicPr>
      </xdr:nvPicPr>
      <xdr:blipFill>
        <a:blip xmlns:r="http://schemas.openxmlformats.org/officeDocument/2006/relationships" r:embed="rId6"/>
        <a:stretch>
          <a:fillRect/>
        </a:stretch>
      </xdr:blipFill>
      <xdr:spPr>
        <a:xfrm>
          <a:off x="10483850" y="14413134"/>
          <a:ext cx="7188200" cy="3918567"/>
        </a:xfrm>
        <a:prstGeom prst="rect">
          <a:avLst/>
        </a:prstGeom>
      </xdr:spPr>
    </xdr:pic>
    <xdr:clientData/>
  </xdr:twoCellAnchor>
  <xdr:twoCellAnchor editAs="oneCell">
    <xdr:from>
      <xdr:col>14</xdr:col>
      <xdr:colOff>165100</xdr:colOff>
      <xdr:row>2</xdr:row>
      <xdr:rowOff>120650</xdr:rowOff>
    </xdr:from>
    <xdr:to>
      <xdr:col>31</xdr:col>
      <xdr:colOff>482600</xdr:colOff>
      <xdr:row>61</xdr:row>
      <xdr:rowOff>67552</xdr:rowOff>
    </xdr:to>
    <xdr:pic>
      <xdr:nvPicPr>
        <xdr:cNvPr id="8" name="Picture 7">
          <a:extLst>
            <a:ext uri="{FF2B5EF4-FFF2-40B4-BE49-F238E27FC236}">
              <a16:creationId xmlns:a16="http://schemas.microsoft.com/office/drawing/2014/main" id="{B9D423BE-0F4A-0AED-8ED2-A511D9EC8F26}"/>
            </a:ext>
          </a:extLst>
        </xdr:cNvPr>
        <xdr:cNvPicPr>
          <a:picLocks noChangeAspect="1"/>
        </xdr:cNvPicPr>
      </xdr:nvPicPr>
      <xdr:blipFill>
        <a:blip xmlns:r="http://schemas.openxmlformats.org/officeDocument/2006/relationships" r:embed="rId7"/>
        <a:stretch>
          <a:fillRect/>
        </a:stretch>
      </xdr:blipFill>
      <xdr:spPr>
        <a:xfrm>
          <a:off x="8750300" y="488950"/>
          <a:ext cx="10680700" cy="10811752"/>
        </a:xfrm>
        <a:prstGeom prst="rect">
          <a:avLst/>
        </a:prstGeom>
      </xdr:spPr>
    </xdr:pic>
    <xdr:clientData/>
  </xdr:twoCellAnchor>
  <xdr:twoCellAnchor editAs="oneCell">
    <xdr:from>
      <xdr:col>0</xdr:col>
      <xdr:colOff>215900</xdr:colOff>
      <xdr:row>112</xdr:row>
      <xdr:rowOff>101600</xdr:rowOff>
    </xdr:from>
    <xdr:to>
      <xdr:col>14</xdr:col>
      <xdr:colOff>285605</xdr:colOff>
      <xdr:row>176</xdr:row>
      <xdr:rowOff>57150</xdr:rowOff>
    </xdr:to>
    <xdr:pic>
      <xdr:nvPicPr>
        <xdr:cNvPr id="9" name="Picture 8">
          <a:extLst>
            <a:ext uri="{FF2B5EF4-FFF2-40B4-BE49-F238E27FC236}">
              <a16:creationId xmlns:a16="http://schemas.microsoft.com/office/drawing/2014/main" id="{32FD9E30-2A32-045F-983A-5987AA3E6D4E}"/>
            </a:ext>
          </a:extLst>
        </xdr:cNvPr>
        <xdr:cNvPicPr>
          <a:picLocks noChangeAspect="1"/>
        </xdr:cNvPicPr>
      </xdr:nvPicPr>
      <xdr:blipFill>
        <a:blip xmlns:r="http://schemas.openxmlformats.org/officeDocument/2006/relationships" r:embed="rId8"/>
        <a:stretch>
          <a:fillRect/>
        </a:stretch>
      </xdr:blipFill>
      <xdr:spPr>
        <a:xfrm>
          <a:off x="215900" y="20726400"/>
          <a:ext cx="8654905" cy="11741150"/>
        </a:xfrm>
        <a:prstGeom prst="rect">
          <a:avLst/>
        </a:prstGeom>
      </xdr:spPr>
    </xdr:pic>
    <xdr:clientData/>
  </xdr:twoCellAnchor>
  <xdr:twoCellAnchor editAs="oneCell">
    <xdr:from>
      <xdr:col>0</xdr:col>
      <xdr:colOff>374650</xdr:colOff>
      <xdr:row>177</xdr:row>
      <xdr:rowOff>44450</xdr:rowOff>
    </xdr:from>
    <xdr:to>
      <xdr:col>14</xdr:col>
      <xdr:colOff>78652</xdr:colOff>
      <xdr:row>236</xdr:row>
      <xdr:rowOff>101600</xdr:rowOff>
    </xdr:to>
    <xdr:pic>
      <xdr:nvPicPr>
        <xdr:cNvPr id="10" name="Picture 9">
          <a:extLst>
            <a:ext uri="{FF2B5EF4-FFF2-40B4-BE49-F238E27FC236}">
              <a16:creationId xmlns:a16="http://schemas.microsoft.com/office/drawing/2014/main" id="{912C22E9-DA13-52A0-11BE-F4CF38B62E8F}"/>
            </a:ext>
          </a:extLst>
        </xdr:cNvPr>
        <xdr:cNvPicPr>
          <a:picLocks noChangeAspect="1"/>
        </xdr:cNvPicPr>
      </xdr:nvPicPr>
      <xdr:blipFill>
        <a:blip xmlns:r="http://schemas.openxmlformats.org/officeDocument/2006/relationships" r:embed="rId9"/>
        <a:stretch>
          <a:fillRect/>
        </a:stretch>
      </xdr:blipFill>
      <xdr:spPr>
        <a:xfrm>
          <a:off x="374650" y="32639000"/>
          <a:ext cx="8289202" cy="10922000"/>
        </a:xfrm>
        <a:prstGeom prst="rect">
          <a:avLst/>
        </a:prstGeom>
      </xdr:spPr>
    </xdr:pic>
    <xdr:clientData/>
  </xdr:twoCellAnchor>
  <xdr:twoCellAnchor editAs="oneCell">
    <xdr:from>
      <xdr:col>9</xdr:col>
      <xdr:colOff>482600</xdr:colOff>
      <xdr:row>272</xdr:row>
      <xdr:rowOff>38100</xdr:rowOff>
    </xdr:from>
    <xdr:to>
      <xdr:col>30</xdr:col>
      <xdr:colOff>4809</xdr:colOff>
      <xdr:row>297</xdr:row>
      <xdr:rowOff>101017</xdr:rowOff>
    </xdr:to>
    <xdr:pic>
      <xdr:nvPicPr>
        <xdr:cNvPr id="11" name="Picture 10">
          <a:extLst>
            <a:ext uri="{FF2B5EF4-FFF2-40B4-BE49-F238E27FC236}">
              <a16:creationId xmlns:a16="http://schemas.microsoft.com/office/drawing/2014/main" id="{A8B91D57-3BD7-4A28-8FEC-8CDFE1F9E08C}"/>
            </a:ext>
          </a:extLst>
        </xdr:cNvPr>
        <xdr:cNvPicPr>
          <a:picLocks noChangeAspect="1"/>
        </xdr:cNvPicPr>
      </xdr:nvPicPr>
      <xdr:blipFill>
        <a:blip xmlns:r="http://schemas.openxmlformats.org/officeDocument/2006/relationships" r:embed="rId10"/>
        <a:stretch>
          <a:fillRect/>
        </a:stretch>
      </xdr:blipFill>
      <xdr:spPr>
        <a:xfrm>
          <a:off x="6578600" y="25266650"/>
          <a:ext cx="12323809" cy="46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eb.mit.edu/drela/Public/web/aswing/"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198CA-A97C-4AAA-9402-C486572FA6AA}">
  <dimension ref="A1:C17"/>
  <sheetViews>
    <sheetView workbookViewId="0">
      <selection activeCell="B32" sqref="B32"/>
    </sheetView>
  </sheetViews>
  <sheetFormatPr defaultRowHeight="15" x14ac:dyDescent="0.25"/>
  <cols>
    <col min="1" max="1" width="16.85546875" customWidth="1"/>
    <col min="2" max="2" width="14.140625" customWidth="1"/>
    <col min="3" max="3" width="72.85546875" bestFit="1" customWidth="1"/>
  </cols>
  <sheetData>
    <row r="1" spans="1:3" x14ac:dyDescent="0.25">
      <c r="A1" s="4" t="s">
        <v>602</v>
      </c>
      <c r="B1" s="4" t="s">
        <v>0</v>
      </c>
      <c r="C1" s="4" t="s">
        <v>414</v>
      </c>
    </row>
    <row r="2" spans="1:3" x14ac:dyDescent="0.25">
      <c r="A2" s="5">
        <v>20230327</v>
      </c>
      <c r="B2" t="s">
        <v>603</v>
      </c>
    </row>
    <row r="3" spans="1:3" x14ac:dyDescent="0.25">
      <c r="A3" s="5"/>
      <c r="C3" t="s">
        <v>604</v>
      </c>
    </row>
    <row r="4" spans="1:3" x14ac:dyDescent="0.25">
      <c r="A4" s="5">
        <v>20230410</v>
      </c>
      <c r="B4" t="s">
        <v>605</v>
      </c>
    </row>
    <row r="5" spans="1:3" x14ac:dyDescent="0.25">
      <c r="A5" s="5"/>
      <c r="C5" t="s">
        <v>754</v>
      </c>
    </row>
    <row r="6" spans="1:3" x14ac:dyDescent="0.25">
      <c r="A6" s="5"/>
      <c r="C6" t="s">
        <v>934</v>
      </c>
    </row>
    <row r="7" spans="1:3" x14ac:dyDescent="0.25">
      <c r="A7" s="5"/>
      <c r="C7" t="s">
        <v>606</v>
      </c>
    </row>
    <row r="8" spans="1:3" x14ac:dyDescent="0.25">
      <c r="A8" s="5"/>
      <c r="C8" t="s">
        <v>933</v>
      </c>
    </row>
    <row r="9" spans="1:3" x14ac:dyDescent="0.25">
      <c r="A9" s="5"/>
      <c r="C9" t="s">
        <v>935</v>
      </c>
    </row>
    <row r="10" spans="1:3" x14ac:dyDescent="0.25">
      <c r="A10" s="5"/>
      <c r="C10" t="s">
        <v>936</v>
      </c>
    </row>
    <row r="11" spans="1:3" x14ac:dyDescent="0.25">
      <c r="A11" s="5"/>
      <c r="C11" t="s">
        <v>932</v>
      </c>
    </row>
    <row r="12" spans="1:3" x14ac:dyDescent="0.25">
      <c r="A12" s="5">
        <v>20230420</v>
      </c>
      <c r="B12" t="s">
        <v>982</v>
      </c>
      <c r="C12" t="s">
        <v>984</v>
      </c>
    </row>
    <row r="13" spans="1:3" x14ac:dyDescent="0.25">
      <c r="A13" s="5"/>
      <c r="C13" t="s">
        <v>983</v>
      </c>
    </row>
    <row r="14" spans="1:3" x14ac:dyDescent="0.25">
      <c r="A14" s="5"/>
      <c r="C14" t="s">
        <v>985</v>
      </c>
    </row>
    <row r="15" spans="1:3" x14ac:dyDescent="0.25">
      <c r="A15" s="5"/>
      <c r="C15" t="s">
        <v>986</v>
      </c>
    </row>
    <row r="16" spans="1:3" x14ac:dyDescent="0.25">
      <c r="A16" s="5">
        <v>20230428</v>
      </c>
      <c r="B16" t="s">
        <v>1043</v>
      </c>
      <c r="C16" t="s">
        <v>1044</v>
      </c>
    </row>
    <row r="17" spans="3:3" x14ac:dyDescent="0.25">
      <c r="C17" t="s">
        <v>1046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8"/>
  <sheetViews>
    <sheetView topLeftCell="A49" zoomScale="115" zoomScaleNormal="115" workbookViewId="0">
      <selection activeCell="C12" sqref="C12"/>
    </sheetView>
  </sheetViews>
  <sheetFormatPr defaultRowHeight="15" x14ac:dyDescent="0.25"/>
  <cols>
    <col min="1" max="1" width="16.7109375" bestFit="1" customWidth="1"/>
    <col min="2" max="2" width="42.7109375" customWidth="1"/>
    <col min="3" max="3" width="19.42578125" customWidth="1"/>
    <col min="4" max="4" width="8.85546875" customWidth="1"/>
    <col min="5" max="5" width="14.42578125" bestFit="1" customWidth="1"/>
    <col min="6" max="6" width="8.140625" customWidth="1"/>
    <col min="10" max="10" width="10.28515625" bestFit="1" customWidth="1"/>
  </cols>
  <sheetData>
    <row r="1" spans="1:6" x14ac:dyDescent="0.25">
      <c r="A1" s="4" t="s">
        <v>507</v>
      </c>
      <c r="B1" s="31">
        <v>45044</v>
      </c>
    </row>
    <row r="2" spans="1:6" x14ac:dyDescent="0.25">
      <c r="A2" s="4"/>
      <c r="B2" s="31"/>
    </row>
    <row r="3" spans="1:6" x14ac:dyDescent="0.25">
      <c r="A3" s="4" t="s">
        <v>526</v>
      </c>
    </row>
    <row r="4" spans="1:6" x14ac:dyDescent="0.25">
      <c r="A4" s="4" t="s">
        <v>519</v>
      </c>
      <c r="B4" s="41" t="s">
        <v>1028</v>
      </c>
    </row>
    <row r="5" spans="1:6" x14ac:dyDescent="0.25">
      <c r="B5" s="41" t="s">
        <v>1026</v>
      </c>
    </row>
    <row r="6" spans="1:6" x14ac:dyDescent="0.25">
      <c r="B6" s="391" t="s">
        <v>1027</v>
      </c>
    </row>
    <row r="7" spans="1:6" ht="15.75" thickBot="1" x14ac:dyDescent="0.3"/>
    <row r="8" spans="1:6" ht="15.75" thickBot="1" x14ac:dyDescent="0.3">
      <c r="B8" s="373" t="s">
        <v>495</v>
      </c>
      <c r="C8" s="374" t="s">
        <v>496</v>
      </c>
      <c r="D8" s="402" t="s">
        <v>508</v>
      </c>
      <c r="E8" s="403" t="s">
        <v>496</v>
      </c>
      <c r="F8" s="397" t="s">
        <v>508</v>
      </c>
    </row>
    <row r="9" spans="1:6" x14ac:dyDescent="0.25">
      <c r="B9" s="383" t="s">
        <v>511</v>
      </c>
      <c r="C9" s="384">
        <v>18.746289999999998</v>
      </c>
      <c r="D9" s="392" t="s">
        <v>509</v>
      </c>
      <c r="E9" s="407">
        <f>C9*10.76391</f>
        <v>201.78337839389997</v>
      </c>
      <c r="F9" s="378" t="s">
        <v>524</v>
      </c>
    </row>
    <row r="10" spans="1:6" x14ac:dyDescent="0.25">
      <c r="B10" s="386" t="s">
        <v>512</v>
      </c>
      <c r="C10" s="387">
        <v>15.4</v>
      </c>
      <c r="D10" s="393" t="s">
        <v>510</v>
      </c>
      <c r="E10" s="407">
        <f>C10*3.28083</f>
        <v>50.524782000000002</v>
      </c>
      <c r="F10" s="378" t="s">
        <v>7</v>
      </c>
    </row>
    <row r="11" spans="1:6" x14ac:dyDescent="0.25">
      <c r="B11" s="386" t="s">
        <v>513</v>
      </c>
      <c r="C11" s="387">
        <v>1.28778576</v>
      </c>
      <c r="D11" s="393" t="s">
        <v>510</v>
      </c>
      <c r="E11" s="407">
        <f>C11*3.28083</f>
        <v>4.2250061549808002</v>
      </c>
      <c r="F11" s="378" t="s">
        <v>7</v>
      </c>
    </row>
    <row r="12" spans="1:6" ht="15.75" thickBot="1" x14ac:dyDescent="0.3">
      <c r="B12" s="399" t="s">
        <v>514</v>
      </c>
      <c r="C12" s="400" t="s">
        <v>1045</v>
      </c>
      <c r="D12" s="401" t="s">
        <v>510</v>
      </c>
      <c r="E12" s="353"/>
      <c r="F12" s="404" t="s">
        <v>7</v>
      </c>
    </row>
    <row r="13" spans="1:6" x14ac:dyDescent="0.25">
      <c r="B13" s="348" t="s">
        <v>497</v>
      </c>
      <c r="C13" s="376" t="s">
        <v>499</v>
      </c>
      <c r="D13" s="394"/>
      <c r="E13" s="382"/>
      <c r="F13" s="377"/>
    </row>
    <row r="14" spans="1:6" x14ac:dyDescent="0.25">
      <c r="B14" s="349" t="s">
        <v>498</v>
      </c>
      <c r="C14" s="141" t="s">
        <v>500</v>
      </c>
      <c r="D14" s="140"/>
      <c r="E14" s="349"/>
      <c r="F14" s="378"/>
    </row>
    <row r="15" spans="1:6" x14ac:dyDescent="0.25">
      <c r="B15" s="349"/>
      <c r="C15" s="141" t="s">
        <v>501</v>
      </c>
      <c r="D15" s="140"/>
      <c r="E15" s="349"/>
      <c r="F15" s="378"/>
    </row>
    <row r="16" spans="1:6" x14ac:dyDescent="0.25">
      <c r="B16" s="349"/>
      <c r="C16" s="141" t="s">
        <v>502</v>
      </c>
      <c r="D16" s="140"/>
      <c r="E16" s="349"/>
      <c r="F16" s="378"/>
    </row>
    <row r="17" spans="2:6" ht="15.75" thickBot="1" x14ac:dyDescent="0.3">
      <c r="B17" s="350" t="s">
        <v>503</v>
      </c>
      <c r="C17" s="380" t="s">
        <v>504</v>
      </c>
      <c r="D17" s="395"/>
      <c r="E17" s="379"/>
      <c r="F17" s="381"/>
    </row>
    <row r="18" spans="2:6" x14ac:dyDescent="0.25">
      <c r="B18" s="398" t="s">
        <v>505</v>
      </c>
      <c r="C18" s="155">
        <v>55</v>
      </c>
      <c r="D18" s="9" t="s">
        <v>525</v>
      </c>
      <c r="E18" s="398">
        <v>105</v>
      </c>
      <c r="F18" s="405" t="s">
        <v>523</v>
      </c>
    </row>
    <row r="19" spans="2:6" ht="15.75" thickBot="1" x14ac:dyDescent="0.3">
      <c r="B19" s="379" t="s">
        <v>506</v>
      </c>
      <c r="C19" s="380"/>
      <c r="D19" s="395"/>
      <c r="E19" s="379">
        <v>1000</v>
      </c>
      <c r="F19" s="381" t="s">
        <v>7</v>
      </c>
    </row>
    <row r="20" spans="2:6" ht="15.75" thickBot="1" x14ac:dyDescent="0.3"/>
    <row r="21" spans="2:6" ht="15.75" thickBot="1" x14ac:dyDescent="0.3">
      <c r="B21" s="373" t="s">
        <v>515</v>
      </c>
      <c r="C21" s="374" t="s">
        <v>496</v>
      </c>
      <c r="D21" s="375" t="s">
        <v>508</v>
      </c>
    </row>
    <row r="22" spans="2:6" x14ac:dyDescent="0.25">
      <c r="B22" s="349" t="s">
        <v>516</v>
      </c>
      <c r="C22" s="141">
        <v>0.6</v>
      </c>
      <c r="D22" s="378" t="s">
        <v>14</v>
      </c>
    </row>
    <row r="23" spans="2:6" x14ac:dyDescent="0.25">
      <c r="B23" s="349" t="s">
        <v>517</v>
      </c>
      <c r="C23" s="141">
        <v>0.8</v>
      </c>
      <c r="D23" s="378" t="s">
        <v>14</v>
      </c>
      <c r="E23" s="2"/>
    </row>
    <row r="24" spans="2:6" ht="15.75" thickBot="1" x14ac:dyDescent="0.3">
      <c r="B24" s="379" t="s">
        <v>518</v>
      </c>
      <c r="C24" s="380">
        <v>0.2</v>
      </c>
      <c r="D24" s="381" t="s">
        <v>14</v>
      </c>
      <c r="E24" s="2"/>
    </row>
    <row r="25" spans="2:6" ht="15.75" thickBot="1" x14ac:dyDescent="0.3">
      <c r="E25" s="2"/>
    </row>
    <row r="26" spans="2:6" ht="15.75" thickBot="1" x14ac:dyDescent="0.3">
      <c r="B26" s="373" t="s">
        <v>528</v>
      </c>
      <c r="C26" s="374" t="s">
        <v>496</v>
      </c>
      <c r="D26" s="375" t="s">
        <v>508</v>
      </c>
      <c r="E26" s="2"/>
    </row>
    <row r="27" spans="2:6" x14ac:dyDescent="0.25">
      <c r="B27" s="349" t="s">
        <v>555</v>
      </c>
      <c r="C27" s="141">
        <v>1.85</v>
      </c>
      <c r="D27" s="378" t="s">
        <v>14</v>
      </c>
      <c r="E27" s="2"/>
    </row>
    <row r="28" spans="2:6" x14ac:dyDescent="0.25">
      <c r="B28" s="349"/>
      <c r="C28" s="141">
        <v>-1.55</v>
      </c>
      <c r="D28" s="378" t="s">
        <v>14</v>
      </c>
      <c r="E28" s="2"/>
    </row>
    <row r="29" spans="2:6" x14ac:dyDescent="0.25">
      <c r="B29" s="349" t="s">
        <v>554</v>
      </c>
      <c r="C29" s="141">
        <v>2.25</v>
      </c>
      <c r="D29" s="378" t="s">
        <v>14</v>
      </c>
      <c r="E29" s="2"/>
    </row>
    <row r="30" spans="2:6" x14ac:dyDescent="0.25">
      <c r="B30" s="349"/>
      <c r="C30" s="141">
        <v>-1.65</v>
      </c>
      <c r="D30" s="378" t="s">
        <v>14</v>
      </c>
      <c r="E30" s="2"/>
    </row>
    <row r="31" spans="2:6" x14ac:dyDescent="0.25">
      <c r="B31" s="349" t="s">
        <v>553</v>
      </c>
      <c r="C31" s="141">
        <v>1.4</v>
      </c>
      <c r="D31" s="378" t="s">
        <v>14</v>
      </c>
      <c r="E31" s="2"/>
    </row>
    <row r="32" spans="2:6" ht="15.75" thickBot="1" x14ac:dyDescent="0.3">
      <c r="B32" s="379"/>
      <c r="C32" s="380">
        <v>-1.4</v>
      </c>
      <c r="D32" s="381" t="s">
        <v>14</v>
      </c>
      <c r="E32" s="2"/>
    </row>
    <row r="33" spans="1:10" x14ac:dyDescent="0.25">
      <c r="E33" s="2"/>
    </row>
    <row r="34" spans="1:10" x14ac:dyDescent="0.25">
      <c r="A34" s="4" t="s">
        <v>527</v>
      </c>
    </row>
    <row r="35" spans="1:10" x14ac:dyDescent="0.25">
      <c r="A35" s="4" t="s">
        <v>519</v>
      </c>
      <c r="B35" s="41"/>
    </row>
    <row r="36" spans="1:10" x14ac:dyDescent="0.25">
      <c r="B36" s="41"/>
      <c r="J36" s="560"/>
    </row>
    <row r="37" spans="1:10" ht="15.75" thickBot="1" x14ac:dyDescent="0.3">
      <c r="J37" s="755"/>
    </row>
    <row r="38" spans="1:10" ht="15.75" thickBot="1" x14ac:dyDescent="0.3">
      <c r="B38" s="403" t="s">
        <v>1027</v>
      </c>
      <c r="C38" s="396" t="s">
        <v>496</v>
      </c>
      <c r="D38" s="406" t="s">
        <v>508</v>
      </c>
      <c r="E38" s="403" t="s">
        <v>496</v>
      </c>
      <c r="F38" s="397" t="s">
        <v>508</v>
      </c>
      <c r="J38" s="755"/>
    </row>
    <row r="39" spans="1:10" ht="15.75" thickBot="1" x14ac:dyDescent="0.3">
      <c r="B39" s="695" t="s">
        <v>521</v>
      </c>
      <c r="C39" s="696">
        <v>2318</v>
      </c>
      <c r="D39" s="697" t="s">
        <v>522</v>
      </c>
      <c r="E39" s="698">
        <f>C39*2.20462</f>
        <v>5110.3091599999998</v>
      </c>
      <c r="F39" s="699" t="s">
        <v>17</v>
      </c>
      <c r="J39" s="755"/>
    </row>
    <row r="40" spans="1:10" x14ac:dyDescent="0.25">
      <c r="J40" s="755"/>
    </row>
    <row r="41" spans="1:10" x14ac:dyDescent="0.25">
      <c r="J41" s="560"/>
    </row>
    <row r="42" spans="1:10" x14ac:dyDescent="0.25">
      <c r="A42" s="4" t="s">
        <v>519</v>
      </c>
      <c r="B42" t="s">
        <v>601</v>
      </c>
      <c r="J42" s="754"/>
    </row>
    <row r="43" spans="1:10" x14ac:dyDescent="0.25">
      <c r="B43" t="s">
        <v>529</v>
      </c>
      <c r="J43" s="560"/>
    </row>
    <row r="44" spans="1:10" x14ac:dyDescent="0.25">
      <c r="J44" s="560"/>
    </row>
    <row r="45" spans="1:10" ht="15.75" thickBot="1" x14ac:dyDescent="0.3"/>
    <row r="46" spans="1:10" ht="15.75" thickBot="1" x14ac:dyDescent="0.3">
      <c r="B46" s="373" t="s">
        <v>495</v>
      </c>
      <c r="C46" s="374" t="s">
        <v>496</v>
      </c>
      <c r="D46" s="375" t="s">
        <v>508</v>
      </c>
    </row>
    <row r="47" spans="1:10" x14ac:dyDescent="0.25">
      <c r="B47" s="383" t="s">
        <v>530</v>
      </c>
      <c r="C47" s="384">
        <v>3.8</v>
      </c>
      <c r="D47" s="385" t="s">
        <v>421</v>
      </c>
    </row>
    <row r="48" spans="1:10" ht="15.75" thickBot="1" x14ac:dyDescent="0.3">
      <c r="B48" s="388" t="s">
        <v>531</v>
      </c>
      <c r="C48" s="389">
        <v>-1.7</v>
      </c>
      <c r="D48" s="390" t="s">
        <v>421</v>
      </c>
    </row>
    <row r="50" spans="2:6" x14ac:dyDescent="0.25">
      <c r="B50" s="41" t="s">
        <v>541</v>
      </c>
    </row>
    <row r="51" spans="2:6" x14ac:dyDescent="0.25">
      <c r="B51" t="s">
        <v>532</v>
      </c>
      <c r="C51" s="408">
        <v>1.55</v>
      </c>
      <c r="D51" s="387" t="s">
        <v>510</v>
      </c>
      <c r="E51" s="409">
        <f>C51*3.28083</f>
        <v>5.0852864999999996</v>
      </c>
      <c r="F51" s="141" t="s">
        <v>7</v>
      </c>
    </row>
    <row r="52" spans="2:6" x14ac:dyDescent="0.25">
      <c r="B52" t="s">
        <v>540</v>
      </c>
      <c r="C52" s="408">
        <f>C51*0.65</f>
        <v>1.0075000000000001</v>
      </c>
      <c r="D52" s="387" t="s">
        <v>510</v>
      </c>
      <c r="E52" s="409">
        <f>C52*3.28083</f>
        <v>3.3054362250000002</v>
      </c>
      <c r="F52" s="141" t="s">
        <v>7</v>
      </c>
    </row>
    <row r="53" spans="2:6" x14ac:dyDescent="0.25">
      <c r="B53" t="s">
        <v>533</v>
      </c>
      <c r="C53" s="408">
        <v>7.34</v>
      </c>
      <c r="D53" s="387" t="s">
        <v>510</v>
      </c>
      <c r="E53" s="409">
        <f>C53*3.28083</f>
        <v>24.0812922</v>
      </c>
      <c r="F53" s="141" t="s">
        <v>7</v>
      </c>
    </row>
    <row r="54" spans="2:6" x14ac:dyDescent="0.25">
      <c r="B54" t="s">
        <v>542</v>
      </c>
      <c r="C54" s="409">
        <f>(C51+C52)/2*C53</f>
        <v>9.3860250000000001</v>
      </c>
      <c r="D54" s="387" t="s">
        <v>509</v>
      </c>
      <c r="E54" s="410">
        <f>C54*10.76391</f>
        <v>101.03032835774999</v>
      </c>
      <c r="F54" s="141" t="s">
        <v>524</v>
      </c>
    </row>
    <row r="55" spans="2:6" x14ac:dyDescent="0.25">
      <c r="B55" t="s">
        <v>549</v>
      </c>
      <c r="C55" s="413">
        <f>C47*C39</f>
        <v>8808.4</v>
      </c>
      <c r="D55" s="412" t="s">
        <v>551</v>
      </c>
      <c r="E55" s="413">
        <f>C47*E39</f>
        <v>19419.174808</v>
      </c>
      <c r="F55" s="141" t="s">
        <v>17</v>
      </c>
    </row>
    <row r="56" spans="2:6" x14ac:dyDescent="0.25">
      <c r="B56" t="s">
        <v>545</v>
      </c>
      <c r="C56" s="411">
        <v>1.44</v>
      </c>
      <c r="D56" s="387" t="s">
        <v>14</v>
      </c>
      <c r="E56" s="411">
        <f>C56</f>
        <v>1.44</v>
      </c>
      <c r="F56" s="387" t="s">
        <v>14</v>
      </c>
    </row>
    <row r="57" spans="2:6" x14ac:dyDescent="0.25">
      <c r="B57" t="s">
        <v>547</v>
      </c>
      <c r="C57" s="410">
        <f>C55/2/C54/C56</f>
        <v>325.8538329295119</v>
      </c>
      <c r="D57" s="141" t="s">
        <v>551</v>
      </c>
      <c r="E57" s="410">
        <f>E55/2/E54/E56</f>
        <v>66.740048658253428</v>
      </c>
      <c r="F57" s="141" t="s">
        <v>548</v>
      </c>
    </row>
    <row r="58" spans="2:6" x14ac:dyDescent="0.25">
      <c r="B58" t="s">
        <v>546</v>
      </c>
      <c r="C58" s="413">
        <f>E58*0.5144444</f>
        <v>72.184293720464893</v>
      </c>
      <c r="D58" s="387" t="s">
        <v>550</v>
      </c>
      <c r="E58" s="410">
        <f>SQRT(E57*295)</f>
        <v>140.31505391149147</v>
      </c>
      <c r="F58" s="141" t="s">
        <v>523</v>
      </c>
    </row>
    <row r="60" spans="2:6" x14ac:dyDescent="0.25">
      <c r="B60" t="s">
        <v>534</v>
      </c>
      <c r="C60" s="408">
        <v>0.65</v>
      </c>
      <c r="D60" s="387" t="s">
        <v>510</v>
      </c>
      <c r="E60" s="409">
        <f>C60*3.28083</f>
        <v>2.1325395</v>
      </c>
      <c r="F60" s="141" t="s">
        <v>7</v>
      </c>
    </row>
    <row r="61" spans="2:6" x14ac:dyDescent="0.25">
      <c r="B61" t="s">
        <v>543</v>
      </c>
      <c r="C61" s="408">
        <v>0.35</v>
      </c>
      <c r="D61" s="387" t="s">
        <v>510</v>
      </c>
      <c r="E61" s="409">
        <f>C61*3.28083</f>
        <v>1.1482904999999999</v>
      </c>
      <c r="F61" s="141" t="s">
        <v>7</v>
      </c>
    </row>
    <row r="62" spans="2:6" x14ac:dyDescent="0.25">
      <c r="B62" t="s">
        <v>535</v>
      </c>
      <c r="C62" s="408">
        <v>3</v>
      </c>
      <c r="D62" s="387" t="s">
        <v>510</v>
      </c>
      <c r="E62" s="409">
        <f>C62*3.28083</f>
        <v>9.8424899999999997</v>
      </c>
      <c r="F62" s="141" t="s">
        <v>7</v>
      </c>
    </row>
    <row r="63" spans="2:6" x14ac:dyDescent="0.25">
      <c r="B63" t="s">
        <v>544</v>
      </c>
      <c r="C63" s="409">
        <f>(C60+C61)/2*C62</f>
        <v>1.5</v>
      </c>
      <c r="D63" s="387" t="s">
        <v>509</v>
      </c>
      <c r="E63" s="410">
        <f>C63*10.76391</f>
        <v>16.145865000000001</v>
      </c>
      <c r="F63" s="141" t="s">
        <v>524</v>
      </c>
    </row>
    <row r="64" spans="2:6" x14ac:dyDescent="0.25">
      <c r="B64" t="s">
        <v>545</v>
      </c>
      <c r="C64" s="411">
        <v>2.25</v>
      </c>
      <c r="D64" s="387" t="s">
        <v>14</v>
      </c>
      <c r="E64" s="411">
        <f>C64</f>
        <v>2.25</v>
      </c>
      <c r="F64" s="387" t="s">
        <v>14</v>
      </c>
    </row>
    <row r="65" spans="2:6" x14ac:dyDescent="0.25">
      <c r="B65" t="s">
        <v>552</v>
      </c>
      <c r="C65" s="413">
        <f>C57*C63*C64</f>
        <v>1099.7566861371026</v>
      </c>
      <c r="D65" s="387" t="s">
        <v>522</v>
      </c>
      <c r="E65" s="413">
        <f>2*E57*E63*E64</f>
        <v>4849.0911707831601</v>
      </c>
      <c r="F65" s="141" t="s">
        <v>17</v>
      </c>
    </row>
    <row r="67" spans="2:6" x14ac:dyDescent="0.25">
      <c r="B67" t="s">
        <v>536</v>
      </c>
      <c r="C67" s="408">
        <v>2.5</v>
      </c>
      <c r="D67" s="387" t="s">
        <v>510</v>
      </c>
      <c r="E67" s="409">
        <f>C67*3.28083</f>
        <v>8.2020750000000007</v>
      </c>
      <c r="F67" s="141" t="s">
        <v>7</v>
      </c>
    </row>
    <row r="68" spans="2:6" x14ac:dyDescent="0.25">
      <c r="B68" t="s">
        <v>537</v>
      </c>
      <c r="C68" s="408">
        <v>0.5</v>
      </c>
      <c r="D68" s="387" t="s">
        <v>510</v>
      </c>
      <c r="E68" s="409">
        <f>C68*3.28083</f>
        <v>1.640415</v>
      </c>
      <c r="F68" s="141" t="s">
        <v>7</v>
      </c>
    </row>
    <row r="69" spans="2:6" x14ac:dyDescent="0.25">
      <c r="B69" t="s">
        <v>538</v>
      </c>
      <c r="C69" s="408">
        <f>3.9-2.5</f>
        <v>1.4</v>
      </c>
      <c r="D69" s="387" t="s">
        <v>510</v>
      </c>
      <c r="E69" s="409">
        <f>C69*3.28083</f>
        <v>4.5931619999999995</v>
      </c>
      <c r="F69" s="141" t="s">
        <v>7</v>
      </c>
    </row>
    <row r="70" spans="2:6" x14ac:dyDescent="0.25">
      <c r="B70" t="s">
        <v>539</v>
      </c>
      <c r="C70" s="409">
        <f>(C67+C68)/2*C69</f>
        <v>2.0999999999999996</v>
      </c>
      <c r="D70" s="387" t="s">
        <v>509</v>
      </c>
      <c r="E70" s="410">
        <f>C70*10.76391</f>
        <v>22.604210999999996</v>
      </c>
      <c r="F70" s="141" t="s">
        <v>524</v>
      </c>
    </row>
    <row r="71" spans="2:6" x14ac:dyDescent="0.25">
      <c r="B71" t="s">
        <v>545</v>
      </c>
      <c r="C71" s="411">
        <v>2</v>
      </c>
      <c r="D71" s="387" t="s">
        <v>14</v>
      </c>
      <c r="E71" s="411">
        <f>C71</f>
        <v>2</v>
      </c>
      <c r="F71" s="387" t="s">
        <v>14</v>
      </c>
    </row>
    <row r="72" spans="2:6" x14ac:dyDescent="0.25">
      <c r="B72" t="s">
        <v>556</v>
      </c>
      <c r="C72" s="413">
        <f>C57*C70*C71</f>
        <v>1368.5860983039497</v>
      </c>
      <c r="D72" s="387" t="s">
        <v>522</v>
      </c>
      <c r="E72" s="413">
        <f>E57*E70*E71</f>
        <v>3017.2122840428542</v>
      </c>
      <c r="F72" s="141" t="s">
        <v>17</v>
      </c>
    </row>
    <row r="78" spans="2:6" x14ac:dyDescent="0.25">
      <c r="B78" t="s">
        <v>1033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9FF58-B2CD-414D-A4DC-2F14ACF0A515}">
  <sheetPr>
    <tabColor rgb="FFFFFF00"/>
  </sheetPr>
  <dimension ref="A1:X136"/>
  <sheetViews>
    <sheetView zoomScale="70" zoomScaleNormal="70" workbookViewId="0">
      <selection activeCell="E24" sqref="E24"/>
    </sheetView>
  </sheetViews>
  <sheetFormatPr defaultRowHeight="15" x14ac:dyDescent="0.25"/>
  <cols>
    <col min="1" max="1" width="40.5703125" style="5" customWidth="1"/>
    <col min="2" max="2" width="59.85546875" style="2" customWidth="1"/>
    <col min="3" max="3" width="14.140625" style="2" bestFit="1" customWidth="1"/>
    <col min="4" max="4" width="8.7109375" style="2" customWidth="1"/>
    <col min="5" max="5" width="14.5703125" style="2" customWidth="1"/>
    <col min="6" max="6" width="43.5703125" style="2" bestFit="1" customWidth="1"/>
    <col min="7" max="8" width="19" bestFit="1" customWidth="1"/>
    <col min="9" max="14" width="8.5703125" customWidth="1"/>
    <col min="15" max="15" width="4.42578125" customWidth="1"/>
    <col min="16" max="17" width="8.5703125" customWidth="1"/>
    <col min="18" max="18" width="6.140625" customWidth="1"/>
    <col min="20" max="20" width="14.42578125" customWidth="1"/>
    <col min="21" max="21" width="17.7109375" bestFit="1" customWidth="1"/>
    <col min="22" max="22" width="18.140625" bestFit="1" customWidth="1"/>
    <col min="23" max="23" width="21.42578125" bestFit="1" customWidth="1"/>
    <col min="24" max="24" width="15.140625" customWidth="1"/>
  </cols>
  <sheetData>
    <row r="1" spans="1:24" ht="15.75" thickBot="1" x14ac:dyDescent="0.3">
      <c r="A1" s="459"/>
      <c r="B1" s="124" t="s">
        <v>0</v>
      </c>
      <c r="C1" s="125" t="s">
        <v>1</v>
      </c>
      <c r="D1" s="125" t="s">
        <v>2</v>
      </c>
      <c r="E1" s="119" t="s">
        <v>3</v>
      </c>
      <c r="F1" s="120" t="s">
        <v>414</v>
      </c>
    </row>
    <row r="2" spans="1:24" ht="15.75" thickBot="1" x14ac:dyDescent="0.3">
      <c r="A2" s="460" t="s">
        <v>557</v>
      </c>
      <c r="B2" s="24" t="s">
        <v>1047</v>
      </c>
      <c r="C2" s="24" t="s">
        <v>569</v>
      </c>
      <c r="D2" s="121" t="s">
        <v>1050</v>
      </c>
      <c r="E2" s="414">
        <f>'Prosperity Reference'!C65/2</f>
        <v>549.87834306855132</v>
      </c>
      <c r="F2" s="126" t="s">
        <v>591</v>
      </c>
      <c r="P2" s="80" t="s">
        <v>1035</v>
      </c>
    </row>
    <row r="3" spans="1:24" ht="15.75" thickBot="1" x14ac:dyDescent="0.3">
      <c r="A3" s="25"/>
      <c r="B3" s="2" t="s">
        <v>488</v>
      </c>
      <c r="C3" s="2" t="s">
        <v>490</v>
      </c>
      <c r="D3" s="2" t="s">
        <v>14</v>
      </c>
      <c r="E3" s="360">
        <v>10</v>
      </c>
      <c r="F3" s="127" t="s">
        <v>1048</v>
      </c>
      <c r="P3" s="758" t="str">
        <f>'Weight '!H10</f>
        <v xml:space="preserve">Sized Weight Summary - Composite Structure </v>
      </c>
      <c r="Q3" s="759">
        <f>'Weight '!I10</f>
        <v>0</v>
      </c>
      <c r="R3" s="759">
        <f>'Weight '!J10</f>
        <v>0</v>
      </c>
      <c r="S3" s="759">
        <f>'Weight '!K10</f>
        <v>0</v>
      </c>
      <c r="T3" s="759">
        <f>'Weight '!L10</f>
        <v>0</v>
      </c>
      <c r="U3" s="759">
        <f>'Weight '!M10</f>
        <v>0</v>
      </c>
      <c r="V3" s="759">
        <f>'Weight '!N10</f>
        <v>0</v>
      </c>
      <c r="W3" s="759">
        <f>'Weight '!O10</f>
        <v>0</v>
      </c>
      <c r="X3" s="760">
        <f>'Weight '!P10</f>
        <v>0</v>
      </c>
    </row>
    <row r="4" spans="1:24" ht="15.75" thickBot="1" x14ac:dyDescent="0.3">
      <c r="A4" s="463" t="s">
        <v>1089</v>
      </c>
      <c r="B4" s="29" t="s">
        <v>489</v>
      </c>
      <c r="C4" s="29" t="s">
        <v>491</v>
      </c>
      <c r="D4" s="29" t="s">
        <v>14</v>
      </c>
      <c r="E4" s="372">
        <v>-0.3</v>
      </c>
      <c r="F4" s="123" t="s">
        <v>1049</v>
      </c>
      <c r="P4" s="761" t="str">
        <f>'Weight '!H11</f>
        <v>Wing Skins</v>
      </c>
      <c r="Q4" s="762">
        <f>'Weight '!I11</f>
        <v>0</v>
      </c>
      <c r="R4" s="762">
        <f>'Weight '!J11</f>
        <v>0</v>
      </c>
      <c r="S4" s="762">
        <f>'Weight '!K11</f>
        <v>0</v>
      </c>
      <c r="T4" s="762">
        <f>'Weight '!L11</f>
        <v>0</v>
      </c>
      <c r="U4" s="762">
        <f>'Weight '!M11</f>
        <v>0</v>
      </c>
      <c r="V4" s="335">
        <f>'Weight '!N11*0.453592</f>
        <v>8.0856200231311206</v>
      </c>
      <c r="W4" s="336"/>
      <c r="X4" s="336"/>
    </row>
    <row r="5" spans="1:24" x14ac:dyDescent="0.25">
      <c r="A5" s="273" t="s">
        <v>13</v>
      </c>
      <c r="B5" s="700" t="s">
        <v>9</v>
      </c>
      <c r="C5" s="24" t="s">
        <v>6</v>
      </c>
      <c r="D5" s="121" t="s">
        <v>510</v>
      </c>
      <c r="E5" s="361">
        <f>'Prosperity Reference'!C62</f>
        <v>3</v>
      </c>
      <c r="F5" s="126"/>
      <c r="P5" s="332"/>
      <c r="Q5" s="333" t="str">
        <f>'Weight '!I12</f>
        <v>Upper Wing Skin</v>
      </c>
      <c r="R5" s="333"/>
      <c r="S5" s="333"/>
      <c r="T5" s="333"/>
      <c r="U5" s="333"/>
      <c r="V5" s="337"/>
      <c r="W5" s="338">
        <f>'Weight '!O12*0.453592</f>
        <v>4.077964881231348</v>
      </c>
      <c r="X5" s="338"/>
    </row>
    <row r="6" spans="1:24" x14ac:dyDescent="0.25">
      <c r="B6" s="2" t="s">
        <v>587</v>
      </c>
      <c r="C6" s="2" t="s">
        <v>581</v>
      </c>
      <c r="D6" s="2" t="s">
        <v>14</v>
      </c>
      <c r="E6" s="363">
        <v>0.25</v>
      </c>
      <c r="F6" s="18" t="s">
        <v>753</v>
      </c>
      <c r="P6" s="332"/>
      <c r="Q6" s="333"/>
      <c r="R6" s="333" t="str">
        <f>'Weight '!J13</f>
        <v>Upper Wing Skin Laminate</v>
      </c>
      <c r="S6" s="333"/>
      <c r="T6" s="333"/>
      <c r="U6" s="333"/>
      <c r="V6" s="337"/>
      <c r="W6" s="338"/>
      <c r="X6" s="338">
        <f>'Weight '!P13*0.453592</f>
        <v>3.2911794047157672</v>
      </c>
    </row>
    <row r="7" spans="1:24" x14ac:dyDescent="0.25">
      <c r="B7" s="2" t="s">
        <v>587</v>
      </c>
      <c r="C7" s="2" t="s">
        <v>582</v>
      </c>
      <c r="D7" s="2" t="s">
        <v>14</v>
      </c>
      <c r="E7" s="363">
        <v>0.5</v>
      </c>
      <c r="F7" s="18" t="s">
        <v>753</v>
      </c>
      <c r="P7" s="332"/>
      <c r="Q7" s="333"/>
      <c r="R7" s="333" t="str">
        <f>'Weight '!J14</f>
        <v>Upper Wing Skin Core</v>
      </c>
      <c r="S7" s="333"/>
      <c r="T7" s="333"/>
      <c r="U7" s="333"/>
      <c r="V7" s="337"/>
      <c r="W7" s="338"/>
      <c r="X7" s="338">
        <f>'Weight '!P14*0.453592</f>
        <v>0.78678547651558095</v>
      </c>
    </row>
    <row r="8" spans="1:24" x14ac:dyDescent="0.25">
      <c r="B8" s="2" t="s">
        <v>587</v>
      </c>
      <c r="C8" s="2" t="s">
        <v>583</v>
      </c>
      <c r="D8" s="2" t="s">
        <v>14</v>
      </c>
      <c r="E8" s="363">
        <v>0.75</v>
      </c>
      <c r="F8" s="18" t="s">
        <v>753</v>
      </c>
      <c r="P8" s="332"/>
      <c r="Q8" s="333" t="str">
        <f>'Weight '!I15</f>
        <v>Lower Wing Skin</v>
      </c>
      <c r="R8" s="333"/>
      <c r="S8" s="333"/>
      <c r="T8" s="333"/>
      <c r="U8" s="333"/>
      <c r="V8" s="337"/>
      <c r="W8" s="338">
        <f>'Weight '!O15*0.453592</f>
        <v>4.0076551418997717</v>
      </c>
      <c r="X8" s="338"/>
    </row>
    <row r="9" spans="1:24" x14ac:dyDescent="0.25">
      <c r="A9" s="143" t="s">
        <v>36</v>
      </c>
      <c r="B9" s="2" t="s">
        <v>8</v>
      </c>
      <c r="C9" s="2" t="s">
        <v>10</v>
      </c>
      <c r="D9" s="127" t="s">
        <v>510</v>
      </c>
      <c r="E9" s="362">
        <f>'Prosperity Reference'!C60</f>
        <v>0.65</v>
      </c>
      <c r="F9" s="18"/>
      <c r="P9" s="332"/>
      <c r="Q9" s="333"/>
      <c r="R9" s="333" t="str">
        <f>'Weight '!J16</f>
        <v>Lower Wing Skin Laminate</v>
      </c>
      <c r="S9" s="333"/>
      <c r="T9" s="333"/>
      <c r="U9" s="333"/>
      <c r="V9" s="337"/>
      <c r="W9" s="338"/>
      <c r="X9" s="338">
        <f>'Weight '!P16*0.453592</f>
        <v>3.2344349322206685</v>
      </c>
    </row>
    <row r="10" spans="1:24" ht="15.75" thickBot="1" x14ac:dyDescent="0.3">
      <c r="A10" s="461" t="s">
        <v>144</v>
      </c>
      <c r="B10" s="7" t="s">
        <v>11</v>
      </c>
      <c r="C10" s="2" t="s">
        <v>12</v>
      </c>
      <c r="D10" s="127" t="s">
        <v>510</v>
      </c>
      <c r="E10" s="363">
        <f>'Prosperity Reference'!C61</f>
        <v>0.35</v>
      </c>
      <c r="F10" s="18" t="s">
        <v>594</v>
      </c>
      <c r="P10" s="331"/>
      <c r="Q10" s="330"/>
      <c r="R10" s="330" t="str">
        <f>'Weight '!J17</f>
        <v>Lower Wing Skin Core</v>
      </c>
      <c r="S10" s="330"/>
      <c r="T10" s="330"/>
      <c r="U10" s="330"/>
      <c r="V10" s="337"/>
      <c r="W10" s="338"/>
      <c r="X10" s="338">
        <f>'Weight '!P17*0.453592</f>
        <v>0.77322020967910532</v>
      </c>
    </row>
    <row r="11" spans="1:24" ht="15.75" thickBot="1" x14ac:dyDescent="0.3">
      <c r="A11" s="460" t="s">
        <v>578</v>
      </c>
      <c r="B11" s="24" t="s">
        <v>1032</v>
      </c>
      <c r="C11" s="24" t="s">
        <v>460</v>
      </c>
      <c r="D11" s="121" t="s">
        <v>14</v>
      </c>
      <c r="E11" s="364">
        <v>0.18</v>
      </c>
      <c r="F11" s="126" t="s">
        <v>565</v>
      </c>
      <c r="P11" s="763" t="str">
        <f>'Weight '!H18</f>
        <v>Spar</v>
      </c>
      <c r="Q11" s="764">
        <f>'Weight '!I18</f>
        <v>0</v>
      </c>
      <c r="R11" s="764">
        <f>'Weight '!J18</f>
        <v>0</v>
      </c>
      <c r="S11" s="764">
        <f>'Weight '!K18</f>
        <v>0</v>
      </c>
      <c r="T11" s="764">
        <f>'Weight '!L18</f>
        <v>0</v>
      </c>
      <c r="U11" s="764">
        <f>'Weight '!M18</f>
        <v>0</v>
      </c>
      <c r="V11" s="339">
        <f>'Weight '!N18*0.453592</f>
        <v>1.6964733741232942</v>
      </c>
      <c r="W11" s="340"/>
      <c r="X11" s="340"/>
    </row>
    <row r="12" spans="1:24" x14ac:dyDescent="0.25">
      <c r="A12" s="143" t="s">
        <v>1090</v>
      </c>
      <c r="B12" s="7" t="s">
        <v>20</v>
      </c>
      <c r="C12" s="2" t="s">
        <v>461</v>
      </c>
      <c r="D12" s="462" t="s">
        <v>14</v>
      </c>
      <c r="E12" s="362">
        <v>0.25</v>
      </c>
      <c r="F12" s="18" t="s">
        <v>565</v>
      </c>
      <c r="P12" s="332"/>
      <c r="Q12" s="333" t="str">
        <f>'Weight '!I19</f>
        <v>Upper Cap</v>
      </c>
      <c r="R12" s="334"/>
      <c r="S12" s="333"/>
      <c r="T12" s="333"/>
      <c r="U12" s="333"/>
      <c r="V12" s="337"/>
      <c r="W12" s="338">
        <f>'Weight '!O19*0.453592</f>
        <v>0.51633776007546839</v>
      </c>
      <c r="X12" s="338"/>
    </row>
    <row r="13" spans="1:24" ht="15.75" thickBot="1" x14ac:dyDescent="0.3">
      <c r="A13" s="463" t="s">
        <v>458</v>
      </c>
      <c r="B13" s="276" t="s">
        <v>1031</v>
      </c>
      <c r="C13" s="29" t="s">
        <v>448</v>
      </c>
      <c r="D13" s="464"/>
      <c r="E13" s="372" t="b">
        <v>1</v>
      </c>
      <c r="F13" s="30" t="s">
        <v>565</v>
      </c>
      <c r="P13" s="332"/>
      <c r="Q13" s="333" t="str">
        <f>'Weight '!I20</f>
        <v>Lower Cap</v>
      </c>
      <c r="R13" s="334"/>
      <c r="S13" s="333"/>
      <c r="T13" s="333"/>
      <c r="U13" s="333"/>
      <c r="V13" s="337"/>
      <c r="W13" s="338">
        <f>'Weight '!O20*0.453592</f>
        <v>0.51633776007546839</v>
      </c>
      <c r="X13" s="338"/>
    </row>
    <row r="14" spans="1:24" x14ac:dyDescent="0.25">
      <c r="A14" s="460" t="s">
        <v>579</v>
      </c>
      <c r="B14" s="24" t="s">
        <v>19</v>
      </c>
      <c r="C14" s="24" t="s">
        <v>16</v>
      </c>
      <c r="D14" s="465" t="s">
        <v>14</v>
      </c>
      <c r="E14" s="366">
        <v>0.09</v>
      </c>
      <c r="F14" s="126" t="s">
        <v>565</v>
      </c>
      <c r="P14" s="332"/>
      <c r="Q14" s="333" t="str">
        <f>'Weight '!I21</f>
        <v>Web</v>
      </c>
      <c r="R14" s="333"/>
      <c r="S14" s="333"/>
      <c r="T14" s="333"/>
      <c r="U14" s="333"/>
      <c r="V14" s="337"/>
      <c r="W14" s="338">
        <f>'Weight '!O21*0.453592</f>
        <v>0.66379785397235758</v>
      </c>
      <c r="X14" s="340"/>
    </row>
    <row r="15" spans="1:24" ht="15.75" thickBot="1" x14ac:dyDescent="0.3">
      <c r="A15" s="28"/>
      <c r="B15" s="276" t="s">
        <v>21</v>
      </c>
      <c r="C15" s="29" t="s">
        <v>15</v>
      </c>
      <c r="D15" s="464" t="s">
        <v>14</v>
      </c>
      <c r="E15" s="367">
        <v>0.75</v>
      </c>
      <c r="F15" s="30" t="s">
        <v>565</v>
      </c>
      <c r="P15" s="332"/>
      <c r="Q15" s="333"/>
      <c r="R15" s="333" t="str">
        <f>'Weight '!J22</f>
        <v>Web Laminate</v>
      </c>
      <c r="S15" s="333"/>
      <c r="T15" s="333"/>
      <c r="U15" s="333"/>
      <c r="V15" s="337"/>
      <c r="W15" s="340"/>
      <c r="X15" s="338">
        <f>'Weight '!P22*0.453592</f>
        <v>0.52663793373688272</v>
      </c>
    </row>
    <row r="16" spans="1:24" ht="15.75" thickBot="1" x14ac:dyDescent="0.3">
      <c r="A16" s="460" t="s">
        <v>29</v>
      </c>
      <c r="B16" s="2" t="s">
        <v>25</v>
      </c>
      <c r="C16" s="2" t="s">
        <v>27</v>
      </c>
      <c r="D16" s="127" t="s">
        <v>14</v>
      </c>
      <c r="E16" s="360">
        <v>1.5</v>
      </c>
      <c r="F16" s="18" t="s">
        <v>562</v>
      </c>
      <c r="P16" s="332"/>
      <c r="Q16" s="333"/>
      <c r="R16" s="333" t="str">
        <f>'Weight '!J23</f>
        <v>Web Core</v>
      </c>
      <c r="S16" s="333"/>
      <c r="T16" s="333"/>
      <c r="U16" s="333"/>
      <c r="V16" s="337"/>
      <c r="W16" s="340"/>
      <c r="X16" s="338">
        <f>'Weight '!P23*0.453592</f>
        <v>0.1371599202354748</v>
      </c>
    </row>
    <row r="17" spans="1:24" ht="15.75" thickBot="1" x14ac:dyDescent="0.3">
      <c r="A17" s="28"/>
      <c r="B17" s="29" t="s">
        <v>447</v>
      </c>
      <c r="C17" s="29" t="s">
        <v>28</v>
      </c>
      <c r="D17" s="123" t="s">
        <v>14</v>
      </c>
      <c r="E17" s="702">
        <v>1.8</v>
      </c>
      <c r="F17" s="30" t="s">
        <v>564</v>
      </c>
      <c r="P17" s="765" t="str">
        <f>'Weight '!H24</f>
        <v>Aft Web</v>
      </c>
      <c r="Q17" s="766">
        <f>'Weight '!I24</f>
        <v>0</v>
      </c>
      <c r="R17" s="766">
        <f>'Weight '!J24</f>
        <v>0</v>
      </c>
      <c r="S17" s="766">
        <f>'Weight '!K24</f>
        <v>0</v>
      </c>
      <c r="T17" s="766">
        <f>'Weight '!L24</f>
        <v>0</v>
      </c>
      <c r="U17" s="766">
        <f>'Weight '!M24</f>
        <v>0</v>
      </c>
      <c r="V17" s="339">
        <f>'Weight '!N24*0.453592</f>
        <v>0.31444595412430509</v>
      </c>
      <c r="W17" s="340"/>
      <c r="X17" s="340"/>
    </row>
    <row r="18" spans="1:24" x14ac:dyDescent="0.25">
      <c r="A18" s="156" t="s">
        <v>62</v>
      </c>
      <c r="B18" s="2" t="s">
        <v>32</v>
      </c>
      <c r="C18" s="2" t="s">
        <v>43</v>
      </c>
      <c r="D18" s="127" t="s">
        <v>1004</v>
      </c>
      <c r="E18" s="675">
        <v>400</v>
      </c>
      <c r="F18" s="18" t="s">
        <v>494</v>
      </c>
      <c r="P18" s="466"/>
      <c r="Q18" s="467" t="str">
        <f>'Weight '!I25</f>
        <v>Upper Cap</v>
      </c>
      <c r="R18" s="468"/>
      <c r="S18" s="467"/>
      <c r="T18" s="467"/>
      <c r="U18" s="467"/>
      <c r="V18" s="341"/>
      <c r="W18" s="338">
        <f>'Weight '!O25*0.453592</f>
        <v>8.1830637354161542E-3</v>
      </c>
      <c r="X18" s="338"/>
    </row>
    <row r="19" spans="1:24" x14ac:dyDescent="0.25">
      <c r="A19" s="143" t="s">
        <v>455</v>
      </c>
      <c r="B19" s="2" t="s">
        <v>33</v>
      </c>
      <c r="C19" s="2" t="s">
        <v>44</v>
      </c>
      <c r="D19" s="127" t="s">
        <v>1004</v>
      </c>
      <c r="E19" s="676">
        <v>400</v>
      </c>
      <c r="F19" s="18" t="s">
        <v>494</v>
      </c>
      <c r="P19" s="332"/>
      <c r="Q19" s="333" t="str">
        <f>'Weight '!I26</f>
        <v>Lower Cap</v>
      </c>
      <c r="R19" s="334"/>
      <c r="S19" s="333"/>
      <c r="T19" s="333"/>
      <c r="U19" s="440"/>
      <c r="V19" s="341"/>
      <c r="W19" s="338">
        <f>'Weight '!O26*0.453592</f>
        <v>8.1830637354161542E-3</v>
      </c>
      <c r="X19" s="338"/>
    </row>
    <row r="20" spans="1:24" x14ac:dyDescent="0.25">
      <c r="A20" s="25"/>
      <c r="B20" s="2" t="s">
        <v>31</v>
      </c>
      <c r="C20" s="2" t="s">
        <v>37</v>
      </c>
      <c r="D20" s="127" t="s">
        <v>1029</v>
      </c>
      <c r="E20" s="676">
        <v>110</v>
      </c>
      <c r="F20" s="18" t="s">
        <v>494</v>
      </c>
      <c r="P20" s="332"/>
      <c r="Q20" s="333" t="str">
        <f>'Weight '!I27</f>
        <v>Web Laminate</v>
      </c>
      <c r="R20" s="334"/>
      <c r="S20" s="333"/>
      <c r="T20" s="333"/>
      <c r="U20" s="440"/>
      <c r="V20" s="341"/>
      <c r="W20" s="338">
        <f>'Weight '!O27*0.453592</f>
        <v>0.22949986653573545</v>
      </c>
      <c r="X20" s="338"/>
    </row>
    <row r="21" spans="1:24" ht="15.75" thickBot="1" x14ac:dyDescent="0.3">
      <c r="A21" s="143" t="s">
        <v>457</v>
      </c>
      <c r="B21" s="2" t="s">
        <v>454</v>
      </c>
      <c r="C21" s="2" t="s">
        <v>456</v>
      </c>
      <c r="D21" s="127" t="s">
        <v>1030</v>
      </c>
      <c r="E21" s="552">
        <v>3</v>
      </c>
      <c r="F21" s="18" t="s">
        <v>563</v>
      </c>
      <c r="P21" s="331"/>
      <c r="Q21" s="330" t="str">
        <f>'Weight '!I28</f>
        <v>Core</v>
      </c>
      <c r="R21" s="469"/>
      <c r="S21" s="330"/>
      <c r="T21" s="330"/>
      <c r="U21" s="330"/>
      <c r="V21" s="341"/>
      <c r="W21" s="338">
        <f>'Weight '!O28*0.453592</f>
        <v>6.8579960117737399E-2</v>
      </c>
      <c r="X21" s="338"/>
    </row>
    <row r="22" spans="1:24" ht="15.75" thickBot="1" x14ac:dyDescent="0.3">
      <c r="A22" s="25"/>
      <c r="B22" s="2" t="s">
        <v>30</v>
      </c>
      <c r="C22" s="2" t="s">
        <v>38</v>
      </c>
      <c r="D22" s="123" t="s">
        <v>1002</v>
      </c>
      <c r="E22" s="677">
        <v>1700</v>
      </c>
      <c r="F22" s="18" t="s">
        <v>494</v>
      </c>
      <c r="P22" s="470" t="str">
        <f>'Weight '!H29</f>
        <v>Bond Allowance</v>
      </c>
      <c r="Q22" s="471"/>
      <c r="R22" s="471"/>
      <c r="S22" s="471"/>
      <c r="T22" s="471"/>
      <c r="U22" s="472"/>
      <c r="V22" s="473">
        <f>'Weight '!N29*0.453592</f>
        <v>0.50482696756893652</v>
      </c>
      <c r="W22" s="342"/>
      <c r="X22" s="342"/>
    </row>
    <row r="23" spans="1:24" ht="15.75" thickBot="1" x14ac:dyDescent="0.3">
      <c r="A23" s="460" t="s">
        <v>41</v>
      </c>
      <c r="B23" s="24" t="s">
        <v>212</v>
      </c>
      <c r="C23" s="24" t="s">
        <v>47</v>
      </c>
      <c r="D23" s="2" t="s">
        <v>1005</v>
      </c>
      <c r="E23" s="675">
        <v>400</v>
      </c>
      <c r="F23" s="121" t="s">
        <v>122</v>
      </c>
      <c r="P23" s="767" t="str">
        <f>'Weight '!H30</f>
        <v>Total - Right Wing</v>
      </c>
      <c r="Q23" s="768">
        <f>'Weight '!I30</f>
        <v>0</v>
      </c>
      <c r="R23" s="768">
        <f>'Weight '!J30</f>
        <v>0</v>
      </c>
      <c r="S23" s="768">
        <f>'Weight '!K30</f>
        <v>0</v>
      </c>
      <c r="T23" s="768">
        <f>'Weight '!L30</f>
        <v>0</v>
      </c>
      <c r="U23" s="769">
        <f>'Weight '!M30</f>
        <v>0</v>
      </c>
      <c r="V23" s="474">
        <f>'Weight '!N30*0.453592</f>
        <v>10.601366318947656</v>
      </c>
      <c r="W23" s="160" t="s">
        <v>1036</v>
      </c>
      <c r="X23" s="146"/>
    </row>
    <row r="24" spans="1:24" x14ac:dyDescent="0.25">
      <c r="A24" s="25"/>
      <c r="B24" s="2" t="s">
        <v>213</v>
      </c>
      <c r="C24" s="2" t="s">
        <v>48</v>
      </c>
      <c r="D24" s="127" t="s">
        <v>1029</v>
      </c>
      <c r="E24" s="676">
        <v>26</v>
      </c>
      <c r="F24" s="127" t="s">
        <v>122</v>
      </c>
    </row>
    <row r="25" spans="1:24" ht="15.75" thickBot="1" x14ac:dyDescent="0.3">
      <c r="A25" s="25"/>
      <c r="B25" s="2" t="s">
        <v>214</v>
      </c>
      <c r="C25" s="2" t="s">
        <v>46</v>
      </c>
      <c r="D25" s="127" t="s">
        <v>1029</v>
      </c>
      <c r="E25" s="676">
        <v>15</v>
      </c>
      <c r="F25" s="127" t="s">
        <v>122</v>
      </c>
      <c r="P25" s="80" t="s">
        <v>443</v>
      </c>
    </row>
    <row r="26" spans="1:24" x14ac:dyDescent="0.25">
      <c r="A26" s="25"/>
      <c r="B26" s="2" t="s">
        <v>216</v>
      </c>
      <c r="C26" s="2" t="s">
        <v>215</v>
      </c>
      <c r="D26" s="127" t="s">
        <v>1029</v>
      </c>
      <c r="E26" s="676">
        <v>53</v>
      </c>
      <c r="F26" s="127" t="s">
        <v>121</v>
      </c>
      <c r="P26" s="475"/>
      <c r="Q26" s="476"/>
      <c r="R26" s="476"/>
      <c r="S26" s="476"/>
      <c r="T26" s="477" t="s">
        <v>438</v>
      </c>
      <c r="U26" s="478" t="s">
        <v>1037</v>
      </c>
      <c r="V26" s="479">
        <f>'Laminate Zones'!F28*6.4516</f>
        <v>2.6634648844920279</v>
      </c>
    </row>
    <row r="27" spans="1:24" x14ac:dyDescent="0.25">
      <c r="A27" s="25"/>
      <c r="B27" s="2" t="s">
        <v>49</v>
      </c>
      <c r="C27" s="2" t="s">
        <v>51</v>
      </c>
      <c r="D27" s="2" t="s">
        <v>1002</v>
      </c>
      <c r="E27" s="676">
        <v>1700</v>
      </c>
      <c r="F27" s="127" t="s">
        <v>121</v>
      </c>
      <c r="P27" s="480"/>
      <c r="Q27" s="481"/>
      <c r="R27" s="481"/>
      <c r="S27" s="481"/>
      <c r="T27" s="482" t="s">
        <v>437</v>
      </c>
      <c r="U27" s="483" t="s">
        <v>1037</v>
      </c>
      <c r="V27" s="484">
        <f>'Laminate Zones'!F41*6.4516</f>
        <v>2.6634648844920279</v>
      </c>
    </row>
    <row r="28" spans="1:24" ht="15.75" thickBot="1" x14ac:dyDescent="0.3">
      <c r="A28" s="28"/>
      <c r="B28" s="29" t="s">
        <v>50</v>
      </c>
      <c r="C28" s="29" t="s">
        <v>52</v>
      </c>
      <c r="D28" s="123" t="s">
        <v>1030</v>
      </c>
      <c r="E28" s="677">
        <v>0.2</v>
      </c>
      <c r="F28" s="127" t="s">
        <v>121</v>
      </c>
      <c r="P28" s="485"/>
      <c r="Q28" s="486"/>
      <c r="R28" s="486"/>
      <c r="S28" s="486"/>
      <c r="T28" s="487" t="s">
        <v>446</v>
      </c>
      <c r="U28" s="488" t="s">
        <v>1003</v>
      </c>
      <c r="V28" s="489">
        <f>MIN(Sizing!DY60:DY160)*2.54</f>
        <v>5.980367440372973</v>
      </c>
    </row>
    <row r="29" spans="1:24" ht="15.75" thickBot="1" x14ac:dyDescent="0.3">
      <c r="A29" s="460" t="s">
        <v>61</v>
      </c>
      <c r="B29" s="24" t="s">
        <v>53</v>
      </c>
      <c r="C29" s="24" t="s">
        <v>54</v>
      </c>
      <c r="D29" s="2" t="s">
        <v>1005</v>
      </c>
      <c r="E29" s="675">
        <v>57</v>
      </c>
      <c r="F29" s="126" t="s">
        <v>105</v>
      </c>
    </row>
    <row r="30" spans="1:24" x14ac:dyDescent="0.25">
      <c r="A30" s="25"/>
      <c r="B30" s="2" t="s">
        <v>203</v>
      </c>
      <c r="C30" s="2" t="s">
        <v>204</v>
      </c>
      <c r="D30" s="2" t="s">
        <v>1005</v>
      </c>
      <c r="E30" s="676">
        <v>18</v>
      </c>
      <c r="F30" s="18" t="s">
        <v>105</v>
      </c>
      <c r="P30" s="750"/>
      <c r="Q30" s="508"/>
      <c r="R30" s="508"/>
      <c r="S30" s="508"/>
      <c r="T30" s="508"/>
      <c r="U30" s="751" t="s">
        <v>439</v>
      </c>
      <c r="V30" s="751" t="s">
        <v>441</v>
      </c>
      <c r="W30" s="752" t="s">
        <v>442</v>
      </c>
    </row>
    <row r="31" spans="1:24" ht="15.75" thickBot="1" x14ac:dyDescent="0.3">
      <c r="A31" s="25"/>
      <c r="B31" s="2" t="s">
        <v>55</v>
      </c>
      <c r="C31" s="2" t="s">
        <v>422</v>
      </c>
      <c r="D31" s="2" t="s">
        <v>1005</v>
      </c>
      <c r="E31" s="676">
        <v>0.8</v>
      </c>
      <c r="F31" s="18" t="s">
        <v>105</v>
      </c>
      <c r="P31" s="753" t="s">
        <v>444</v>
      </c>
      <c r="Q31" s="434"/>
      <c r="R31" s="434"/>
      <c r="S31" s="434"/>
      <c r="T31" s="434"/>
      <c r="U31" s="515" t="s">
        <v>440</v>
      </c>
      <c r="V31" s="515" t="s">
        <v>440</v>
      </c>
      <c r="W31" s="516" t="s">
        <v>1003</v>
      </c>
    </row>
    <row r="32" spans="1:24" x14ac:dyDescent="0.25">
      <c r="A32" s="25"/>
      <c r="B32" s="2" t="s">
        <v>56</v>
      </c>
      <c r="C32" s="2" t="s">
        <v>57</v>
      </c>
      <c r="D32" s="2" t="s">
        <v>1005</v>
      </c>
      <c r="E32" s="676">
        <v>0.7</v>
      </c>
      <c r="F32" s="18" t="s">
        <v>105</v>
      </c>
      <c r="P32" s="495">
        <v>0</v>
      </c>
      <c r="Q32" s="496"/>
      <c r="R32" s="496"/>
      <c r="S32" s="496"/>
      <c r="T32" s="497" t="s">
        <v>424</v>
      </c>
      <c r="U32" s="126">
        <f>'Laminate Zones'!F7</f>
        <v>3</v>
      </c>
      <c r="V32" s="126">
        <f>'Laminate Zones'!G7</f>
        <v>2</v>
      </c>
      <c r="W32" s="121">
        <f>'Laminate Zones'!H7*2.54</f>
        <v>0.63500000000000001</v>
      </c>
    </row>
    <row r="33" spans="1:23" ht="15.75" thickBot="1" x14ac:dyDescent="0.3">
      <c r="A33" s="28"/>
      <c r="B33" s="29" t="s">
        <v>58</v>
      </c>
      <c r="C33" s="29" t="s">
        <v>59</v>
      </c>
      <c r="D33" s="29" t="s">
        <v>1002</v>
      </c>
      <c r="E33" s="677">
        <v>64</v>
      </c>
      <c r="F33" s="30" t="s">
        <v>105</v>
      </c>
      <c r="P33" s="498">
        <f>E5*E6</f>
        <v>0.75</v>
      </c>
      <c r="Q33" s="499"/>
      <c r="R33" s="499"/>
      <c r="S33" s="499"/>
      <c r="T33" s="500" t="s">
        <v>425</v>
      </c>
      <c r="U33" s="18">
        <f>'Laminate Zones'!F8</f>
        <v>3</v>
      </c>
      <c r="V33" s="18">
        <f>'Laminate Zones'!G8</f>
        <v>2</v>
      </c>
      <c r="W33" s="127">
        <f>'Laminate Zones'!H8*2.54</f>
        <v>0.63500000000000001</v>
      </c>
    </row>
    <row r="34" spans="1:23" x14ac:dyDescent="0.25">
      <c r="A34" s="460" t="s">
        <v>63</v>
      </c>
      <c r="B34" s="24" t="s">
        <v>396</v>
      </c>
      <c r="C34" s="24" t="s">
        <v>34</v>
      </c>
      <c r="D34" s="24" t="s">
        <v>14</v>
      </c>
      <c r="E34" s="366">
        <v>1.25</v>
      </c>
      <c r="F34" s="126" t="s">
        <v>563</v>
      </c>
      <c r="P34" s="498">
        <f>E5*E7</f>
        <v>1.5</v>
      </c>
      <c r="Q34" s="499"/>
      <c r="R34" s="499"/>
      <c r="S34" s="499"/>
      <c r="T34" s="500" t="s">
        <v>426</v>
      </c>
      <c r="U34" s="18">
        <f>'Laminate Zones'!F9</f>
        <v>3</v>
      </c>
      <c r="V34" s="18">
        <f>'Laminate Zones'!G9</f>
        <v>2</v>
      </c>
      <c r="W34" s="127">
        <f>'Laminate Zones'!H9*2.54</f>
        <v>0.63500000000000001</v>
      </c>
    </row>
    <row r="35" spans="1:23" ht="15.75" thickBot="1" x14ac:dyDescent="0.3">
      <c r="A35" s="128"/>
      <c r="B35" s="2" t="s">
        <v>35</v>
      </c>
      <c r="C35" s="2" t="s">
        <v>34</v>
      </c>
      <c r="D35" s="2" t="s">
        <v>14</v>
      </c>
      <c r="E35" s="360">
        <v>1.05</v>
      </c>
      <c r="F35" s="18" t="s">
        <v>563</v>
      </c>
      <c r="P35" s="501">
        <f>E8*E5</f>
        <v>2.25</v>
      </c>
      <c r="Q35" s="502"/>
      <c r="R35" s="502"/>
      <c r="S35" s="502"/>
      <c r="T35" s="503" t="s">
        <v>427</v>
      </c>
      <c r="U35" s="30">
        <f>'Laminate Zones'!F10</f>
        <v>3</v>
      </c>
      <c r="V35" s="30">
        <f>'Laminate Zones'!G10</f>
        <v>2</v>
      </c>
      <c r="W35" s="123">
        <f>'Laminate Zones'!H10*2.54</f>
        <v>0.63500000000000001</v>
      </c>
    </row>
    <row r="36" spans="1:23" x14ac:dyDescent="0.25">
      <c r="A36" s="128"/>
      <c r="B36" s="2" t="s">
        <v>164</v>
      </c>
      <c r="C36" s="2" t="s">
        <v>165</v>
      </c>
      <c r="D36" s="6" t="s">
        <v>14</v>
      </c>
      <c r="E36" s="365">
        <v>3</v>
      </c>
      <c r="F36" s="18" t="s">
        <v>563</v>
      </c>
      <c r="P36" s="504">
        <f>P32</f>
        <v>0</v>
      </c>
      <c r="Q36" s="476"/>
      <c r="R36" s="476"/>
      <c r="S36" s="476"/>
      <c r="T36" s="477" t="s">
        <v>428</v>
      </c>
      <c r="U36" s="126">
        <f>'Laminate Zones'!F21</f>
        <v>3</v>
      </c>
      <c r="V36" s="126">
        <f>'Laminate Zones'!G21</f>
        <v>3</v>
      </c>
      <c r="W36" s="121">
        <f>'Laminate Zones'!H21*2.54</f>
        <v>0.63500000000000001</v>
      </c>
    </row>
    <row r="37" spans="1:23" x14ac:dyDescent="0.25">
      <c r="A37" s="128"/>
      <c r="B37" s="2" t="s">
        <v>167</v>
      </c>
      <c r="C37" s="2" t="s">
        <v>166</v>
      </c>
      <c r="D37" s="6" t="s">
        <v>14</v>
      </c>
      <c r="E37" s="365">
        <v>2</v>
      </c>
      <c r="F37" s="18" t="s">
        <v>563</v>
      </c>
      <c r="P37" s="505">
        <f>P33</f>
        <v>0.75</v>
      </c>
      <c r="Q37" s="481"/>
      <c r="R37" s="481"/>
      <c r="S37" s="481"/>
      <c r="T37" s="482" t="s">
        <v>429</v>
      </c>
      <c r="U37" s="18">
        <f>'Laminate Zones'!F22</f>
        <v>2</v>
      </c>
      <c r="V37" s="18">
        <f>'Laminate Zones'!G22</f>
        <v>2</v>
      </c>
      <c r="W37" s="127">
        <f>'Laminate Zones'!H22*2.54</f>
        <v>0.63500000000000001</v>
      </c>
    </row>
    <row r="38" spans="1:23" ht="15.75" thickBot="1" x14ac:dyDescent="0.3">
      <c r="A38" s="28"/>
      <c r="B38" s="29" t="s">
        <v>219</v>
      </c>
      <c r="C38" s="29" t="s">
        <v>168</v>
      </c>
      <c r="D38" s="29" t="s">
        <v>1003</v>
      </c>
      <c r="E38" s="677">
        <v>0.63500000000000001</v>
      </c>
      <c r="F38" s="30" t="s">
        <v>563</v>
      </c>
      <c r="P38" s="505">
        <f>P34</f>
        <v>1.5</v>
      </c>
      <c r="Q38" s="481"/>
      <c r="R38" s="481"/>
      <c r="S38" s="481"/>
      <c r="T38" s="482" t="s">
        <v>430</v>
      </c>
      <c r="U38" s="18">
        <f>'Laminate Zones'!F23</f>
        <v>2</v>
      </c>
      <c r="V38" s="18">
        <f>'Laminate Zones'!G23</f>
        <v>2</v>
      </c>
      <c r="W38" s="127">
        <f>'Laminate Zones'!H23*2.54</f>
        <v>0.63500000000000001</v>
      </c>
    </row>
    <row r="39" spans="1:23" ht="15.75" thickBot="1" x14ac:dyDescent="0.3">
      <c r="P39" s="506">
        <f>P35</f>
        <v>2.25</v>
      </c>
      <c r="Q39" s="486"/>
      <c r="R39" s="486"/>
      <c r="S39" s="486"/>
      <c r="T39" s="487" t="s">
        <v>431</v>
      </c>
      <c r="U39" s="30">
        <f>'Laminate Zones'!F24</f>
        <v>2</v>
      </c>
      <c r="V39" s="30">
        <f>'Laminate Zones'!G24</f>
        <v>2</v>
      </c>
      <c r="W39" s="123">
        <f>'Laminate Zones'!H24*2.54</f>
        <v>0.63500000000000001</v>
      </c>
    </row>
    <row r="40" spans="1:23" x14ac:dyDescent="0.25">
      <c r="A40" s="507" t="s">
        <v>468</v>
      </c>
      <c r="B40" s="508"/>
      <c r="C40" s="509"/>
      <c r="D40" s="509"/>
      <c r="E40" s="510"/>
      <c r="F40" s="511"/>
      <c r="P40" s="512">
        <f>P32</f>
        <v>0</v>
      </c>
      <c r="Q40" s="513"/>
      <c r="R40" s="513"/>
      <c r="S40" s="513"/>
      <c r="T40" s="514" t="s">
        <v>432</v>
      </c>
      <c r="U40" s="18">
        <f>'Laminate Zones'!F54</f>
        <v>2</v>
      </c>
      <c r="V40" s="18">
        <f>'Laminate Zones'!G54</f>
        <v>2</v>
      </c>
      <c r="W40" s="127">
        <f>'Laminate Zones'!H54*2.54</f>
        <v>0.63500000000000001</v>
      </c>
    </row>
    <row r="41" spans="1:23" x14ac:dyDescent="0.25">
      <c r="A41" s="341" t="s">
        <v>484</v>
      </c>
      <c r="B41" s="437"/>
      <c r="C41" s="437"/>
      <c r="D41" s="437"/>
      <c r="E41" s="515"/>
      <c r="F41" s="516"/>
      <c r="P41" s="512">
        <f>P33</f>
        <v>0.75</v>
      </c>
      <c r="Q41" s="513"/>
      <c r="R41" s="513"/>
      <c r="S41" s="513"/>
      <c r="T41" s="514" t="s">
        <v>433</v>
      </c>
      <c r="U41" s="18">
        <f>'Laminate Zones'!F55</f>
        <v>2</v>
      </c>
      <c r="V41" s="18">
        <f>'Laminate Zones'!G55</f>
        <v>2</v>
      </c>
      <c r="W41" s="127">
        <f>'Laminate Zones'!H55*2.54</f>
        <v>0.63500000000000001</v>
      </c>
    </row>
    <row r="42" spans="1:23" x14ac:dyDescent="0.25">
      <c r="A42" s="341" t="s">
        <v>471</v>
      </c>
      <c r="B42" s="437"/>
      <c r="C42" s="437"/>
      <c r="D42" s="437"/>
      <c r="E42" s="437"/>
      <c r="F42" s="517"/>
      <c r="P42" s="512">
        <f>P34</f>
        <v>1.5</v>
      </c>
      <c r="Q42" s="513"/>
      <c r="R42" s="513"/>
      <c r="S42" s="513"/>
      <c r="T42" s="514" t="s">
        <v>434</v>
      </c>
      <c r="U42" s="18">
        <f>'Laminate Zones'!F56</f>
        <v>2</v>
      </c>
      <c r="V42" s="18">
        <f>'Laminate Zones'!G56</f>
        <v>2</v>
      </c>
      <c r="W42" s="127">
        <f>'Laminate Zones'!H56*2.54</f>
        <v>0.63500000000000001</v>
      </c>
    </row>
    <row r="43" spans="1:23" ht="15.75" thickBot="1" x14ac:dyDescent="0.3">
      <c r="A43" s="341" t="s">
        <v>472</v>
      </c>
      <c r="B43" s="437"/>
      <c r="C43" s="515"/>
      <c r="D43" s="515"/>
      <c r="E43" s="515"/>
      <c r="F43" s="516"/>
      <c r="P43" s="518">
        <f>P35</f>
        <v>2.25</v>
      </c>
      <c r="Q43" s="519"/>
      <c r="R43" s="519"/>
      <c r="S43" s="519"/>
      <c r="T43" s="520" t="s">
        <v>435</v>
      </c>
      <c r="U43" s="30">
        <f>'Laminate Zones'!F57</f>
        <v>2</v>
      </c>
      <c r="V43" s="30">
        <f>'Laminate Zones'!G57</f>
        <v>2</v>
      </c>
      <c r="W43" s="123">
        <f>'Laminate Zones'!H57*2.54</f>
        <v>0.63500000000000001</v>
      </c>
    </row>
    <row r="44" spans="1:23" x14ac:dyDescent="0.25">
      <c r="A44" s="341" t="s">
        <v>1051</v>
      </c>
      <c r="B44" s="437"/>
      <c r="C44" s="437"/>
      <c r="D44" s="437"/>
      <c r="E44" s="521"/>
      <c r="F44" s="522"/>
    </row>
    <row r="45" spans="1:23" x14ac:dyDescent="0.25">
      <c r="A45" s="341" t="s">
        <v>485</v>
      </c>
      <c r="B45" s="437"/>
      <c r="C45" s="437"/>
      <c r="D45" s="437"/>
      <c r="E45" s="521"/>
      <c r="F45" s="522"/>
    </row>
    <row r="46" spans="1:23" x14ac:dyDescent="0.25">
      <c r="A46" s="523" t="s">
        <v>469</v>
      </c>
      <c r="B46" s="437"/>
      <c r="C46" s="437"/>
      <c r="D46" s="437"/>
      <c r="E46" s="521"/>
      <c r="F46" s="522"/>
      <c r="T46" s="524"/>
    </row>
    <row r="47" spans="1:23" x14ac:dyDescent="0.25">
      <c r="A47" s="341" t="s">
        <v>487</v>
      </c>
      <c r="B47" s="437"/>
      <c r="C47" s="437"/>
      <c r="D47" s="437"/>
      <c r="E47" s="521"/>
      <c r="F47" s="522"/>
    </row>
    <row r="48" spans="1:23" x14ac:dyDescent="0.25">
      <c r="A48" s="341" t="s">
        <v>470</v>
      </c>
      <c r="B48" s="437"/>
      <c r="C48" s="437"/>
      <c r="D48" s="437"/>
      <c r="E48" s="521"/>
      <c r="F48" s="522"/>
    </row>
    <row r="49" spans="1:16" x14ac:dyDescent="0.25">
      <c r="A49" s="341"/>
      <c r="B49" s="434"/>
      <c r="C49" s="437"/>
      <c r="D49" s="437"/>
      <c r="E49" s="521"/>
      <c r="F49" s="522"/>
      <c r="L49" s="2"/>
    </row>
    <row r="50" spans="1:16" x14ac:dyDescent="0.25">
      <c r="A50" s="525" t="s">
        <v>129</v>
      </c>
      <c r="B50" s="434"/>
      <c r="C50" s="437"/>
      <c r="D50" s="437"/>
      <c r="E50" s="437"/>
      <c r="F50" s="517"/>
    </row>
    <row r="51" spans="1:16" x14ac:dyDescent="0.25">
      <c r="A51" s="341" t="s">
        <v>1054</v>
      </c>
      <c r="B51" s="434"/>
      <c r="C51" s="437"/>
      <c r="D51" s="437"/>
      <c r="E51" s="437"/>
      <c r="F51" s="517"/>
    </row>
    <row r="52" spans="1:16" x14ac:dyDescent="0.25">
      <c r="A52" s="341"/>
      <c r="B52" s="434" t="s">
        <v>480</v>
      </c>
      <c r="C52" s="437"/>
      <c r="D52" s="437"/>
      <c r="E52" s="437"/>
      <c r="F52" s="517"/>
    </row>
    <row r="53" spans="1:16" x14ac:dyDescent="0.25">
      <c r="A53" s="341"/>
      <c r="B53" s="434" t="s">
        <v>482</v>
      </c>
      <c r="C53" s="437"/>
      <c r="D53" s="437"/>
      <c r="E53" s="333"/>
      <c r="F53" s="517"/>
    </row>
    <row r="54" spans="1:16" x14ac:dyDescent="0.25">
      <c r="A54" s="341" t="s">
        <v>473</v>
      </c>
      <c r="B54" s="434"/>
      <c r="C54" s="437"/>
      <c r="D54" s="437"/>
      <c r="E54" s="437"/>
      <c r="F54" s="517"/>
    </row>
    <row r="55" spans="1:16" x14ac:dyDescent="0.25">
      <c r="A55" s="341"/>
      <c r="B55" s="434" t="s">
        <v>474</v>
      </c>
      <c r="C55" s="437"/>
      <c r="D55" s="437"/>
      <c r="E55" s="437"/>
      <c r="F55" s="517"/>
    </row>
    <row r="56" spans="1:16" x14ac:dyDescent="0.25">
      <c r="A56" s="341"/>
      <c r="B56" s="434" t="s">
        <v>481</v>
      </c>
      <c r="C56" s="437"/>
      <c r="D56" s="437"/>
      <c r="E56" s="437"/>
      <c r="F56" s="517"/>
    </row>
    <row r="57" spans="1:16" x14ac:dyDescent="0.25">
      <c r="A57" s="341" t="s">
        <v>476</v>
      </c>
      <c r="B57" s="434"/>
      <c r="C57" s="437"/>
      <c r="D57" s="437"/>
      <c r="E57" s="437"/>
      <c r="F57" s="517"/>
    </row>
    <row r="58" spans="1:16" x14ac:dyDescent="0.25">
      <c r="A58" s="341"/>
      <c r="B58" s="434" t="s">
        <v>596</v>
      </c>
      <c r="C58" s="437"/>
      <c r="D58" s="437"/>
      <c r="E58" s="437"/>
      <c r="F58" s="517"/>
    </row>
    <row r="59" spans="1:16" x14ac:dyDescent="0.25">
      <c r="A59" s="341"/>
      <c r="B59" s="434" t="s">
        <v>479</v>
      </c>
      <c r="C59" s="437"/>
      <c r="D59" s="437"/>
      <c r="E59" s="437"/>
      <c r="F59" s="517"/>
    </row>
    <row r="60" spans="1:16" x14ac:dyDescent="0.25">
      <c r="A60" s="341"/>
      <c r="B60" s="434" t="s">
        <v>477</v>
      </c>
      <c r="C60" s="437"/>
      <c r="D60" s="437"/>
      <c r="E60" s="437"/>
      <c r="F60" s="517"/>
    </row>
    <row r="61" spans="1:16" x14ac:dyDescent="0.25">
      <c r="A61" s="341"/>
      <c r="B61" s="434" t="s">
        <v>478</v>
      </c>
      <c r="C61" s="437"/>
      <c r="D61" s="437"/>
      <c r="E61" s="437"/>
      <c r="F61" s="517"/>
      <c r="P61" s="4"/>
    </row>
    <row r="62" spans="1:16" x14ac:dyDescent="0.25">
      <c r="A62" s="526" t="s">
        <v>1067</v>
      </c>
      <c r="B62" s="434"/>
      <c r="C62" s="437"/>
      <c r="D62" s="437"/>
      <c r="E62" s="437"/>
      <c r="F62" s="517"/>
    </row>
    <row r="63" spans="1:16" x14ac:dyDescent="0.25">
      <c r="A63" s="333"/>
      <c r="B63" s="437"/>
      <c r="C63" s="437"/>
      <c r="D63" s="437"/>
      <c r="E63" s="437"/>
      <c r="F63" s="517"/>
      <c r="H63" s="4" t="s">
        <v>22</v>
      </c>
    </row>
    <row r="64" spans="1:16" ht="15.75" thickBot="1" x14ac:dyDescent="0.3">
      <c r="A64" s="341" t="s">
        <v>465</v>
      </c>
      <c r="B64" s="434"/>
      <c r="C64" s="437"/>
      <c r="D64" s="437"/>
      <c r="E64" s="437"/>
      <c r="F64" s="517"/>
      <c r="H64" s="2"/>
      <c r="I64" s="2" t="s">
        <v>887</v>
      </c>
      <c r="J64" s="2" t="s">
        <v>1034</v>
      </c>
    </row>
    <row r="65" spans="1:10" x14ac:dyDescent="0.25">
      <c r="A65" s="341" t="s">
        <v>475</v>
      </c>
      <c r="B65" s="434"/>
      <c r="C65" s="437"/>
      <c r="D65" s="437"/>
      <c r="E65" s="437"/>
      <c r="F65" s="517"/>
      <c r="H65" s="527" t="s">
        <v>23</v>
      </c>
      <c r="I65" s="528">
        <v>0</v>
      </c>
      <c r="J65" s="529">
        <v>0</v>
      </c>
    </row>
    <row r="66" spans="1:10" ht="15.75" thickBot="1" x14ac:dyDescent="0.3">
      <c r="A66" s="341" t="s">
        <v>1052</v>
      </c>
      <c r="B66" s="434"/>
      <c r="C66" s="437"/>
      <c r="D66" s="437"/>
      <c r="E66" s="437"/>
      <c r="F66" s="517"/>
      <c r="H66" s="530" t="s">
        <v>24</v>
      </c>
      <c r="I66" s="122">
        <f>I65+$E$9</f>
        <v>0.65</v>
      </c>
      <c r="J66" s="132">
        <f>J65</f>
        <v>0</v>
      </c>
    </row>
    <row r="67" spans="1:10" x14ac:dyDescent="0.25">
      <c r="A67" s="341" t="s">
        <v>462</v>
      </c>
      <c r="B67" s="434"/>
      <c r="C67" s="437"/>
      <c r="D67" s="437"/>
      <c r="E67" s="437"/>
      <c r="F67" s="517"/>
      <c r="H67" s="531" t="s">
        <v>119</v>
      </c>
      <c r="I67" s="130">
        <f>I65+E9*0.25-E10*0.25</f>
        <v>7.5000000000000011E-2</v>
      </c>
      <c r="J67" s="133">
        <f>E5</f>
        <v>3</v>
      </c>
    </row>
    <row r="68" spans="1:10" ht="15.75" thickBot="1" x14ac:dyDescent="0.3">
      <c r="A68" s="341"/>
      <c r="B68" s="434" t="s">
        <v>463</v>
      </c>
      <c r="C68" s="437"/>
      <c r="D68" s="437"/>
      <c r="E68" s="437"/>
      <c r="F68" s="517"/>
      <c r="H68" s="532" t="s">
        <v>120</v>
      </c>
      <c r="I68" s="8">
        <f>I67+E10</f>
        <v>0.42499999999999999</v>
      </c>
      <c r="J68" s="134">
        <f>J67</f>
        <v>3</v>
      </c>
    </row>
    <row r="69" spans="1:10" ht="15.75" thickBot="1" x14ac:dyDescent="0.3">
      <c r="A69" s="341"/>
      <c r="B69" s="434" t="s">
        <v>464</v>
      </c>
      <c r="C69" s="437"/>
      <c r="D69" s="437"/>
      <c r="E69" s="437"/>
      <c r="F69" s="517"/>
      <c r="H69" s="533" t="s">
        <v>143</v>
      </c>
      <c r="I69" s="534">
        <f>I65+0.25*E9</f>
        <v>0.16250000000000001</v>
      </c>
      <c r="J69" s="196">
        <f>J65</f>
        <v>0</v>
      </c>
    </row>
    <row r="70" spans="1:10" x14ac:dyDescent="0.25">
      <c r="A70" s="341" t="s">
        <v>466</v>
      </c>
      <c r="B70" s="434"/>
      <c r="C70" s="437"/>
      <c r="D70" s="437"/>
      <c r="E70" s="437"/>
      <c r="F70" s="517"/>
      <c r="H70" s="128" t="s">
        <v>123</v>
      </c>
      <c r="I70" s="8">
        <f>I65+E12*E9</f>
        <v>0.16250000000000001</v>
      </c>
      <c r="J70" s="134">
        <f>J65</f>
        <v>0</v>
      </c>
    </row>
    <row r="71" spans="1:10" ht="15.75" thickBot="1" x14ac:dyDescent="0.3">
      <c r="A71" s="341"/>
      <c r="B71" s="434" t="s">
        <v>467</v>
      </c>
      <c r="C71" s="437"/>
      <c r="D71" s="437"/>
      <c r="E71" s="437"/>
      <c r="F71" s="517"/>
      <c r="H71" s="131" t="s">
        <v>124</v>
      </c>
      <c r="I71" s="122">
        <f>I67+E10*E12</f>
        <v>0.16250000000000001</v>
      </c>
      <c r="J71" s="132">
        <f>J67</f>
        <v>3</v>
      </c>
    </row>
    <row r="72" spans="1:10" x14ac:dyDescent="0.25">
      <c r="A72" s="341"/>
      <c r="B72" s="434" t="s">
        <v>597</v>
      </c>
      <c r="C72" s="437"/>
      <c r="D72" s="437"/>
      <c r="E72" s="437"/>
      <c r="F72" s="517"/>
      <c r="H72" s="129" t="s">
        <v>125</v>
      </c>
      <c r="I72" s="130">
        <f>I65+E9*E15</f>
        <v>0.48750000000000004</v>
      </c>
      <c r="J72" s="133">
        <f>J65</f>
        <v>0</v>
      </c>
    </row>
    <row r="73" spans="1:10" ht="15.75" thickBot="1" x14ac:dyDescent="0.3">
      <c r="A73" s="333"/>
      <c r="B73" s="437"/>
      <c r="C73" s="437"/>
      <c r="D73" s="437"/>
      <c r="E73" s="437"/>
      <c r="F73" s="517"/>
      <c r="H73" s="131" t="s">
        <v>126</v>
      </c>
      <c r="I73" s="122">
        <f>I67+E10*E15</f>
        <v>0.33749999999999997</v>
      </c>
      <c r="J73" s="132">
        <f>J67</f>
        <v>3</v>
      </c>
    </row>
    <row r="74" spans="1:10" ht="15.75" thickBot="1" x14ac:dyDescent="0.3">
      <c r="A74" s="331"/>
      <c r="B74" s="535"/>
      <c r="C74" s="535"/>
      <c r="D74" s="535"/>
      <c r="E74" s="535"/>
      <c r="F74" s="536"/>
    </row>
    <row r="75" spans="1:10" x14ac:dyDescent="0.25">
      <c r="A75" s="743" t="s">
        <v>1063</v>
      </c>
      <c r="B75" s="509"/>
      <c r="C75" s="509"/>
      <c r="D75" s="509"/>
      <c r="E75" s="509"/>
      <c r="F75" s="744"/>
    </row>
    <row r="76" spans="1:10" x14ac:dyDescent="0.25">
      <c r="A76" s="332" t="s">
        <v>1064</v>
      </c>
      <c r="B76" s="437"/>
      <c r="C76" s="437"/>
      <c r="D76" s="437"/>
      <c r="E76" s="437"/>
      <c r="F76" s="517"/>
    </row>
    <row r="77" spans="1:10" x14ac:dyDescent="0.25">
      <c r="A77" s="332" t="s">
        <v>1065</v>
      </c>
      <c r="B77" s="437"/>
      <c r="C77" s="437"/>
      <c r="D77" s="437"/>
      <c r="E77" s="437"/>
      <c r="F77" s="517"/>
    </row>
    <row r="78" spans="1:10" x14ac:dyDescent="0.25">
      <c r="A78" s="745" t="s">
        <v>1066</v>
      </c>
      <c r="B78" s="437"/>
      <c r="C78" s="437"/>
      <c r="D78" s="437"/>
      <c r="E78" s="437"/>
      <c r="F78" s="517"/>
    </row>
    <row r="79" spans="1:10" x14ac:dyDescent="0.25">
      <c r="A79" s="745"/>
      <c r="B79" s="437"/>
      <c r="C79" s="437"/>
      <c r="D79" s="437"/>
      <c r="E79" s="437"/>
      <c r="F79" s="517"/>
    </row>
    <row r="80" spans="1:10" x14ac:dyDescent="0.25">
      <c r="A80" s="332" t="s">
        <v>1068</v>
      </c>
      <c r="B80" s="437"/>
      <c r="C80" s="434"/>
      <c r="D80" s="434"/>
      <c r="E80" s="434"/>
      <c r="F80" s="746"/>
    </row>
    <row r="81" spans="1:6" x14ac:dyDescent="0.25">
      <c r="A81" s="332" t="s">
        <v>1069</v>
      </c>
      <c r="B81" s="437"/>
      <c r="C81" s="434"/>
      <c r="D81" s="434"/>
      <c r="E81" s="434"/>
      <c r="F81" s="746"/>
    </row>
    <row r="82" spans="1:6" x14ac:dyDescent="0.25">
      <c r="A82" s="332" t="s">
        <v>1091</v>
      </c>
      <c r="B82" s="437"/>
      <c r="C82" s="434"/>
      <c r="D82" s="434"/>
      <c r="E82" s="434"/>
      <c r="F82" s="746"/>
    </row>
    <row r="83" spans="1:6" x14ac:dyDescent="0.25">
      <c r="A83" s="332"/>
      <c r="B83" s="437"/>
      <c r="C83" s="434"/>
      <c r="D83" s="434"/>
      <c r="E83" s="434"/>
      <c r="F83" s="746"/>
    </row>
    <row r="84" spans="1:6" x14ac:dyDescent="0.25">
      <c r="A84" s="747" t="s">
        <v>1072</v>
      </c>
      <c r="B84" s="437"/>
      <c r="C84" s="434"/>
      <c r="D84" s="434"/>
      <c r="E84" s="434"/>
      <c r="F84" s="746"/>
    </row>
    <row r="85" spans="1:6" x14ac:dyDescent="0.25">
      <c r="A85" s="332" t="s">
        <v>1071</v>
      </c>
      <c r="B85" s="437"/>
      <c r="C85" s="434"/>
      <c r="D85" s="434"/>
      <c r="E85" s="434"/>
      <c r="F85" s="746"/>
    </row>
    <row r="86" spans="1:6" x14ac:dyDescent="0.25">
      <c r="A86" s="332" t="s">
        <v>1073</v>
      </c>
      <c r="B86" s="437"/>
      <c r="C86" s="434"/>
      <c r="D86" s="434"/>
      <c r="E86" s="434"/>
      <c r="F86" s="746"/>
    </row>
    <row r="87" spans="1:6" x14ac:dyDescent="0.25">
      <c r="A87" s="341" t="s">
        <v>473</v>
      </c>
      <c r="B87" s="437"/>
      <c r="C87" s="434"/>
      <c r="D87" s="434"/>
      <c r="E87" s="434"/>
      <c r="F87" s="746"/>
    </row>
    <row r="88" spans="1:6" x14ac:dyDescent="0.25">
      <c r="A88" s="332"/>
      <c r="B88" s="437"/>
      <c r="C88" s="434"/>
      <c r="D88" s="434"/>
      <c r="E88" s="434"/>
      <c r="F88" s="746"/>
    </row>
    <row r="89" spans="1:6" x14ac:dyDescent="0.25">
      <c r="A89" s="748" t="s">
        <v>1074</v>
      </c>
      <c r="B89" s="437"/>
      <c r="C89" s="434"/>
      <c r="D89" s="434"/>
      <c r="E89" s="434"/>
      <c r="F89" s="746"/>
    </row>
    <row r="90" spans="1:6" x14ac:dyDescent="0.25">
      <c r="A90" s="748" t="s">
        <v>1082</v>
      </c>
      <c r="B90" s="437"/>
      <c r="C90" s="434"/>
      <c r="D90" s="434"/>
      <c r="E90" s="434"/>
      <c r="F90" s="746"/>
    </row>
    <row r="91" spans="1:6" x14ac:dyDescent="0.25">
      <c r="A91" s="332" t="s">
        <v>1075</v>
      </c>
      <c r="B91" s="437"/>
      <c r="C91" s="434"/>
      <c r="D91" s="434"/>
      <c r="E91" s="434"/>
      <c r="F91" s="746"/>
    </row>
    <row r="92" spans="1:6" x14ac:dyDescent="0.25">
      <c r="A92" s="332" t="s">
        <v>1076</v>
      </c>
      <c r="B92" s="437"/>
      <c r="C92" s="437"/>
      <c r="D92" s="434"/>
      <c r="E92" s="434"/>
      <c r="F92" s="746"/>
    </row>
    <row r="93" spans="1:6" x14ac:dyDescent="0.25">
      <c r="A93" s="332" t="s">
        <v>1077</v>
      </c>
      <c r="B93" s="437"/>
      <c r="C93" s="437"/>
      <c r="D93" s="434"/>
      <c r="E93" s="434"/>
      <c r="F93" s="746"/>
    </row>
    <row r="94" spans="1:6" x14ac:dyDescent="0.25">
      <c r="A94" s="332"/>
      <c r="B94" s="437"/>
      <c r="C94" s="437"/>
      <c r="D94" s="434"/>
      <c r="E94" s="434"/>
      <c r="F94" s="746"/>
    </row>
    <row r="95" spans="1:6" x14ac:dyDescent="0.25">
      <c r="A95" s="749" t="s">
        <v>1078</v>
      </c>
      <c r="B95" s="437"/>
      <c r="C95" s="437"/>
      <c r="D95" s="434"/>
      <c r="E95" s="434"/>
      <c r="F95" s="746"/>
    </row>
    <row r="96" spans="1:6" x14ac:dyDescent="0.25">
      <c r="A96" s="332" t="s">
        <v>943</v>
      </c>
      <c r="B96" s="437"/>
      <c r="C96" s="437"/>
      <c r="D96" s="434"/>
      <c r="E96" s="434"/>
      <c r="F96" s="746"/>
    </row>
    <row r="97" spans="1:6" x14ac:dyDescent="0.25">
      <c r="A97" s="332" t="s">
        <v>880</v>
      </c>
      <c r="B97" s="437"/>
      <c r="C97" s="437"/>
      <c r="D97" s="434"/>
      <c r="E97" s="434"/>
      <c r="F97" s="746"/>
    </row>
    <row r="98" spans="1:6" x14ac:dyDescent="0.25">
      <c r="A98" s="332" t="s">
        <v>1079</v>
      </c>
      <c r="B98" s="437"/>
      <c r="C98" s="437"/>
      <c r="D98" s="434"/>
      <c r="E98" s="434"/>
      <c r="F98" s="746"/>
    </row>
    <row r="99" spans="1:6" x14ac:dyDescent="0.25">
      <c r="A99" s="332" t="s">
        <v>1080</v>
      </c>
      <c r="B99" s="437"/>
      <c r="C99" s="437"/>
      <c r="D99" s="434"/>
      <c r="E99" s="434"/>
      <c r="F99" s="746"/>
    </row>
    <row r="100" spans="1:6" x14ac:dyDescent="0.25">
      <c r="A100" s="332"/>
      <c r="B100" s="437"/>
      <c r="C100" s="437"/>
      <c r="D100" s="434"/>
      <c r="E100" s="434"/>
      <c r="F100" s="746"/>
    </row>
    <row r="101" spans="1:6" x14ac:dyDescent="0.25">
      <c r="A101" s="332" t="s">
        <v>1083</v>
      </c>
      <c r="B101" s="437"/>
      <c r="C101" s="437"/>
      <c r="D101" s="434"/>
      <c r="E101" s="434"/>
      <c r="F101" s="746"/>
    </row>
    <row r="102" spans="1:6" x14ac:dyDescent="0.25">
      <c r="A102" s="332"/>
      <c r="B102" s="437"/>
      <c r="C102" s="437"/>
      <c r="D102" s="437"/>
      <c r="E102" s="434"/>
      <c r="F102" s="746"/>
    </row>
    <row r="103" spans="1:6" x14ac:dyDescent="0.25">
      <c r="A103" s="748" t="s">
        <v>1092</v>
      </c>
      <c r="B103" s="437"/>
      <c r="C103" s="437"/>
      <c r="D103" s="434"/>
      <c r="E103" s="434"/>
      <c r="F103" s="746"/>
    </row>
    <row r="104" spans="1:6" x14ac:dyDescent="0.25">
      <c r="A104" s="748" t="s">
        <v>1081</v>
      </c>
      <c r="B104" s="437"/>
      <c r="C104" s="437"/>
      <c r="D104" s="434"/>
      <c r="E104" s="434"/>
      <c r="F104" s="746"/>
    </row>
    <row r="105" spans="1:6" x14ac:dyDescent="0.25">
      <c r="A105" s="332" t="s">
        <v>1077</v>
      </c>
      <c r="B105" s="437"/>
      <c r="C105" s="434"/>
      <c r="D105" s="434"/>
      <c r="E105" s="434"/>
      <c r="F105" s="746"/>
    </row>
    <row r="106" spans="1:6" x14ac:dyDescent="0.25">
      <c r="A106" s="332"/>
      <c r="B106" s="437"/>
      <c r="C106" s="434"/>
      <c r="D106" s="434"/>
      <c r="E106" s="434"/>
      <c r="F106" s="746"/>
    </row>
    <row r="107" spans="1:6" x14ac:dyDescent="0.25">
      <c r="A107" s="749" t="s">
        <v>1078</v>
      </c>
      <c r="B107" s="437"/>
      <c r="C107" s="434"/>
      <c r="D107" s="434"/>
      <c r="E107" s="434"/>
      <c r="F107" s="746"/>
    </row>
    <row r="108" spans="1:6" x14ac:dyDescent="0.25">
      <c r="A108" s="332" t="s">
        <v>1085</v>
      </c>
      <c r="B108" s="437"/>
      <c r="C108" s="434"/>
      <c r="D108" s="434"/>
      <c r="E108" s="434"/>
      <c r="F108" s="746"/>
    </row>
    <row r="109" spans="1:6" x14ac:dyDescent="0.25">
      <c r="A109" s="332" t="s">
        <v>1086</v>
      </c>
      <c r="B109" s="437"/>
      <c r="C109" s="434"/>
      <c r="D109" s="434"/>
      <c r="E109" s="437"/>
      <c r="F109" s="746"/>
    </row>
    <row r="110" spans="1:6" x14ac:dyDescent="0.25">
      <c r="A110" s="332" t="s">
        <v>1087</v>
      </c>
      <c r="B110" s="437"/>
      <c r="C110" s="434"/>
      <c r="D110" s="434"/>
      <c r="E110" s="437"/>
      <c r="F110" s="746"/>
    </row>
    <row r="111" spans="1:6" x14ac:dyDescent="0.25">
      <c r="A111" s="332" t="s">
        <v>1088</v>
      </c>
      <c r="B111" s="437"/>
      <c r="C111" s="434"/>
      <c r="D111" s="434"/>
      <c r="E111" s="437"/>
      <c r="F111" s="746"/>
    </row>
    <row r="112" spans="1:6" x14ac:dyDescent="0.25">
      <c r="A112" s="749" t="s">
        <v>1094</v>
      </c>
      <c r="B112" s="437"/>
      <c r="C112" s="434"/>
      <c r="D112" s="434"/>
      <c r="E112" s="437"/>
      <c r="F112" s="746"/>
    </row>
    <row r="113" spans="1:6" x14ac:dyDescent="0.25">
      <c r="A113" s="749" t="s">
        <v>1093</v>
      </c>
      <c r="B113" s="437"/>
      <c r="C113" s="434"/>
      <c r="D113" s="434"/>
      <c r="E113" s="437"/>
      <c r="F113" s="746"/>
    </row>
    <row r="114" spans="1:6" x14ac:dyDescent="0.25">
      <c r="A114" s="749" t="s">
        <v>1095</v>
      </c>
      <c r="B114" s="437"/>
      <c r="C114" s="434"/>
      <c r="D114" s="434"/>
      <c r="E114" s="437"/>
      <c r="F114" s="746"/>
    </row>
    <row r="115" spans="1:6" x14ac:dyDescent="0.25">
      <c r="A115" s="332"/>
      <c r="B115" s="437"/>
      <c r="C115" s="434"/>
      <c r="D115" s="434"/>
      <c r="E115" s="437"/>
      <c r="F115" s="746"/>
    </row>
    <row r="116" spans="1:6" x14ac:dyDescent="0.25">
      <c r="A116" s="748" t="s">
        <v>1102</v>
      </c>
      <c r="B116" s="437"/>
      <c r="C116" s="434"/>
      <c r="D116" s="434"/>
      <c r="E116" s="437"/>
      <c r="F116" s="746"/>
    </row>
    <row r="117" spans="1:6" x14ac:dyDescent="0.25">
      <c r="A117" s="748" t="s">
        <v>1096</v>
      </c>
      <c r="B117" s="437"/>
      <c r="C117" s="434"/>
      <c r="D117" s="434"/>
      <c r="E117" s="437"/>
      <c r="F117" s="746"/>
    </row>
    <row r="118" spans="1:6" x14ac:dyDescent="0.25">
      <c r="A118" s="332" t="s">
        <v>1105</v>
      </c>
      <c r="B118" s="437"/>
      <c r="C118" s="434"/>
      <c r="D118" s="434"/>
      <c r="E118" s="437"/>
      <c r="F118" s="746"/>
    </row>
    <row r="119" spans="1:6" x14ac:dyDescent="0.25">
      <c r="A119" s="332" t="s">
        <v>1097</v>
      </c>
      <c r="B119" s="437"/>
      <c r="C119" s="437"/>
      <c r="D119" s="437"/>
      <c r="E119" s="437"/>
      <c r="F119" s="517"/>
    </row>
    <row r="120" spans="1:6" x14ac:dyDescent="0.25">
      <c r="A120" s="332"/>
      <c r="B120" s="437"/>
      <c r="C120" s="437"/>
      <c r="D120" s="437"/>
      <c r="E120" s="437"/>
      <c r="F120" s="517"/>
    </row>
    <row r="121" spans="1:6" x14ac:dyDescent="0.25">
      <c r="A121" s="749" t="s">
        <v>1106</v>
      </c>
      <c r="B121" s="437"/>
      <c r="C121" s="437"/>
      <c r="D121" s="437"/>
      <c r="E121" s="437"/>
      <c r="F121" s="517"/>
    </row>
    <row r="122" spans="1:6" x14ac:dyDescent="0.25">
      <c r="A122" s="332" t="s">
        <v>1111</v>
      </c>
      <c r="B122" s="437"/>
      <c r="C122" s="437"/>
      <c r="D122" s="437"/>
      <c r="E122" s="437"/>
      <c r="F122" s="517"/>
    </row>
    <row r="123" spans="1:6" x14ac:dyDescent="0.25">
      <c r="A123" s="332" t="s">
        <v>1103</v>
      </c>
      <c r="B123" s="437"/>
      <c r="C123" s="437"/>
      <c r="D123" s="437"/>
      <c r="E123" s="437"/>
      <c r="F123" s="517"/>
    </row>
    <row r="124" spans="1:6" x14ac:dyDescent="0.25">
      <c r="A124" s="332"/>
      <c r="B124" s="437"/>
      <c r="C124" s="437"/>
      <c r="D124" s="437"/>
      <c r="E124" s="437"/>
      <c r="F124" s="517"/>
    </row>
    <row r="125" spans="1:6" x14ac:dyDescent="0.25">
      <c r="A125" s="332" t="s">
        <v>1098</v>
      </c>
      <c r="B125" s="437"/>
      <c r="C125" s="437"/>
      <c r="D125" s="437"/>
      <c r="E125" s="437"/>
      <c r="F125" s="517"/>
    </row>
    <row r="126" spans="1:6" x14ac:dyDescent="0.25">
      <c r="A126" s="332" t="s">
        <v>1104</v>
      </c>
      <c r="B126" s="437"/>
      <c r="C126" s="437"/>
      <c r="D126" s="437"/>
      <c r="E126" s="437"/>
      <c r="F126" s="517"/>
    </row>
    <row r="127" spans="1:6" x14ac:dyDescent="0.25">
      <c r="A127" s="332"/>
      <c r="B127" s="437"/>
      <c r="C127" s="437"/>
      <c r="D127" s="437"/>
      <c r="E127" s="437"/>
      <c r="F127" s="517"/>
    </row>
    <row r="128" spans="1:6" x14ac:dyDescent="0.25">
      <c r="A128" s="332" t="s">
        <v>1099</v>
      </c>
      <c r="B128" s="437"/>
      <c r="C128" s="437"/>
      <c r="D128" s="437"/>
      <c r="E128" s="437"/>
      <c r="F128" s="517"/>
    </row>
    <row r="129" spans="1:6" x14ac:dyDescent="0.25">
      <c r="A129" s="332" t="s">
        <v>1100</v>
      </c>
      <c r="B129" s="437"/>
      <c r="C129" s="437"/>
      <c r="D129" s="437"/>
      <c r="E129" s="437"/>
      <c r="F129" s="517"/>
    </row>
    <row r="130" spans="1:6" x14ac:dyDescent="0.25">
      <c r="A130" s="332" t="s">
        <v>1101</v>
      </c>
      <c r="B130" s="437"/>
      <c r="C130" s="437"/>
      <c r="D130" s="437"/>
      <c r="E130" s="437"/>
      <c r="F130" s="517"/>
    </row>
    <row r="131" spans="1:6" x14ac:dyDescent="0.25">
      <c r="A131" s="332"/>
      <c r="B131" s="437"/>
      <c r="C131" s="437"/>
      <c r="D131" s="437"/>
      <c r="E131" s="437"/>
      <c r="F131" s="517"/>
    </row>
    <row r="132" spans="1:6" x14ac:dyDescent="0.25">
      <c r="A132" s="748" t="s">
        <v>1107</v>
      </c>
      <c r="B132" s="437"/>
      <c r="C132" s="437"/>
      <c r="D132" s="437"/>
      <c r="E132" s="437"/>
      <c r="F132" s="517"/>
    </row>
    <row r="133" spans="1:6" x14ac:dyDescent="0.25">
      <c r="A133" s="332" t="s">
        <v>1108</v>
      </c>
      <c r="B133" s="437"/>
      <c r="C133" s="437"/>
      <c r="D133" s="437"/>
      <c r="E133" s="437"/>
      <c r="F133" s="517"/>
    </row>
    <row r="134" spans="1:6" x14ac:dyDescent="0.25">
      <c r="A134" s="332" t="s">
        <v>1109</v>
      </c>
      <c r="B134" s="437"/>
      <c r="C134" s="437"/>
      <c r="D134" s="437"/>
      <c r="E134" s="437"/>
      <c r="F134" s="517"/>
    </row>
    <row r="135" spans="1:6" x14ac:dyDescent="0.25">
      <c r="A135" s="332" t="s">
        <v>1112</v>
      </c>
      <c r="B135" s="437"/>
      <c r="C135" s="437"/>
      <c r="D135" s="437"/>
      <c r="E135" s="437"/>
      <c r="F135" s="517"/>
    </row>
    <row r="136" spans="1:6" ht="15.75" thickBot="1" x14ac:dyDescent="0.3">
      <c r="A136" s="331" t="s">
        <v>1110</v>
      </c>
      <c r="B136" s="535"/>
      <c r="C136" s="535"/>
      <c r="D136" s="535"/>
      <c r="E136" s="535"/>
      <c r="F136" s="536"/>
    </row>
  </sheetData>
  <mergeCells count="5">
    <mergeCell ref="P3:X3"/>
    <mergeCell ref="P4:U4"/>
    <mergeCell ref="P11:U11"/>
    <mergeCell ref="P17:U17"/>
    <mergeCell ref="P23:U23"/>
  </mergeCells>
  <conditionalFormatting sqref="U32:U43">
    <cfRule type="colorScale" priority="5">
      <colorScale>
        <cfvo type="min"/>
        <cfvo type="percentile" val="50"/>
        <cfvo type="max"/>
        <color rgb="FF63BE7B"/>
        <color rgb="FFFFEB84"/>
        <color rgb="FFF8696B"/>
      </colorScale>
    </cfRule>
  </conditionalFormatting>
  <conditionalFormatting sqref="U56:U67">
    <cfRule type="colorScale" priority="2">
      <colorScale>
        <cfvo type="min"/>
        <cfvo type="percentile" val="50"/>
        <cfvo type="max"/>
        <color rgb="FF63BE7B"/>
        <color rgb="FFFFEB84"/>
        <color rgb="FFF8696B"/>
      </colorScale>
    </cfRule>
  </conditionalFormatting>
  <conditionalFormatting sqref="V28">
    <cfRule type="cellIs" dxfId="1" priority="1" operator="lessThan">
      <formula>1</formula>
    </cfRule>
  </conditionalFormatting>
  <conditionalFormatting sqref="V32:V43">
    <cfRule type="colorScale" priority="6">
      <colorScale>
        <cfvo type="min"/>
        <cfvo type="percentile" val="50"/>
        <cfvo type="max"/>
        <color rgb="FF63BE7B"/>
        <color rgb="FFFFEB84"/>
        <color rgb="FFF8696B"/>
      </colorScale>
    </cfRule>
  </conditionalFormatting>
  <conditionalFormatting sqref="V56:V67">
    <cfRule type="colorScale" priority="3">
      <colorScale>
        <cfvo type="min"/>
        <cfvo type="percentile" val="50"/>
        <cfvo type="max"/>
        <color rgb="FF63BE7B"/>
        <color rgb="FFFFEB84"/>
        <color rgb="FFF8696B"/>
      </colorScale>
    </cfRule>
  </conditionalFormatting>
  <conditionalFormatting sqref="W32:W43">
    <cfRule type="colorScale" priority="7">
      <colorScale>
        <cfvo type="min"/>
        <cfvo type="percentile" val="50"/>
        <cfvo type="max"/>
        <color rgb="FF63BE7B"/>
        <color rgb="FFFFEB84"/>
        <color rgb="FFF8696B"/>
      </colorScale>
    </cfRule>
  </conditionalFormatting>
  <conditionalFormatting sqref="W56:W67">
    <cfRule type="colorScale" priority="4">
      <colorScale>
        <cfvo type="min"/>
        <cfvo type="percentile" val="50"/>
        <cfvo type="max"/>
        <color rgb="FF63BE7B"/>
        <color rgb="FFFFEB84"/>
        <color rgb="FFF8696B"/>
      </colorScale>
    </cfRule>
  </conditionalFormatting>
  <dataValidations count="1">
    <dataValidation type="list" allowBlank="1" showInputMessage="1" showErrorMessage="1" sqref="E13" xr:uid="{FCE48EE7-D557-4F84-B7EE-DF22BC543A6B}">
      <formula1>"FALSE,TRUE"</formula1>
    </dataValidation>
  </dataValidations>
  <hyperlinks>
    <hyperlink ref="A78" r:id="rId1" xr:uid="{B12522DF-6389-49DF-9623-E2742E93AF29}"/>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66FF"/>
  </sheetPr>
  <dimension ref="A1:X115"/>
  <sheetViews>
    <sheetView zoomScaleNormal="100" workbookViewId="0">
      <selection activeCell="D13" sqref="D13"/>
    </sheetView>
  </sheetViews>
  <sheetFormatPr defaultRowHeight="15" x14ac:dyDescent="0.25"/>
  <cols>
    <col min="1" max="1" width="53.5703125" style="5" customWidth="1"/>
    <col min="2" max="2" width="79.85546875" style="2" customWidth="1"/>
    <col min="3" max="3" width="14.140625" style="2" bestFit="1" customWidth="1"/>
    <col min="4" max="4" width="8.7109375" style="2" customWidth="1"/>
    <col min="5" max="5" width="14.5703125" style="2" customWidth="1"/>
    <col min="6" max="6" width="55.7109375" style="2" customWidth="1"/>
    <col min="7" max="8" width="19" bestFit="1" customWidth="1"/>
    <col min="9" max="14" width="8.5703125" customWidth="1"/>
    <col min="15" max="15" width="4.42578125" customWidth="1"/>
    <col min="16" max="17" width="8.5703125" customWidth="1"/>
    <col min="18" max="18" width="6.140625" customWidth="1"/>
    <col min="20" max="20" width="14.42578125" customWidth="1"/>
    <col min="21" max="21" width="17.7109375" bestFit="1" customWidth="1"/>
    <col min="22" max="22" width="18.140625" bestFit="1" customWidth="1"/>
    <col min="23" max="23" width="21.42578125" bestFit="1" customWidth="1"/>
    <col min="24" max="24" width="15.140625" customWidth="1"/>
  </cols>
  <sheetData>
    <row r="1" spans="1:24" ht="15.75" thickBot="1" x14ac:dyDescent="0.3">
      <c r="A1" s="459"/>
      <c r="B1" s="124" t="s">
        <v>0</v>
      </c>
      <c r="C1" s="125" t="s">
        <v>1</v>
      </c>
      <c r="D1" s="125" t="s">
        <v>2</v>
      </c>
      <c r="E1" s="119" t="s">
        <v>3</v>
      </c>
      <c r="F1" s="120" t="s">
        <v>414</v>
      </c>
    </row>
    <row r="2" spans="1:24" ht="15.75" thickBot="1" x14ac:dyDescent="0.3">
      <c r="A2" s="460" t="s">
        <v>557</v>
      </c>
      <c r="B2" s="24" t="s">
        <v>558</v>
      </c>
      <c r="C2" s="24" t="s">
        <v>569</v>
      </c>
      <c r="D2" s="121" t="s">
        <v>17</v>
      </c>
      <c r="E2" s="703">
        <f>Inputs!E2*2.20462</f>
        <v>1212.2727926957896</v>
      </c>
      <c r="F2" s="126" t="s">
        <v>591</v>
      </c>
      <c r="P2" s="80" t="s">
        <v>598</v>
      </c>
    </row>
    <row r="3" spans="1:24" ht="15.75" thickBot="1" x14ac:dyDescent="0.3">
      <c r="A3" s="25"/>
      <c r="B3" s="2" t="s">
        <v>488</v>
      </c>
      <c r="C3" s="2" t="s">
        <v>490</v>
      </c>
      <c r="D3" s="2" t="s">
        <v>14</v>
      </c>
      <c r="E3" s="676">
        <f>Inputs!E3</f>
        <v>10</v>
      </c>
      <c r="F3" s="127" t="s">
        <v>592</v>
      </c>
      <c r="P3" s="758" t="str">
        <f>'Weight '!H10</f>
        <v xml:space="preserve">Sized Weight Summary - Composite Structure </v>
      </c>
      <c r="Q3" s="759">
        <f>'Weight '!I10</f>
        <v>0</v>
      </c>
      <c r="R3" s="759">
        <f>'Weight '!J10</f>
        <v>0</v>
      </c>
      <c r="S3" s="759">
        <f>'Weight '!K10</f>
        <v>0</v>
      </c>
      <c r="T3" s="759">
        <f>'Weight '!L10</f>
        <v>0</v>
      </c>
      <c r="U3" s="759">
        <f>'Weight '!M10</f>
        <v>0</v>
      </c>
      <c r="V3" s="759">
        <f>'Weight '!N10</f>
        <v>0</v>
      </c>
      <c r="W3" s="759">
        <f>'Weight '!O10</f>
        <v>0</v>
      </c>
      <c r="X3" s="760">
        <f>'Weight '!P10</f>
        <v>0</v>
      </c>
    </row>
    <row r="4" spans="1:24" ht="15.75" thickBot="1" x14ac:dyDescent="0.3">
      <c r="A4" s="28"/>
      <c r="B4" s="29" t="s">
        <v>489</v>
      </c>
      <c r="C4" s="29" t="s">
        <v>491</v>
      </c>
      <c r="D4" s="29" t="s">
        <v>14</v>
      </c>
      <c r="E4" s="676">
        <f>Inputs!E4</f>
        <v>-0.3</v>
      </c>
      <c r="F4" s="123" t="s">
        <v>593</v>
      </c>
      <c r="P4" s="761" t="str">
        <f>'Weight '!H11</f>
        <v>Wing Skins</v>
      </c>
      <c r="Q4" s="762">
        <f>'Weight '!I11</f>
        <v>0</v>
      </c>
      <c r="R4" s="762">
        <f>'Weight '!J11</f>
        <v>0</v>
      </c>
      <c r="S4" s="762">
        <f>'Weight '!K11</f>
        <v>0</v>
      </c>
      <c r="T4" s="762">
        <f>'Weight '!L11</f>
        <v>0</v>
      </c>
      <c r="U4" s="762">
        <f>'Weight '!M11</f>
        <v>0</v>
      </c>
      <c r="V4" s="335">
        <f>'Weight '!N11</f>
        <v>17.825755355321789</v>
      </c>
      <c r="W4" s="336"/>
      <c r="X4" s="336"/>
    </row>
    <row r="5" spans="1:24" x14ac:dyDescent="0.25">
      <c r="A5" s="273" t="s">
        <v>13</v>
      </c>
      <c r="B5" s="24" t="s">
        <v>9</v>
      </c>
      <c r="C5" s="24" t="s">
        <v>6</v>
      </c>
      <c r="D5" s="121" t="s">
        <v>7</v>
      </c>
      <c r="E5" s="711">
        <f>Inputs!E5*3.28084</f>
        <v>9.8425200000000004</v>
      </c>
      <c r="F5" s="126"/>
      <c r="P5" s="332"/>
      <c r="Q5" s="333" t="str">
        <f>'Weight '!I12</f>
        <v>Upper Wing Skin</v>
      </c>
      <c r="R5" s="333"/>
      <c r="S5" s="333"/>
      <c r="T5" s="333"/>
      <c r="U5" s="333"/>
      <c r="V5" s="337"/>
      <c r="W5" s="338">
        <f>'Weight '!O12</f>
        <v>8.9903809618144681</v>
      </c>
      <c r="X5" s="338"/>
    </row>
    <row r="6" spans="1:24" x14ac:dyDescent="0.25">
      <c r="B6" s="2" t="s">
        <v>587</v>
      </c>
      <c r="C6" s="2" t="s">
        <v>581</v>
      </c>
      <c r="D6" s="2" t="s">
        <v>14</v>
      </c>
      <c r="E6" s="704">
        <f>Inputs!E6</f>
        <v>0.25</v>
      </c>
      <c r="F6" s="18" t="s">
        <v>753</v>
      </c>
      <c r="P6" s="332"/>
      <c r="Q6" s="333"/>
      <c r="R6" s="333" t="str">
        <f>'Weight '!J13</f>
        <v>Upper Wing Skin Laminate</v>
      </c>
      <c r="S6" s="333"/>
      <c r="T6" s="333"/>
      <c r="U6" s="333"/>
      <c r="V6" s="337"/>
      <c r="W6" s="338"/>
      <c r="X6" s="338">
        <f>'Weight '!P13</f>
        <v>7.2558144868422882</v>
      </c>
    </row>
    <row r="7" spans="1:24" x14ac:dyDescent="0.25">
      <c r="B7" s="2" t="s">
        <v>587</v>
      </c>
      <c r="C7" s="2" t="s">
        <v>582</v>
      </c>
      <c r="D7" s="2" t="s">
        <v>14</v>
      </c>
      <c r="E7" s="704">
        <f>Inputs!E7</f>
        <v>0.5</v>
      </c>
      <c r="F7" s="18" t="s">
        <v>753</v>
      </c>
      <c r="P7" s="332"/>
      <c r="Q7" s="333"/>
      <c r="R7" s="333" t="str">
        <f>'Weight '!J14</f>
        <v>Upper Wing Skin Core</v>
      </c>
      <c r="S7" s="333"/>
      <c r="T7" s="333"/>
      <c r="U7" s="333"/>
      <c r="V7" s="337"/>
      <c r="W7" s="338"/>
      <c r="X7" s="338">
        <f>'Weight '!P14</f>
        <v>1.7345664749721796</v>
      </c>
    </row>
    <row r="8" spans="1:24" x14ac:dyDescent="0.25">
      <c r="B8" s="2" t="s">
        <v>587</v>
      </c>
      <c r="C8" s="2" t="s">
        <v>583</v>
      </c>
      <c r="D8" s="2" t="s">
        <v>14</v>
      </c>
      <c r="E8" s="704">
        <f>Inputs!E8</f>
        <v>0.75</v>
      </c>
      <c r="F8" s="18" t="s">
        <v>753</v>
      </c>
      <c r="P8" s="332"/>
      <c r="Q8" s="333" t="str">
        <f>'Weight '!I15</f>
        <v>Lower Wing Skin</v>
      </c>
      <c r="R8" s="333"/>
      <c r="S8" s="333"/>
      <c r="T8" s="333"/>
      <c r="U8" s="333"/>
      <c r="V8" s="337"/>
      <c r="W8" s="338">
        <f>'Weight '!O15</f>
        <v>8.835374393507319</v>
      </c>
      <c r="X8" s="338"/>
    </row>
    <row r="9" spans="1:24" x14ac:dyDescent="0.25">
      <c r="A9" s="143" t="s">
        <v>36</v>
      </c>
      <c r="B9" s="2" t="s">
        <v>8</v>
      </c>
      <c r="C9" s="2" t="s">
        <v>10</v>
      </c>
      <c r="D9" s="127" t="s">
        <v>7</v>
      </c>
      <c r="E9" s="552">
        <f>Inputs!E9*3.28084</f>
        <v>2.1325460000000001</v>
      </c>
      <c r="F9" s="18"/>
      <c r="P9" s="332"/>
      <c r="Q9" s="333"/>
      <c r="R9" s="333" t="str">
        <f>'Weight '!J16</f>
        <v>Lower Wing Skin Laminate</v>
      </c>
      <c r="S9" s="333"/>
      <c r="T9" s="333"/>
      <c r="U9" s="333"/>
      <c r="V9" s="337"/>
      <c r="W9" s="338"/>
      <c r="X9" s="338">
        <f>'Weight '!P16</f>
        <v>7.1307142370691468</v>
      </c>
    </row>
    <row r="10" spans="1:24" ht="15.75" thickBot="1" x14ac:dyDescent="0.3">
      <c r="A10" s="461" t="s">
        <v>144</v>
      </c>
      <c r="B10" s="7" t="s">
        <v>11</v>
      </c>
      <c r="C10" s="2" t="s">
        <v>12</v>
      </c>
      <c r="D10" s="127" t="s">
        <v>7</v>
      </c>
      <c r="E10" s="704">
        <f>Inputs!E10*3.28084</f>
        <v>1.1482939999999999</v>
      </c>
      <c r="F10" s="18" t="s">
        <v>594</v>
      </c>
      <c r="P10" s="331"/>
      <c r="Q10" s="330"/>
      <c r="R10" s="330" t="str">
        <f>'Weight '!J17</f>
        <v>Lower Wing Skin Core</v>
      </c>
      <c r="S10" s="330"/>
      <c r="T10" s="330"/>
      <c r="U10" s="330"/>
      <c r="V10" s="337"/>
      <c r="W10" s="338"/>
      <c r="X10" s="338">
        <f>'Weight '!P17</f>
        <v>1.7046601564381765</v>
      </c>
    </row>
    <row r="11" spans="1:24" ht="15.75" thickBot="1" x14ac:dyDescent="0.3">
      <c r="A11" s="460" t="s">
        <v>578</v>
      </c>
      <c r="B11" s="24" t="s">
        <v>18</v>
      </c>
      <c r="C11" s="24" t="s">
        <v>460</v>
      </c>
      <c r="D11" s="24" t="s">
        <v>14</v>
      </c>
      <c r="E11" s="705">
        <f>Inputs!E11</f>
        <v>0.18</v>
      </c>
      <c r="F11" s="121" t="s">
        <v>565</v>
      </c>
      <c r="P11" s="763" t="str">
        <f>'Weight '!H18</f>
        <v>Spar</v>
      </c>
      <c r="Q11" s="764">
        <f>'Weight '!I18</f>
        <v>0</v>
      </c>
      <c r="R11" s="764">
        <f>'Weight '!J18</f>
        <v>0</v>
      </c>
      <c r="S11" s="764">
        <f>'Weight '!K18</f>
        <v>0</v>
      </c>
      <c r="T11" s="764">
        <f>'Weight '!L18</f>
        <v>0</v>
      </c>
      <c r="U11" s="764">
        <f>'Weight '!M18</f>
        <v>0</v>
      </c>
      <c r="V11" s="339">
        <f>'Weight '!N18</f>
        <v>3.7400866287837844</v>
      </c>
      <c r="W11" s="340"/>
      <c r="X11" s="340"/>
    </row>
    <row r="12" spans="1:24" x14ac:dyDescent="0.25">
      <c r="A12" s="143" t="s">
        <v>584</v>
      </c>
      <c r="B12" s="7" t="s">
        <v>20</v>
      </c>
      <c r="C12" s="2" t="s">
        <v>461</v>
      </c>
      <c r="D12" s="6" t="s">
        <v>14</v>
      </c>
      <c r="E12" s="704">
        <f>Inputs!E12</f>
        <v>0.25</v>
      </c>
      <c r="F12" s="127" t="s">
        <v>565</v>
      </c>
      <c r="P12" s="332"/>
      <c r="Q12" s="333" t="str">
        <f>'Weight '!I19</f>
        <v>Upper Cap</v>
      </c>
      <c r="R12" s="334"/>
      <c r="S12" s="333"/>
      <c r="T12" s="333"/>
      <c r="U12" s="333"/>
      <c r="V12" s="337"/>
      <c r="W12" s="338">
        <f>'Weight '!O19</f>
        <v>1.13833083492537</v>
      </c>
      <c r="X12" s="338"/>
    </row>
    <row r="13" spans="1:24" ht="15.75" thickBot="1" x14ac:dyDescent="0.3">
      <c r="A13" s="463" t="s">
        <v>458</v>
      </c>
      <c r="B13" s="276" t="s">
        <v>449</v>
      </c>
      <c r="C13" s="29" t="s">
        <v>448</v>
      </c>
      <c r="D13" s="277"/>
      <c r="E13" s="706" t="b">
        <f>Inputs!E13</f>
        <v>1</v>
      </c>
      <c r="F13" s="123" t="s">
        <v>565</v>
      </c>
      <c r="P13" s="332"/>
      <c r="Q13" s="333" t="str">
        <f>'Weight '!I20</f>
        <v>Lower Cap</v>
      </c>
      <c r="R13" s="334"/>
      <c r="S13" s="333"/>
      <c r="T13" s="333"/>
      <c r="U13" s="333"/>
      <c r="V13" s="337"/>
      <c r="W13" s="338">
        <f>'Weight '!O20</f>
        <v>1.13833083492537</v>
      </c>
      <c r="X13" s="338"/>
    </row>
    <row r="14" spans="1:24" x14ac:dyDescent="0.25">
      <c r="A14" s="460" t="s">
        <v>579</v>
      </c>
      <c r="B14" s="24" t="s">
        <v>19</v>
      </c>
      <c r="C14" s="24" t="s">
        <v>16</v>
      </c>
      <c r="D14" s="678" t="s">
        <v>14</v>
      </c>
      <c r="E14" s="705">
        <f>Inputs!E14</f>
        <v>0.09</v>
      </c>
      <c r="F14" s="121" t="s">
        <v>565</v>
      </c>
      <c r="P14" s="332"/>
      <c r="Q14" s="333" t="str">
        <f>'Weight '!I21</f>
        <v>Web</v>
      </c>
      <c r="R14" s="333"/>
      <c r="S14" s="333"/>
      <c r="T14" s="333"/>
      <c r="U14" s="333"/>
      <c r="V14" s="337"/>
      <c r="W14" s="338">
        <f>'Weight '!O21</f>
        <v>1.4634249589330446</v>
      </c>
      <c r="X14" s="340"/>
    </row>
    <row r="15" spans="1:24" ht="15.75" thickBot="1" x14ac:dyDescent="0.3">
      <c r="A15" s="28"/>
      <c r="B15" s="276" t="s">
        <v>21</v>
      </c>
      <c r="C15" s="29" t="s">
        <v>15</v>
      </c>
      <c r="D15" s="277" t="s">
        <v>14</v>
      </c>
      <c r="E15" s="706">
        <f>Inputs!E15</f>
        <v>0.75</v>
      </c>
      <c r="F15" s="123" t="s">
        <v>565</v>
      </c>
      <c r="P15" s="332"/>
      <c r="Q15" s="333"/>
      <c r="R15" s="333" t="str">
        <f>'Weight '!J22</f>
        <v>Web Laminate</v>
      </c>
      <c r="S15" s="333"/>
      <c r="T15" s="333"/>
      <c r="U15" s="333"/>
      <c r="V15" s="337"/>
      <c r="W15" s="340"/>
      <c r="X15" s="338">
        <f>'Weight '!P22</f>
        <v>1.1610388493114576</v>
      </c>
    </row>
    <row r="16" spans="1:24" ht="15.75" thickBot="1" x14ac:dyDescent="0.3">
      <c r="A16" s="460" t="s">
        <v>29</v>
      </c>
      <c r="B16" s="2" t="s">
        <v>25</v>
      </c>
      <c r="C16" s="2" t="s">
        <v>27</v>
      </c>
      <c r="D16" s="2" t="s">
        <v>14</v>
      </c>
      <c r="E16" s="704">
        <f>Inputs!E16</f>
        <v>1.5</v>
      </c>
      <c r="F16" s="127" t="s">
        <v>562</v>
      </c>
      <c r="P16" s="332"/>
      <c r="Q16" s="333"/>
      <c r="R16" s="333" t="str">
        <f>'Weight '!J23</f>
        <v>Web Core</v>
      </c>
      <c r="S16" s="333"/>
      <c r="T16" s="333"/>
      <c r="U16" s="333"/>
      <c r="V16" s="337"/>
      <c r="W16" s="340"/>
      <c r="X16" s="338">
        <f>'Weight '!P23</f>
        <v>0.3023861096215868</v>
      </c>
    </row>
    <row r="17" spans="1:24" ht="15.75" thickBot="1" x14ac:dyDescent="0.3">
      <c r="A17" s="28"/>
      <c r="B17" s="29" t="s">
        <v>447</v>
      </c>
      <c r="C17" s="29" t="s">
        <v>28</v>
      </c>
      <c r="D17" s="29" t="s">
        <v>14</v>
      </c>
      <c r="E17" s="706">
        <f>Inputs!E17</f>
        <v>1.8</v>
      </c>
      <c r="F17" s="123" t="s">
        <v>564</v>
      </c>
      <c r="P17" s="765" t="str">
        <f>'Weight '!H24</f>
        <v>Aft Web</v>
      </c>
      <c r="Q17" s="766">
        <f>'Weight '!I24</f>
        <v>0</v>
      </c>
      <c r="R17" s="766">
        <f>'Weight '!J24</f>
        <v>0</v>
      </c>
      <c r="S17" s="766">
        <f>'Weight '!K24</f>
        <v>0</v>
      </c>
      <c r="T17" s="766">
        <f>'Weight '!L24</f>
        <v>0</v>
      </c>
      <c r="U17" s="766">
        <f>'Weight '!M24</f>
        <v>0</v>
      </c>
      <c r="V17" s="339">
        <f>'Weight '!N24</f>
        <v>0.6932352292904308</v>
      </c>
      <c r="W17" s="340"/>
      <c r="X17" s="340"/>
    </row>
    <row r="18" spans="1:24" x14ac:dyDescent="0.25">
      <c r="A18" s="156" t="s">
        <v>62</v>
      </c>
      <c r="B18" s="2" t="s">
        <v>32</v>
      </c>
      <c r="C18" s="2" t="s">
        <v>43</v>
      </c>
      <c r="D18" s="127" t="s">
        <v>5</v>
      </c>
      <c r="E18" s="707">
        <f>Inputs!E18*145.038</f>
        <v>58015.200000000004</v>
      </c>
      <c r="F18" s="18" t="s">
        <v>494</v>
      </c>
      <c r="P18" s="466"/>
      <c r="Q18" s="467" t="str">
        <f>'Weight '!I25</f>
        <v>Upper Cap</v>
      </c>
      <c r="R18" s="468"/>
      <c r="S18" s="467"/>
      <c r="T18" s="467"/>
      <c r="U18" s="467"/>
      <c r="V18" s="341"/>
      <c r="W18" s="338">
        <f>'Weight '!O25</f>
        <v>1.8040582143018735E-2</v>
      </c>
      <c r="X18" s="338"/>
    </row>
    <row r="19" spans="1:24" x14ac:dyDescent="0.25">
      <c r="A19" s="143" t="s">
        <v>455</v>
      </c>
      <c r="B19" s="2" t="s">
        <v>33</v>
      </c>
      <c r="C19" s="2" t="s">
        <v>44</v>
      </c>
      <c r="D19" s="127" t="s">
        <v>5</v>
      </c>
      <c r="E19" s="707">
        <f>Inputs!E19*145.038</f>
        <v>58015.200000000004</v>
      </c>
      <c r="F19" s="18" t="s">
        <v>494</v>
      </c>
      <c r="P19" s="332"/>
      <c r="Q19" s="333" t="str">
        <f>'Weight '!I26</f>
        <v>Lower Cap</v>
      </c>
      <c r="R19" s="334"/>
      <c r="S19" s="333"/>
      <c r="T19" s="333"/>
      <c r="U19" s="440"/>
      <c r="V19" s="341"/>
      <c r="W19" s="338">
        <f>'Weight '!O26</f>
        <v>1.8040582143018735E-2</v>
      </c>
      <c r="X19" s="338"/>
    </row>
    <row r="20" spans="1:24" x14ac:dyDescent="0.25">
      <c r="A20" s="25"/>
      <c r="B20" s="2" t="s">
        <v>31</v>
      </c>
      <c r="C20" s="2" t="s">
        <v>37</v>
      </c>
      <c r="D20" s="127" t="s">
        <v>5</v>
      </c>
      <c r="E20" s="707">
        <f>Inputs!E20*145.038*1000</f>
        <v>15954180</v>
      </c>
      <c r="F20" s="18" t="s">
        <v>494</v>
      </c>
      <c r="P20" s="332"/>
      <c r="Q20" s="333" t="str">
        <f>'Weight '!I27</f>
        <v>Web Laminate</v>
      </c>
      <c r="R20" s="334"/>
      <c r="S20" s="333"/>
      <c r="T20" s="333"/>
      <c r="U20" s="440"/>
      <c r="V20" s="341"/>
      <c r="W20" s="338">
        <f>'Weight '!O27</f>
        <v>0.50596101019360007</v>
      </c>
      <c r="X20" s="338"/>
    </row>
    <row r="21" spans="1:24" ht="15.75" thickBot="1" x14ac:dyDescent="0.3">
      <c r="A21" s="143" t="s">
        <v>457</v>
      </c>
      <c r="B21" s="2" t="s">
        <v>454</v>
      </c>
      <c r="C21" s="2" t="s">
        <v>456</v>
      </c>
      <c r="D21" s="127" t="s">
        <v>4</v>
      </c>
      <c r="E21" s="708">
        <f>Inputs!E21/25.4</f>
        <v>0.11811023622047245</v>
      </c>
      <c r="F21" s="18" t="s">
        <v>563</v>
      </c>
      <c r="P21" s="331"/>
      <c r="Q21" s="330" t="str">
        <f>'Weight '!I28</f>
        <v>Core</v>
      </c>
      <c r="R21" s="469"/>
      <c r="S21" s="330"/>
      <c r="T21" s="330"/>
      <c r="U21" s="330"/>
      <c r="V21" s="341"/>
      <c r="W21" s="338">
        <f>'Weight '!O28</f>
        <v>0.1511930548107934</v>
      </c>
      <c r="X21" s="338"/>
    </row>
    <row r="22" spans="1:24" ht="15.75" thickBot="1" x14ac:dyDescent="0.3">
      <c r="A22" s="25"/>
      <c r="B22" s="2" t="s">
        <v>30</v>
      </c>
      <c r="C22" s="2" t="s">
        <v>38</v>
      </c>
      <c r="D22" s="127" t="s">
        <v>39</v>
      </c>
      <c r="E22" s="709">
        <f>Inputs!E22/27679.9</f>
        <v>6.141640685118082E-2</v>
      </c>
      <c r="F22" s="18" t="s">
        <v>494</v>
      </c>
      <c r="P22" s="470" t="str">
        <f>'Weight '!H29</f>
        <v>Bond Allowance</v>
      </c>
      <c r="Q22" s="471"/>
      <c r="R22" s="471"/>
      <c r="S22" s="471"/>
      <c r="T22" s="471"/>
      <c r="U22" s="472"/>
      <c r="V22" s="473">
        <f>'Weight '!N29</f>
        <v>1.1129538606698013</v>
      </c>
      <c r="W22" s="342"/>
      <c r="X22" s="342"/>
    </row>
    <row r="23" spans="1:24" ht="15.75" thickBot="1" x14ac:dyDescent="0.3">
      <c r="A23" s="460" t="s">
        <v>41</v>
      </c>
      <c r="B23" s="24" t="s">
        <v>212</v>
      </c>
      <c r="C23" s="24" t="s">
        <v>47</v>
      </c>
      <c r="D23" s="24" t="s">
        <v>5</v>
      </c>
      <c r="E23" s="710">
        <f>Inputs!E23*145.038</f>
        <v>58015.200000000004</v>
      </c>
      <c r="F23" s="121" t="s">
        <v>122</v>
      </c>
      <c r="P23" s="767" t="str">
        <f>'Weight '!H30</f>
        <v>Total - Right Wing</v>
      </c>
      <c r="Q23" s="768">
        <f>'Weight '!I30</f>
        <v>0</v>
      </c>
      <c r="R23" s="768">
        <f>'Weight '!J30</f>
        <v>0</v>
      </c>
      <c r="S23" s="768">
        <f>'Weight '!K30</f>
        <v>0</v>
      </c>
      <c r="T23" s="768">
        <f>'Weight '!L30</f>
        <v>0</v>
      </c>
      <c r="U23" s="769">
        <f>'Weight '!M30</f>
        <v>0</v>
      </c>
      <c r="V23" s="474">
        <f>'Weight '!N30</f>
        <v>23.372031074065806</v>
      </c>
      <c r="W23" s="160" t="str">
        <f>'Weight '!O30</f>
        <v>[lb]</v>
      </c>
      <c r="X23" s="146"/>
    </row>
    <row r="24" spans="1:24" x14ac:dyDescent="0.25">
      <c r="A24" s="25"/>
      <c r="B24" s="2" t="s">
        <v>213</v>
      </c>
      <c r="C24" s="2" t="s">
        <v>48</v>
      </c>
      <c r="D24" s="2" t="s">
        <v>5</v>
      </c>
      <c r="E24" s="707">
        <f>Inputs!E24*145.038*1000</f>
        <v>3770988.0000000005</v>
      </c>
      <c r="F24" s="127" t="s">
        <v>122</v>
      </c>
    </row>
    <row r="25" spans="1:24" ht="15.75" thickBot="1" x14ac:dyDescent="0.3">
      <c r="A25" s="25"/>
      <c r="B25" s="2" t="s">
        <v>214</v>
      </c>
      <c r="C25" s="2" t="s">
        <v>46</v>
      </c>
      <c r="D25" s="2" t="s">
        <v>5</v>
      </c>
      <c r="E25" s="707">
        <f>Inputs!E25*145.038*1000</f>
        <v>2175570</v>
      </c>
      <c r="F25" s="127" t="s">
        <v>122</v>
      </c>
      <c r="P25" s="80" t="s">
        <v>443</v>
      </c>
    </row>
    <row r="26" spans="1:24" x14ac:dyDescent="0.25">
      <c r="A26" s="25"/>
      <c r="B26" s="2" t="s">
        <v>216</v>
      </c>
      <c r="C26" s="2" t="s">
        <v>215</v>
      </c>
      <c r="D26" s="2" t="s">
        <v>5</v>
      </c>
      <c r="E26" s="707">
        <f>Inputs!E26*145.038*1000</f>
        <v>7687014.0000000009</v>
      </c>
      <c r="F26" s="127" t="s">
        <v>121</v>
      </c>
      <c r="P26" s="475"/>
      <c r="Q26" s="476"/>
      <c r="R26" s="476"/>
      <c r="S26" s="476"/>
      <c r="T26" s="477" t="s">
        <v>438</v>
      </c>
      <c r="U26" s="478" t="s">
        <v>436</v>
      </c>
      <c r="V26" s="479">
        <f>'Laminate Zones'!F28</f>
        <v>0.41283788277202987</v>
      </c>
    </row>
    <row r="27" spans="1:24" x14ac:dyDescent="0.25">
      <c r="A27" s="25"/>
      <c r="B27" s="2" t="s">
        <v>49</v>
      </c>
      <c r="C27" s="2" t="s">
        <v>51</v>
      </c>
      <c r="D27" s="2" t="s">
        <v>39</v>
      </c>
      <c r="E27" s="709">
        <f>Inputs!E27/27679.9</f>
        <v>6.141640685118082E-2</v>
      </c>
      <c r="F27" s="127" t="s">
        <v>121</v>
      </c>
      <c r="P27" s="480"/>
      <c r="Q27" s="481"/>
      <c r="R27" s="481"/>
      <c r="S27" s="481"/>
      <c r="T27" s="482" t="s">
        <v>437</v>
      </c>
      <c r="U27" s="483" t="s">
        <v>436</v>
      </c>
      <c r="V27" s="484">
        <f>'Laminate Zones'!F41</f>
        <v>0.41283788277202987</v>
      </c>
    </row>
    <row r="28" spans="1:24" ht="15.75" thickBot="1" x14ac:dyDescent="0.3">
      <c r="A28" s="28"/>
      <c r="B28" s="29" t="s">
        <v>50</v>
      </c>
      <c r="C28" s="29" t="s">
        <v>52</v>
      </c>
      <c r="D28" s="29" t="s">
        <v>4</v>
      </c>
      <c r="E28" s="676">
        <f>Inputs!E28/25.4</f>
        <v>7.8740157480314977E-3</v>
      </c>
      <c r="F28" s="127" t="s">
        <v>121</v>
      </c>
      <c r="P28" s="485"/>
      <c r="Q28" s="486"/>
      <c r="R28" s="486"/>
      <c r="S28" s="486"/>
      <c r="T28" s="487" t="s">
        <v>446</v>
      </c>
      <c r="U28" s="488" t="s">
        <v>4</v>
      </c>
      <c r="V28" s="489">
        <f>MIN(Sizing!DY60:DY160)</f>
        <v>2.3544753702255798</v>
      </c>
    </row>
    <row r="29" spans="1:24" ht="15.75" thickBot="1" x14ac:dyDescent="0.3">
      <c r="A29" s="460" t="s">
        <v>61</v>
      </c>
      <c r="B29" s="24" t="s">
        <v>53</v>
      </c>
      <c r="C29" s="24" t="s">
        <v>54</v>
      </c>
      <c r="D29" s="24" t="s">
        <v>5</v>
      </c>
      <c r="E29" s="710">
        <f>Inputs!E29*145.038</f>
        <v>8267.1660000000011</v>
      </c>
      <c r="F29" s="121" t="s">
        <v>105</v>
      </c>
    </row>
    <row r="30" spans="1:24" x14ac:dyDescent="0.25">
      <c r="A30" s="25"/>
      <c r="B30" s="2" t="s">
        <v>203</v>
      </c>
      <c r="C30" s="2" t="s">
        <v>204</v>
      </c>
      <c r="D30" s="2" t="s">
        <v>5</v>
      </c>
      <c r="E30" s="707">
        <f>Inputs!E30*145.038</f>
        <v>2610.6840000000002</v>
      </c>
      <c r="F30" s="127" t="s">
        <v>105</v>
      </c>
      <c r="P30" s="158"/>
      <c r="Q30" s="490"/>
      <c r="R30" s="490"/>
      <c r="S30" s="490"/>
      <c r="T30" s="490"/>
      <c r="U30" s="491" t="s">
        <v>439</v>
      </c>
      <c r="V30" s="491" t="s">
        <v>441</v>
      </c>
      <c r="W30" s="492" t="s">
        <v>442</v>
      </c>
    </row>
    <row r="31" spans="1:24" ht="15.75" thickBot="1" x14ac:dyDescent="0.3">
      <c r="A31" s="25"/>
      <c r="B31" s="2" t="s">
        <v>55</v>
      </c>
      <c r="C31" s="2" t="s">
        <v>422</v>
      </c>
      <c r="D31" s="2" t="s">
        <v>5</v>
      </c>
      <c r="E31" s="707">
        <f>Inputs!E31*145.038</f>
        <v>116.03040000000001</v>
      </c>
      <c r="F31" s="127" t="s">
        <v>105</v>
      </c>
      <c r="P31" s="493" t="s">
        <v>444</v>
      </c>
      <c r="U31" s="14" t="s">
        <v>440</v>
      </c>
      <c r="V31" s="14" t="s">
        <v>440</v>
      </c>
      <c r="W31" s="494" t="s">
        <v>4</v>
      </c>
    </row>
    <row r="32" spans="1:24" x14ac:dyDescent="0.25">
      <c r="A32" s="25"/>
      <c r="B32" s="2" t="s">
        <v>56</v>
      </c>
      <c r="C32" s="2" t="s">
        <v>57</v>
      </c>
      <c r="D32" s="2" t="s">
        <v>5</v>
      </c>
      <c r="E32" s="707">
        <f>Inputs!E32*145.038</f>
        <v>101.5266</v>
      </c>
      <c r="F32" s="127" t="s">
        <v>105</v>
      </c>
      <c r="P32" s="495">
        <v>0</v>
      </c>
      <c r="Q32" s="496"/>
      <c r="R32" s="496"/>
      <c r="S32" s="496"/>
      <c r="T32" s="497" t="s">
        <v>424</v>
      </c>
      <c r="U32" s="126">
        <f>'Laminate Zones'!F7</f>
        <v>3</v>
      </c>
      <c r="V32" s="126">
        <f>'Laminate Zones'!G7</f>
        <v>2</v>
      </c>
      <c r="W32" s="121">
        <f>'Laminate Zones'!H7</f>
        <v>0.25</v>
      </c>
    </row>
    <row r="33" spans="1:23" ht="15.75" thickBot="1" x14ac:dyDescent="0.3">
      <c r="A33" s="28"/>
      <c r="B33" s="29" t="s">
        <v>58</v>
      </c>
      <c r="C33" s="29" t="s">
        <v>59</v>
      </c>
      <c r="D33" s="29" t="s">
        <v>39</v>
      </c>
      <c r="E33" s="677">
        <f>Inputs!E33/27679.9</f>
        <v>2.312147081456219E-3</v>
      </c>
      <c r="F33" s="123" t="s">
        <v>105</v>
      </c>
      <c r="P33" s="498">
        <f>E5*E6</f>
        <v>2.4606300000000001</v>
      </c>
      <c r="Q33" s="499"/>
      <c r="R33" s="499"/>
      <c r="S33" s="499"/>
      <c r="T33" s="500" t="s">
        <v>425</v>
      </c>
      <c r="U33" s="18">
        <f>'Laminate Zones'!F8</f>
        <v>3</v>
      </c>
      <c r="V33" s="18">
        <f>'Laminate Zones'!G8</f>
        <v>2</v>
      </c>
      <c r="W33" s="127">
        <f>'Laminate Zones'!H8</f>
        <v>0.25</v>
      </c>
    </row>
    <row r="34" spans="1:23" x14ac:dyDescent="0.25">
      <c r="A34" s="460" t="s">
        <v>63</v>
      </c>
      <c r="B34" s="24" t="s">
        <v>396</v>
      </c>
      <c r="C34" s="24" t="s">
        <v>34</v>
      </c>
      <c r="D34" s="24" t="s">
        <v>14</v>
      </c>
      <c r="E34" s="711">
        <f>Inputs!E34</f>
        <v>1.25</v>
      </c>
      <c r="F34" s="121" t="s">
        <v>563</v>
      </c>
      <c r="P34" s="498">
        <f>E5*E7</f>
        <v>4.9212600000000002</v>
      </c>
      <c r="Q34" s="499"/>
      <c r="R34" s="499"/>
      <c r="S34" s="499"/>
      <c r="T34" s="500" t="s">
        <v>426</v>
      </c>
      <c r="U34" s="18">
        <f>'Laminate Zones'!F9</f>
        <v>3</v>
      </c>
      <c r="V34" s="18">
        <f>'Laminate Zones'!G9</f>
        <v>2</v>
      </c>
      <c r="W34" s="127">
        <f>'Laminate Zones'!H9</f>
        <v>0.25</v>
      </c>
    </row>
    <row r="35" spans="1:23" ht="15.75" thickBot="1" x14ac:dyDescent="0.3">
      <c r="A35" s="128"/>
      <c r="B35" s="2" t="s">
        <v>35</v>
      </c>
      <c r="C35" s="2" t="s">
        <v>34</v>
      </c>
      <c r="D35" s="2" t="s">
        <v>14</v>
      </c>
      <c r="E35" s="552">
        <f>Inputs!E35</f>
        <v>1.05</v>
      </c>
      <c r="F35" s="127" t="s">
        <v>563</v>
      </c>
      <c r="P35" s="501">
        <f>E8*E5</f>
        <v>7.3818900000000003</v>
      </c>
      <c r="Q35" s="502"/>
      <c r="R35" s="502"/>
      <c r="S35" s="502"/>
      <c r="T35" s="503" t="s">
        <v>427</v>
      </c>
      <c r="U35" s="30">
        <f>'Laminate Zones'!F10</f>
        <v>3</v>
      </c>
      <c r="V35" s="30">
        <f>'Laminate Zones'!G10</f>
        <v>2</v>
      </c>
      <c r="W35" s="123">
        <f>'Laminate Zones'!H10</f>
        <v>0.25</v>
      </c>
    </row>
    <row r="36" spans="1:23" x14ac:dyDescent="0.25">
      <c r="A36" s="128"/>
      <c r="B36" s="2" t="s">
        <v>164</v>
      </c>
      <c r="C36" s="2" t="s">
        <v>165</v>
      </c>
      <c r="D36" s="6" t="s">
        <v>14</v>
      </c>
      <c r="E36" s="552">
        <f>Inputs!E36</f>
        <v>3</v>
      </c>
      <c r="F36" s="127" t="s">
        <v>563</v>
      </c>
      <c r="P36" s="504">
        <f>P32</f>
        <v>0</v>
      </c>
      <c r="Q36" s="476"/>
      <c r="R36" s="476"/>
      <c r="S36" s="476"/>
      <c r="T36" s="477" t="s">
        <v>428</v>
      </c>
      <c r="U36" s="126">
        <f>'Laminate Zones'!F21</f>
        <v>3</v>
      </c>
      <c r="V36" s="126">
        <f>'Laminate Zones'!G21</f>
        <v>3</v>
      </c>
      <c r="W36" s="121">
        <f>'Laminate Zones'!H21</f>
        <v>0.25</v>
      </c>
    </row>
    <row r="37" spans="1:23" x14ac:dyDescent="0.25">
      <c r="A37" s="128"/>
      <c r="B37" s="2" t="s">
        <v>167</v>
      </c>
      <c r="C37" s="2" t="s">
        <v>166</v>
      </c>
      <c r="D37" s="6" t="s">
        <v>14</v>
      </c>
      <c r="E37" s="552">
        <f>Inputs!E37</f>
        <v>2</v>
      </c>
      <c r="F37" s="127" t="s">
        <v>563</v>
      </c>
      <c r="P37" s="505">
        <f>P33</f>
        <v>2.4606300000000001</v>
      </c>
      <c r="Q37" s="481"/>
      <c r="R37" s="481"/>
      <c r="S37" s="481"/>
      <c r="T37" s="482" t="s">
        <v>429</v>
      </c>
      <c r="U37" s="18">
        <f>'Laminate Zones'!F22</f>
        <v>2</v>
      </c>
      <c r="V37" s="18">
        <f>'Laminate Zones'!G22</f>
        <v>2</v>
      </c>
      <c r="W37" s="127">
        <f>'Laminate Zones'!H22</f>
        <v>0.25</v>
      </c>
    </row>
    <row r="38" spans="1:23" ht="15.75" thickBot="1" x14ac:dyDescent="0.3">
      <c r="A38" s="28"/>
      <c r="B38" s="29" t="s">
        <v>219</v>
      </c>
      <c r="C38" s="29" t="s">
        <v>168</v>
      </c>
      <c r="D38" s="29" t="s">
        <v>4</v>
      </c>
      <c r="E38" s="677">
        <f>Inputs!E38/2.54</f>
        <v>0.25</v>
      </c>
      <c r="F38" s="123" t="s">
        <v>563</v>
      </c>
      <c r="P38" s="505">
        <f>P34</f>
        <v>4.9212600000000002</v>
      </c>
      <c r="Q38" s="481"/>
      <c r="R38" s="481"/>
      <c r="S38" s="481"/>
      <c r="T38" s="482" t="s">
        <v>430</v>
      </c>
      <c r="U38" s="18">
        <f>'Laminate Zones'!F23</f>
        <v>2</v>
      </c>
      <c r="V38" s="18">
        <f>'Laminate Zones'!G23</f>
        <v>2</v>
      </c>
      <c r="W38" s="127">
        <f>'Laminate Zones'!H23</f>
        <v>0.25</v>
      </c>
    </row>
    <row r="39" spans="1:23" ht="15.75" thickBot="1" x14ac:dyDescent="0.3">
      <c r="P39" s="506">
        <f>P35</f>
        <v>7.3818900000000003</v>
      </c>
      <c r="Q39" s="486"/>
      <c r="R39" s="486"/>
      <c r="S39" s="486"/>
      <c r="T39" s="487" t="s">
        <v>431</v>
      </c>
      <c r="U39" s="30">
        <f>'Laminate Zones'!F24</f>
        <v>2</v>
      </c>
      <c r="V39" s="30">
        <f>'Laminate Zones'!G24</f>
        <v>2</v>
      </c>
      <c r="W39" s="123">
        <f>'Laminate Zones'!H24</f>
        <v>0.25</v>
      </c>
    </row>
    <row r="40" spans="1:23" x14ac:dyDescent="0.25">
      <c r="A40"/>
      <c r="B40"/>
      <c r="C40"/>
      <c r="D40"/>
      <c r="E40"/>
      <c r="F40"/>
      <c r="P40" s="512">
        <f>P32</f>
        <v>0</v>
      </c>
      <c r="Q40" s="513"/>
      <c r="R40" s="513"/>
      <c r="S40" s="513"/>
      <c r="T40" s="514" t="s">
        <v>432</v>
      </c>
      <c r="U40" s="18">
        <f>'Laminate Zones'!F54</f>
        <v>2</v>
      </c>
      <c r="V40" s="18">
        <f>'Laminate Zones'!G54</f>
        <v>2</v>
      </c>
      <c r="W40" s="127">
        <f>'Laminate Zones'!H54</f>
        <v>0.25</v>
      </c>
    </row>
    <row r="41" spans="1:23" x14ac:dyDescent="0.25">
      <c r="A41"/>
      <c r="B41"/>
      <c r="C41"/>
      <c r="D41"/>
      <c r="E41"/>
      <c r="F41"/>
      <c r="P41" s="512">
        <f>P33</f>
        <v>2.4606300000000001</v>
      </c>
      <c r="Q41" s="513"/>
      <c r="R41" s="513"/>
      <c r="S41" s="513"/>
      <c r="T41" s="514" t="s">
        <v>433</v>
      </c>
      <c r="U41" s="18">
        <f>'Laminate Zones'!F55</f>
        <v>2</v>
      </c>
      <c r="V41" s="18">
        <f>'Laminate Zones'!G55</f>
        <v>2</v>
      </c>
      <c r="W41" s="127">
        <f>'Laminate Zones'!H55</f>
        <v>0.25</v>
      </c>
    </row>
    <row r="42" spans="1:23" x14ac:dyDescent="0.25">
      <c r="A42"/>
      <c r="B42"/>
      <c r="C42"/>
      <c r="D42"/>
      <c r="E42"/>
      <c r="F42"/>
      <c r="P42" s="512">
        <f>P34</f>
        <v>4.9212600000000002</v>
      </c>
      <c r="Q42" s="513"/>
      <c r="R42" s="513"/>
      <c r="S42" s="513"/>
      <c r="T42" s="514" t="s">
        <v>434</v>
      </c>
      <c r="U42" s="18">
        <f>'Laminate Zones'!F56</f>
        <v>2</v>
      </c>
      <c r="V42" s="18">
        <f>'Laminate Zones'!G56</f>
        <v>2</v>
      </c>
      <c r="W42" s="127">
        <f>'Laminate Zones'!H56</f>
        <v>0.25</v>
      </c>
    </row>
    <row r="43" spans="1:23" ht="15.75" thickBot="1" x14ac:dyDescent="0.3">
      <c r="A43"/>
      <c r="B43"/>
      <c r="C43"/>
      <c r="D43"/>
      <c r="E43"/>
      <c r="F43"/>
      <c r="P43" s="518">
        <f>P35</f>
        <v>7.3818900000000003</v>
      </c>
      <c r="Q43" s="519"/>
      <c r="R43" s="519"/>
      <c r="S43" s="519"/>
      <c r="T43" s="520" t="s">
        <v>435</v>
      </c>
      <c r="U43" s="30">
        <f>'Laminate Zones'!F57</f>
        <v>2</v>
      </c>
      <c r="V43" s="30">
        <f>'Laminate Zones'!G57</f>
        <v>2</v>
      </c>
      <c r="W43" s="123">
        <f>'Laminate Zones'!H57</f>
        <v>0.25</v>
      </c>
    </row>
    <row r="44" spans="1:23" x14ac:dyDescent="0.25">
      <c r="A44"/>
      <c r="B44"/>
      <c r="C44"/>
      <c r="D44"/>
      <c r="E44"/>
      <c r="F44"/>
    </row>
    <row r="45" spans="1:23" x14ac:dyDescent="0.25">
      <c r="A45"/>
      <c r="B45"/>
      <c r="C45"/>
      <c r="D45"/>
      <c r="E45"/>
      <c r="F45"/>
    </row>
    <row r="46" spans="1:23" x14ac:dyDescent="0.25">
      <c r="A46"/>
      <c r="B46"/>
      <c r="C46"/>
      <c r="D46"/>
      <c r="E46"/>
      <c r="F46"/>
      <c r="T46" s="524"/>
    </row>
    <row r="47" spans="1:23" x14ac:dyDescent="0.25">
      <c r="A47"/>
      <c r="B47"/>
      <c r="C47"/>
      <c r="D47"/>
      <c r="E47"/>
      <c r="F47"/>
    </row>
    <row r="48" spans="1:23" x14ac:dyDescent="0.25">
      <c r="A48"/>
      <c r="B48"/>
      <c r="C48"/>
      <c r="D48"/>
      <c r="E48"/>
      <c r="F48"/>
    </row>
    <row r="49" spans="1:12" x14ac:dyDescent="0.25">
      <c r="A49"/>
      <c r="B49"/>
      <c r="C49"/>
      <c r="D49"/>
      <c r="E49"/>
      <c r="F49"/>
      <c r="L49" s="2"/>
    </row>
    <row r="50" spans="1:12" x14ac:dyDescent="0.25">
      <c r="A50"/>
      <c r="B50"/>
      <c r="C50"/>
      <c r="D50"/>
      <c r="E50"/>
      <c r="F50"/>
    </row>
    <row r="51" spans="1:12" x14ac:dyDescent="0.25">
      <c r="A51"/>
      <c r="B51"/>
      <c r="C51"/>
      <c r="D51"/>
      <c r="E51"/>
      <c r="F51"/>
    </row>
    <row r="52" spans="1:12" x14ac:dyDescent="0.25">
      <c r="A52"/>
      <c r="B52"/>
      <c r="C52"/>
      <c r="D52"/>
      <c r="E52"/>
      <c r="F52"/>
    </row>
    <row r="53" spans="1:12" x14ac:dyDescent="0.25">
      <c r="A53"/>
      <c r="B53"/>
      <c r="C53"/>
      <c r="D53"/>
      <c r="E53"/>
      <c r="F53"/>
    </row>
    <row r="54" spans="1:12" x14ac:dyDescent="0.25">
      <c r="A54"/>
      <c r="B54"/>
      <c r="C54"/>
      <c r="D54"/>
      <c r="E54"/>
      <c r="F54"/>
    </row>
    <row r="55" spans="1:12" x14ac:dyDescent="0.25">
      <c r="A55"/>
      <c r="B55"/>
      <c r="C55"/>
      <c r="D55"/>
      <c r="E55"/>
      <c r="F55"/>
    </row>
    <row r="56" spans="1:12" x14ac:dyDescent="0.25">
      <c r="A56"/>
      <c r="B56"/>
      <c r="C56"/>
      <c r="D56"/>
      <c r="E56"/>
      <c r="F56"/>
    </row>
    <row r="57" spans="1:12" x14ac:dyDescent="0.25">
      <c r="A57"/>
      <c r="B57"/>
      <c r="C57"/>
      <c r="D57"/>
      <c r="E57"/>
      <c r="F57"/>
    </row>
    <row r="58" spans="1:12" x14ac:dyDescent="0.25">
      <c r="A58"/>
      <c r="B58"/>
      <c r="C58"/>
      <c r="D58"/>
      <c r="E58"/>
      <c r="F58"/>
    </row>
    <row r="59" spans="1:12" x14ac:dyDescent="0.25">
      <c r="A59"/>
      <c r="B59"/>
      <c r="C59"/>
      <c r="D59"/>
      <c r="E59"/>
      <c r="F59"/>
    </row>
    <row r="60" spans="1:12" x14ac:dyDescent="0.25">
      <c r="A60"/>
      <c r="B60"/>
      <c r="C60"/>
      <c r="D60"/>
      <c r="E60"/>
      <c r="F60"/>
    </row>
    <row r="61" spans="1:12" x14ac:dyDescent="0.25">
      <c r="A61"/>
      <c r="B61"/>
      <c r="C61"/>
      <c r="D61"/>
      <c r="E61"/>
      <c r="F61"/>
    </row>
    <row r="62" spans="1:12" x14ac:dyDescent="0.25">
      <c r="A62"/>
      <c r="B62"/>
      <c r="C62"/>
      <c r="D62"/>
      <c r="E62"/>
      <c r="F62"/>
    </row>
    <row r="63" spans="1:12" x14ac:dyDescent="0.25">
      <c r="A63"/>
      <c r="B63"/>
      <c r="C63"/>
      <c r="D63"/>
      <c r="E63"/>
      <c r="F63"/>
      <c r="H63" s="4" t="s">
        <v>22</v>
      </c>
    </row>
    <row r="64" spans="1:12" ht="15.75" thickBot="1" x14ac:dyDescent="0.3">
      <c r="A64"/>
      <c r="B64"/>
      <c r="C64"/>
      <c r="D64"/>
      <c r="E64"/>
      <c r="F64"/>
      <c r="H64" s="2"/>
      <c r="I64" s="2" t="s">
        <v>127</v>
      </c>
      <c r="J64" s="2" t="s">
        <v>128</v>
      </c>
    </row>
    <row r="65" spans="1:10" x14ac:dyDescent="0.25">
      <c r="A65"/>
      <c r="B65"/>
      <c r="C65"/>
      <c r="D65"/>
      <c r="E65"/>
      <c r="F65"/>
      <c r="H65" s="527" t="s">
        <v>23</v>
      </c>
      <c r="I65" s="528">
        <v>0</v>
      </c>
      <c r="J65" s="529">
        <v>0</v>
      </c>
    </row>
    <row r="66" spans="1:10" ht="15.75" thickBot="1" x14ac:dyDescent="0.3">
      <c r="A66"/>
      <c r="B66"/>
      <c r="C66"/>
      <c r="D66"/>
      <c r="E66"/>
      <c r="F66"/>
      <c r="H66" s="530" t="s">
        <v>24</v>
      </c>
      <c r="I66" s="122">
        <f>I65+$E$9</f>
        <v>2.1325460000000001</v>
      </c>
      <c r="J66" s="132">
        <f>J65</f>
        <v>0</v>
      </c>
    </row>
    <row r="67" spans="1:10" x14ac:dyDescent="0.25">
      <c r="A67"/>
      <c r="B67"/>
      <c r="C67"/>
      <c r="D67"/>
      <c r="E67"/>
      <c r="F67"/>
      <c r="H67" s="531" t="s">
        <v>119</v>
      </c>
      <c r="I67" s="130">
        <f>I65+E9*0.25-E10*0.25</f>
        <v>0.24606300000000003</v>
      </c>
      <c r="J67" s="133">
        <f>E5</f>
        <v>9.8425200000000004</v>
      </c>
    </row>
    <row r="68" spans="1:10" ht="15.75" thickBot="1" x14ac:dyDescent="0.3">
      <c r="A68"/>
      <c r="B68"/>
      <c r="C68"/>
      <c r="D68"/>
      <c r="E68"/>
      <c r="F68"/>
      <c r="H68" s="532" t="s">
        <v>120</v>
      </c>
      <c r="I68" s="8">
        <f>I67+E10</f>
        <v>1.3943569999999998</v>
      </c>
      <c r="J68" s="134">
        <f>J67</f>
        <v>9.8425200000000004</v>
      </c>
    </row>
    <row r="69" spans="1:10" ht="15.75" thickBot="1" x14ac:dyDescent="0.3">
      <c r="A69"/>
      <c r="B69"/>
      <c r="C69"/>
      <c r="D69"/>
      <c r="E69"/>
      <c r="F69"/>
      <c r="H69" s="533" t="s">
        <v>143</v>
      </c>
      <c r="I69" s="534">
        <f>I65+0.25*E9</f>
        <v>0.53313650000000001</v>
      </c>
      <c r="J69" s="196">
        <f>J65</f>
        <v>0</v>
      </c>
    </row>
    <row r="70" spans="1:10" x14ac:dyDescent="0.25">
      <c r="A70"/>
      <c r="B70"/>
      <c r="C70"/>
      <c r="D70"/>
      <c r="E70"/>
      <c r="F70"/>
      <c r="H70" s="128" t="s">
        <v>123</v>
      </c>
      <c r="I70" s="8">
        <f>I65+E12*E9</f>
        <v>0.53313650000000001</v>
      </c>
      <c r="J70" s="134">
        <f>J65</f>
        <v>0</v>
      </c>
    </row>
    <row r="71" spans="1:10" ht="15.75" thickBot="1" x14ac:dyDescent="0.3">
      <c r="A71"/>
      <c r="B71"/>
      <c r="C71"/>
      <c r="D71"/>
      <c r="E71"/>
      <c r="F71"/>
      <c r="H71" s="131" t="s">
        <v>124</v>
      </c>
      <c r="I71" s="122">
        <f>I67+E10*E12</f>
        <v>0.53313650000000001</v>
      </c>
      <c r="J71" s="132">
        <f>J67</f>
        <v>9.8425200000000004</v>
      </c>
    </row>
    <row r="72" spans="1:10" x14ac:dyDescent="0.25">
      <c r="A72"/>
      <c r="B72"/>
      <c r="C72"/>
      <c r="D72"/>
      <c r="E72"/>
      <c r="F72"/>
      <c r="H72" s="129" t="s">
        <v>125</v>
      </c>
      <c r="I72" s="130">
        <f>I65+E9*E15</f>
        <v>1.5994095000000002</v>
      </c>
      <c r="J72" s="133">
        <f>J65</f>
        <v>0</v>
      </c>
    </row>
    <row r="73" spans="1:10" ht="15.75" thickBot="1" x14ac:dyDescent="0.3">
      <c r="A73"/>
      <c r="B73"/>
      <c r="C73"/>
      <c r="D73"/>
      <c r="E73"/>
      <c r="F73"/>
      <c r="H73" s="131" t="s">
        <v>126</v>
      </c>
      <c r="I73" s="122">
        <f>I67+E10*E15</f>
        <v>1.1072834999999999</v>
      </c>
      <c r="J73" s="132">
        <f>J67</f>
        <v>9.8425200000000004</v>
      </c>
    </row>
    <row r="74" spans="1:10" x14ac:dyDescent="0.25">
      <c r="A74"/>
      <c r="B74"/>
      <c r="C74"/>
      <c r="D74"/>
      <c r="E74"/>
      <c r="F74"/>
    </row>
    <row r="75" spans="1:10" x14ac:dyDescent="0.25">
      <c r="A75"/>
      <c r="B75"/>
      <c r="C75"/>
      <c r="D75"/>
      <c r="E75"/>
      <c r="F75"/>
    </row>
    <row r="76" spans="1:10" x14ac:dyDescent="0.25">
      <c r="A76"/>
      <c r="B76"/>
      <c r="C76"/>
      <c r="D76"/>
      <c r="E76"/>
      <c r="F76"/>
    </row>
    <row r="77" spans="1:10" x14ac:dyDescent="0.25">
      <c r="A77"/>
      <c r="B77"/>
      <c r="C77"/>
      <c r="D77"/>
      <c r="E77"/>
      <c r="F77"/>
    </row>
    <row r="78" spans="1:10" x14ac:dyDescent="0.25">
      <c r="A78"/>
      <c r="B78"/>
      <c r="C78"/>
      <c r="D78"/>
      <c r="E78"/>
      <c r="F78"/>
    </row>
    <row r="79" spans="1:10" x14ac:dyDescent="0.25">
      <c r="C79"/>
      <c r="D79"/>
      <c r="E79"/>
      <c r="F79"/>
    </row>
    <row r="80" spans="1:10" x14ac:dyDescent="0.25">
      <c r="C80"/>
      <c r="D80"/>
      <c r="E80"/>
      <c r="F80"/>
    </row>
    <row r="81" spans="3:6" x14ac:dyDescent="0.25">
      <c r="C81"/>
      <c r="D81"/>
      <c r="E81"/>
      <c r="F81"/>
    </row>
    <row r="82" spans="3:6" x14ac:dyDescent="0.25">
      <c r="C82"/>
      <c r="D82"/>
      <c r="E82"/>
      <c r="F82"/>
    </row>
    <row r="83" spans="3:6" x14ac:dyDescent="0.25">
      <c r="C83"/>
      <c r="D83"/>
      <c r="E83"/>
      <c r="F83"/>
    </row>
    <row r="84" spans="3:6" x14ac:dyDescent="0.25">
      <c r="C84"/>
      <c r="D84"/>
      <c r="E84"/>
      <c r="F84"/>
    </row>
    <row r="85" spans="3:6" x14ac:dyDescent="0.25">
      <c r="C85"/>
      <c r="D85"/>
      <c r="E85"/>
      <c r="F85"/>
    </row>
    <row r="86" spans="3:6" x14ac:dyDescent="0.25">
      <c r="C86"/>
      <c r="D86"/>
      <c r="E86"/>
      <c r="F86"/>
    </row>
    <row r="87" spans="3:6" x14ac:dyDescent="0.25">
      <c r="C87"/>
      <c r="D87"/>
      <c r="E87"/>
      <c r="F87"/>
    </row>
    <row r="88" spans="3:6" x14ac:dyDescent="0.25">
      <c r="C88"/>
      <c r="D88"/>
      <c r="E88"/>
      <c r="F88"/>
    </row>
    <row r="89" spans="3:6" x14ac:dyDescent="0.25">
      <c r="C89"/>
      <c r="D89"/>
      <c r="E89"/>
      <c r="F89"/>
    </row>
    <row r="90" spans="3:6" x14ac:dyDescent="0.25">
      <c r="D90"/>
      <c r="E90"/>
      <c r="F90"/>
    </row>
    <row r="91" spans="3:6" x14ac:dyDescent="0.25">
      <c r="D91"/>
      <c r="E91"/>
      <c r="F91"/>
    </row>
    <row r="92" spans="3:6" x14ac:dyDescent="0.25">
      <c r="D92"/>
      <c r="E92"/>
      <c r="F92"/>
    </row>
    <row r="93" spans="3:6" x14ac:dyDescent="0.25">
      <c r="D93"/>
      <c r="E93"/>
      <c r="F93"/>
    </row>
    <row r="94" spans="3:6" x14ac:dyDescent="0.25">
      <c r="D94"/>
      <c r="E94"/>
      <c r="F94"/>
    </row>
    <row r="95" spans="3:6" x14ac:dyDescent="0.25">
      <c r="D95"/>
      <c r="E95"/>
      <c r="F95"/>
    </row>
    <row r="96" spans="3:6" x14ac:dyDescent="0.25">
      <c r="D96"/>
      <c r="E96"/>
      <c r="F96"/>
    </row>
    <row r="97" spans="3:6" x14ac:dyDescent="0.25">
      <c r="D97"/>
      <c r="E97"/>
      <c r="F97"/>
    </row>
    <row r="98" spans="3:6" x14ac:dyDescent="0.25">
      <c r="D98"/>
      <c r="E98"/>
      <c r="F98"/>
    </row>
    <row r="99" spans="3:6" x14ac:dyDescent="0.25">
      <c r="D99"/>
      <c r="E99"/>
      <c r="F99"/>
    </row>
    <row r="100" spans="3:6" x14ac:dyDescent="0.25">
      <c r="E100"/>
      <c r="F100"/>
    </row>
    <row r="101" spans="3:6" x14ac:dyDescent="0.25">
      <c r="D101"/>
      <c r="E101"/>
      <c r="F101"/>
    </row>
    <row r="102" spans="3:6" x14ac:dyDescent="0.25">
      <c r="D102"/>
      <c r="E102"/>
      <c r="F102"/>
    </row>
    <row r="103" spans="3:6" x14ac:dyDescent="0.25">
      <c r="C103"/>
      <c r="D103"/>
      <c r="E103"/>
      <c r="F103"/>
    </row>
    <row r="104" spans="3:6" x14ac:dyDescent="0.25">
      <c r="C104"/>
      <c r="D104"/>
      <c r="E104"/>
      <c r="F104"/>
    </row>
    <row r="105" spans="3:6" x14ac:dyDescent="0.25">
      <c r="C105"/>
      <c r="D105"/>
      <c r="E105"/>
      <c r="F105"/>
    </row>
    <row r="106" spans="3:6" x14ac:dyDescent="0.25">
      <c r="C106"/>
      <c r="D106"/>
      <c r="E106"/>
      <c r="F106"/>
    </row>
    <row r="107" spans="3:6" x14ac:dyDescent="0.25">
      <c r="C107"/>
      <c r="D107"/>
      <c r="F107"/>
    </row>
    <row r="108" spans="3:6" x14ac:dyDescent="0.25">
      <c r="C108"/>
      <c r="D108"/>
      <c r="F108"/>
    </row>
    <row r="109" spans="3:6" x14ac:dyDescent="0.25">
      <c r="C109"/>
      <c r="D109"/>
      <c r="F109"/>
    </row>
    <row r="110" spans="3:6" x14ac:dyDescent="0.25">
      <c r="C110"/>
      <c r="D110"/>
      <c r="F110"/>
    </row>
    <row r="111" spans="3:6" x14ac:dyDescent="0.25">
      <c r="C111"/>
      <c r="D111"/>
      <c r="F111"/>
    </row>
    <row r="112" spans="3:6" x14ac:dyDescent="0.25">
      <c r="C112"/>
      <c r="D112"/>
      <c r="F112"/>
    </row>
    <row r="113" spans="3:6" x14ac:dyDescent="0.25">
      <c r="C113"/>
      <c r="D113"/>
      <c r="F113"/>
    </row>
    <row r="114" spans="3:6" x14ac:dyDescent="0.25">
      <c r="C114"/>
      <c r="D114"/>
      <c r="F114"/>
    </row>
    <row r="115" spans="3:6" x14ac:dyDescent="0.25">
      <c r="C115"/>
      <c r="D115"/>
      <c r="F115"/>
    </row>
  </sheetData>
  <mergeCells count="5">
    <mergeCell ref="P23:U23"/>
    <mergeCell ref="P3:X3"/>
    <mergeCell ref="P4:U4"/>
    <mergeCell ref="P11:U11"/>
    <mergeCell ref="P17:U17"/>
  </mergeCells>
  <conditionalFormatting sqref="U32:U43">
    <cfRule type="colorScale" priority="23">
      <colorScale>
        <cfvo type="min"/>
        <cfvo type="percentile" val="50"/>
        <cfvo type="max"/>
        <color rgb="FF63BE7B"/>
        <color rgb="FFFFEB84"/>
        <color rgb="FFF8696B"/>
      </colorScale>
    </cfRule>
  </conditionalFormatting>
  <conditionalFormatting sqref="U56:U67">
    <cfRule type="colorScale" priority="20">
      <colorScale>
        <cfvo type="min"/>
        <cfvo type="percentile" val="50"/>
        <cfvo type="max"/>
        <color rgb="FF63BE7B"/>
        <color rgb="FFFFEB84"/>
        <color rgb="FFF8696B"/>
      </colorScale>
    </cfRule>
  </conditionalFormatting>
  <conditionalFormatting sqref="V28">
    <cfRule type="cellIs" dxfId="0" priority="7" operator="lessThan">
      <formula>1</formula>
    </cfRule>
  </conditionalFormatting>
  <conditionalFormatting sqref="V32:V43">
    <cfRule type="colorScale" priority="26">
      <colorScale>
        <cfvo type="min"/>
        <cfvo type="percentile" val="50"/>
        <cfvo type="max"/>
        <color rgb="FF63BE7B"/>
        <color rgb="FFFFEB84"/>
        <color rgb="FFF8696B"/>
      </colorScale>
    </cfRule>
  </conditionalFormatting>
  <conditionalFormatting sqref="V56:V67">
    <cfRule type="colorScale" priority="21">
      <colorScale>
        <cfvo type="min"/>
        <cfvo type="percentile" val="50"/>
        <cfvo type="max"/>
        <color rgb="FF63BE7B"/>
        <color rgb="FFFFEB84"/>
        <color rgb="FFF8696B"/>
      </colorScale>
    </cfRule>
  </conditionalFormatting>
  <conditionalFormatting sqref="W32:W43">
    <cfRule type="colorScale" priority="29">
      <colorScale>
        <cfvo type="min"/>
        <cfvo type="percentile" val="50"/>
        <cfvo type="max"/>
        <color rgb="FF63BE7B"/>
        <color rgb="FFFFEB84"/>
        <color rgb="FFF8696B"/>
      </colorScale>
    </cfRule>
  </conditionalFormatting>
  <conditionalFormatting sqref="W56:W67">
    <cfRule type="colorScale" priority="22">
      <colorScale>
        <cfvo type="min"/>
        <cfvo type="percentile" val="50"/>
        <cfvo type="max"/>
        <color rgb="FF63BE7B"/>
        <color rgb="FFFFEB84"/>
        <color rgb="FFF8696B"/>
      </colorScale>
    </cfRule>
  </conditionalFormatting>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X120"/>
  <sheetViews>
    <sheetView topLeftCell="A17" zoomScale="85" zoomScaleNormal="85" workbookViewId="0">
      <selection activeCell="C19" sqref="C19"/>
    </sheetView>
  </sheetViews>
  <sheetFormatPr defaultRowHeight="15" x14ac:dyDescent="0.25"/>
  <cols>
    <col min="1" max="1" width="29.85546875" customWidth="1"/>
    <col min="2" max="2" width="21.140625" bestFit="1" customWidth="1"/>
    <col min="3" max="3" width="15.140625" customWidth="1"/>
    <col min="4" max="4" width="19.140625" customWidth="1"/>
    <col min="5" max="5" width="22.42578125" customWidth="1"/>
    <col min="6" max="6" width="17.85546875" bestFit="1" customWidth="1"/>
    <col min="7" max="7" width="16.42578125" style="8" bestFit="1" customWidth="1"/>
    <col min="8" max="8" width="15.42578125" style="8" bestFit="1" customWidth="1"/>
    <col min="9" max="9" width="17.5703125" bestFit="1" customWidth="1"/>
    <col min="10" max="11" width="17.85546875" style="2" customWidth="1"/>
    <col min="12" max="12" width="21.28515625" style="2" customWidth="1"/>
    <col min="13" max="13" width="14.5703125" bestFit="1" customWidth="1"/>
    <col min="14" max="14" width="16.5703125" customWidth="1"/>
    <col min="15" max="15" width="17.140625" bestFit="1" customWidth="1"/>
    <col min="16" max="16" width="13.85546875" customWidth="1"/>
    <col min="17" max="17" width="16.28515625" bestFit="1" customWidth="1"/>
    <col min="18" max="18" width="37.85546875" customWidth="1"/>
    <col min="19" max="19" width="23.140625" customWidth="1"/>
    <col min="20" max="20" width="20.7109375" customWidth="1"/>
    <col min="21" max="21" width="20.85546875" bestFit="1" customWidth="1"/>
    <col min="22" max="22" width="16.28515625" customWidth="1"/>
    <col min="23" max="23" width="13.85546875" customWidth="1"/>
  </cols>
  <sheetData>
    <row r="1" spans="1:19" x14ac:dyDescent="0.25">
      <c r="A1" s="4" t="s">
        <v>129</v>
      </c>
    </row>
    <row r="2" spans="1:19" x14ac:dyDescent="0.25">
      <c r="A2" t="s">
        <v>561</v>
      </c>
    </row>
    <row r="3" spans="1:19" x14ac:dyDescent="0.25">
      <c r="A3" t="s">
        <v>146</v>
      </c>
    </row>
    <row r="4" spans="1:19" ht="15.75" thickBot="1" x14ac:dyDescent="0.3"/>
    <row r="5" spans="1:19" ht="15.75" thickBot="1" x14ac:dyDescent="0.3">
      <c r="A5" s="124" t="s">
        <v>0</v>
      </c>
      <c r="B5" s="125" t="s">
        <v>1</v>
      </c>
      <c r="C5" s="125" t="s">
        <v>2</v>
      </c>
      <c r="D5" s="169" t="s">
        <v>152</v>
      </c>
    </row>
    <row r="6" spans="1:19" x14ac:dyDescent="0.25">
      <c r="A6" s="2" t="s">
        <v>149</v>
      </c>
      <c r="B6" s="2" t="s">
        <v>149</v>
      </c>
      <c r="C6" s="2" t="s">
        <v>17</v>
      </c>
      <c r="D6" s="12">
        <f>'Inputs-Imperial'!$E$2</f>
        <v>1212.2727926957896</v>
      </c>
    </row>
    <row r="7" spans="1:19" x14ac:dyDescent="0.25">
      <c r="A7" s="2" t="s">
        <v>559</v>
      </c>
      <c r="B7" s="2" t="s">
        <v>567</v>
      </c>
      <c r="C7" s="2" t="s">
        <v>524</v>
      </c>
      <c r="D7" s="12">
        <f>SUM(E20:E120)</f>
        <v>16.145866658399999</v>
      </c>
    </row>
    <row r="8" spans="1:19" x14ac:dyDescent="0.25">
      <c r="A8" s="2" t="s">
        <v>568</v>
      </c>
      <c r="B8" s="2" t="s">
        <v>138</v>
      </c>
      <c r="C8" s="2" t="s">
        <v>7</v>
      </c>
      <c r="D8" s="11">
        <f>'Inputs-Imperial'!$E$5*2</f>
        <v>19.685040000000001</v>
      </c>
    </row>
    <row r="9" spans="1:19" x14ac:dyDescent="0.25">
      <c r="A9" s="2" t="s">
        <v>560</v>
      </c>
      <c r="B9" s="2" t="s">
        <v>566</v>
      </c>
      <c r="C9" s="2" t="s">
        <v>135</v>
      </c>
      <c r="D9" s="11">
        <f>D6/D7</f>
        <v>75.082547028536013</v>
      </c>
    </row>
    <row r="10" spans="1:19" x14ac:dyDescent="0.25">
      <c r="A10" s="2" t="s">
        <v>488</v>
      </c>
      <c r="B10" s="2" t="s">
        <v>490</v>
      </c>
      <c r="C10" s="2" t="s">
        <v>14</v>
      </c>
      <c r="D10" s="11">
        <f>'Inputs-Imperial'!E3</f>
        <v>10</v>
      </c>
    </row>
    <row r="11" spans="1:19" x14ac:dyDescent="0.25">
      <c r="A11" s="2" t="s">
        <v>489</v>
      </c>
      <c r="B11" s="2" t="s">
        <v>491</v>
      </c>
      <c r="C11" s="2" t="s">
        <v>14</v>
      </c>
      <c r="D11" s="11">
        <f>'Inputs-Imperial'!E4</f>
        <v>-0.3</v>
      </c>
    </row>
    <row r="12" spans="1:19" x14ac:dyDescent="0.25">
      <c r="A12" s="2" t="s">
        <v>1055</v>
      </c>
      <c r="B12" s="2" t="str">
        <f>'Inputs-Imperial'!C12</f>
        <v>Spar_x/c</v>
      </c>
      <c r="C12" s="2" t="str">
        <f>'Inputs-Imperial'!D12</f>
        <v>-</v>
      </c>
      <c r="D12" s="2">
        <f>'Inputs-Imperial'!E12</f>
        <v>0.25</v>
      </c>
    </row>
    <row r="13" spans="1:19" ht="15.75" thickBot="1" x14ac:dyDescent="0.3">
      <c r="A13" s="2" t="s">
        <v>1056</v>
      </c>
      <c r="B13" s="2" t="str">
        <f>'Inputs-Imperial'!C15</f>
        <v>AW_x/c_tip</v>
      </c>
      <c r="C13" s="2" t="str">
        <f>'Inputs-Imperial'!D15</f>
        <v>-</v>
      </c>
      <c r="D13" s="2">
        <f>'Inputs-Imperial'!E15</f>
        <v>0.75</v>
      </c>
      <c r="M13" s="4" t="s">
        <v>600</v>
      </c>
    </row>
    <row r="14" spans="1:19" ht="45" x14ac:dyDescent="0.25">
      <c r="M14" s="158"/>
      <c r="N14" s="354" t="s">
        <v>570</v>
      </c>
    </row>
    <row r="15" spans="1:19" x14ac:dyDescent="0.25">
      <c r="M15" s="225"/>
      <c r="N15" s="127" t="s">
        <v>142</v>
      </c>
      <c r="S15" t="s">
        <v>762</v>
      </c>
    </row>
    <row r="16" spans="1:19" x14ac:dyDescent="0.25">
      <c r="A16" s="2"/>
      <c r="B16" s="2"/>
      <c r="C16" s="2"/>
      <c r="D16" s="2"/>
      <c r="M16" s="225"/>
      <c r="N16" s="152">
        <f>2*D6*D8/12*(1+2*(0.5))/(1+0.5)</f>
        <v>5303.0307589174063</v>
      </c>
      <c r="S16" t="s">
        <v>763</v>
      </c>
    </row>
    <row r="17" spans="1:24" ht="15.75" thickBot="1" x14ac:dyDescent="0.3">
      <c r="A17" s="2"/>
      <c r="B17" s="2"/>
      <c r="C17" s="2"/>
      <c r="D17" s="2"/>
      <c r="J17" s="14"/>
      <c r="K17" s="14"/>
      <c r="L17" s="14"/>
      <c r="M17" s="128"/>
      <c r="N17" s="127"/>
      <c r="R17" s="41" t="s">
        <v>1057</v>
      </c>
      <c r="S17" s="41"/>
    </row>
    <row r="18" spans="1:24" ht="15.75" thickBot="1" x14ac:dyDescent="0.3">
      <c r="F18" s="14" t="s">
        <v>136</v>
      </c>
      <c r="J18" s="14" t="s">
        <v>141</v>
      </c>
      <c r="K18" s="159" t="s">
        <v>758</v>
      </c>
      <c r="L18" s="159" t="s">
        <v>756</v>
      </c>
      <c r="M18" s="419" t="s">
        <v>141</v>
      </c>
      <c r="N18" s="420" t="s">
        <v>141</v>
      </c>
      <c r="P18" s="4" t="s">
        <v>599</v>
      </c>
      <c r="R18" s="41" t="s">
        <v>1058</v>
      </c>
      <c r="S18" s="159"/>
    </row>
    <row r="19" spans="1:24" ht="60.75" thickBot="1" x14ac:dyDescent="0.3">
      <c r="A19" s="14" t="s">
        <v>130</v>
      </c>
      <c r="B19" s="14" t="s">
        <v>132</v>
      </c>
      <c r="C19" s="14" t="s">
        <v>131</v>
      </c>
      <c r="D19" s="14" t="s">
        <v>133</v>
      </c>
      <c r="E19" s="14" t="s">
        <v>154</v>
      </c>
      <c r="F19" s="14" t="s">
        <v>137</v>
      </c>
      <c r="G19" s="139" t="s">
        <v>139</v>
      </c>
      <c r="H19" s="139" t="s">
        <v>140</v>
      </c>
      <c r="I19" s="14" t="s">
        <v>134</v>
      </c>
      <c r="J19" s="14" t="s">
        <v>137</v>
      </c>
      <c r="K19" s="549" t="s">
        <v>757</v>
      </c>
      <c r="L19" s="14" t="s">
        <v>755</v>
      </c>
      <c r="M19" s="421" t="s">
        <v>147</v>
      </c>
      <c r="N19" s="422" t="s">
        <v>148</v>
      </c>
      <c r="O19" s="14" t="s">
        <v>571</v>
      </c>
      <c r="P19" s="344" t="s">
        <v>572</v>
      </c>
      <c r="Q19" s="418" t="s">
        <v>573</v>
      </c>
      <c r="R19" s="136" t="s">
        <v>759</v>
      </c>
      <c r="S19" s="549" t="s">
        <v>760</v>
      </c>
      <c r="T19" s="14" t="s">
        <v>761</v>
      </c>
      <c r="U19" s="14" t="s">
        <v>574</v>
      </c>
      <c r="V19" s="344" t="s">
        <v>575</v>
      </c>
      <c r="W19" s="136"/>
    </row>
    <row r="20" spans="1:24" x14ac:dyDescent="0.25">
      <c r="A20" s="2">
        <v>0</v>
      </c>
      <c r="B20" s="11">
        <f>A20/100*'Inputs-Imperial'!$E$5</f>
        <v>0</v>
      </c>
      <c r="C20" s="8">
        <f>'Inputs-Imperial'!$E$10+('Inputs-Imperial'!$E$9-'Inputs-Imperial'!$E$10)*(100-A20)/100</f>
        <v>2.1325460000000001</v>
      </c>
      <c r="D20" s="8">
        <v>0</v>
      </c>
      <c r="E20" s="2">
        <v>0</v>
      </c>
      <c r="F20" s="11">
        <f t="shared" ref="F20:F51" si="0">E20*$D$9</f>
        <v>0</v>
      </c>
      <c r="G20" s="8">
        <f t="shared" ref="G20:G51" si="1">(8*$D$7/PI()/$D$8)*SQRT(1-(A20/100)^2)</f>
        <v>2.0886476139744552</v>
      </c>
      <c r="H20" s="8">
        <f>(G20+C20)/2</f>
        <v>2.1105968069872274</v>
      </c>
      <c r="I20" s="2">
        <v>0</v>
      </c>
      <c r="J20" s="11">
        <f t="shared" ref="J20:J51" si="2">I20*$D$9</f>
        <v>0</v>
      </c>
      <c r="K20" s="550">
        <v>0</v>
      </c>
      <c r="L20" s="11">
        <f>J20+K20</f>
        <v>0</v>
      </c>
      <c r="M20" s="150">
        <f>M21+L21</f>
        <v>1212.0459691554993</v>
      </c>
      <c r="N20" s="149">
        <f>M20*D21+N21</f>
        <v>5274.2445856614158</v>
      </c>
      <c r="O20" s="11">
        <f>J20/$D$10</f>
        <v>0</v>
      </c>
      <c r="P20" s="345">
        <f>P21+O21</f>
        <v>121.20459691555001</v>
      </c>
      <c r="Q20" s="416">
        <f>P20*D21+Q21</f>
        <v>527.42445856614165</v>
      </c>
      <c r="R20" s="8">
        <f>0.25-AVERAGE($D$12:$D$13)+$D$11</f>
        <v>-0.55000000000000004</v>
      </c>
      <c r="S20" s="552">
        <v>0</v>
      </c>
      <c r="T20" s="8">
        <f>R20+S20</f>
        <v>-0.55000000000000004</v>
      </c>
      <c r="U20" s="11">
        <f>J20*T20*H20</f>
        <v>0</v>
      </c>
      <c r="V20" s="345">
        <f>V21+U21</f>
        <v>-1144.4473362741128</v>
      </c>
      <c r="W20" s="12"/>
      <c r="X20" s="144"/>
    </row>
    <row r="21" spans="1:24" x14ac:dyDescent="0.25">
      <c r="A21" s="2">
        <v>1</v>
      </c>
      <c r="B21" s="11">
        <f>A21/100*'Inputs-Imperial'!$E$5</f>
        <v>9.8425200000000004E-2</v>
      </c>
      <c r="C21" s="8">
        <f>'Inputs-Imperial'!$E$10+('Inputs-Imperial'!$E$9-'Inputs-Imperial'!$E$10)*(100-A21)/100</f>
        <v>2.1227034800000002</v>
      </c>
      <c r="D21" s="8">
        <f>B21-B20</f>
        <v>9.8425200000000004E-2</v>
      </c>
      <c r="E21" s="8">
        <f>D21*AVERAGE(C20:C21)</f>
        <v>0.20941189055944801</v>
      </c>
      <c r="F21" s="11">
        <f t="shared" si="0"/>
        <v>15.723178121264391</v>
      </c>
      <c r="G21" s="8">
        <f t="shared" si="1"/>
        <v>2.0885431789828166</v>
      </c>
      <c r="H21" s="8">
        <f t="shared" ref="H21:H84" si="3">(G21+C21)/2</f>
        <v>2.1056233294914084</v>
      </c>
      <c r="I21" s="8">
        <f>D21*AVERAGE(H20:H21)</f>
        <v>0.20749115508846855</v>
      </c>
      <c r="J21" s="11">
        <f t="shared" si="2"/>
        <v>15.5789644099352</v>
      </c>
      <c r="K21" s="550">
        <v>0</v>
      </c>
      <c r="L21" s="11">
        <f t="shared" ref="L21:L84" si="4">J21+K21</f>
        <v>15.5789644099352</v>
      </c>
      <c r="M21" s="150">
        <f t="shared" ref="M21:M83" si="5">M22+L22</f>
        <v>1196.4670047455641</v>
      </c>
      <c r="N21" s="149">
        <f t="shared" ref="N21:N51" si="6">M21*D22+N22</f>
        <v>5154.9487187380919</v>
      </c>
      <c r="O21" s="11">
        <f t="shared" ref="O21:O84" si="7">J21/$D$10</f>
        <v>1.5578964409935199</v>
      </c>
      <c r="P21" s="345">
        <f t="shared" ref="P21:P84" si="8">P22+O22</f>
        <v>119.6467004745565</v>
      </c>
      <c r="Q21" s="416">
        <f t="shared" ref="Q21:Q83" si="9">P21*D22+Q22</f>
        <v>515.4948718738093</v>
      </c>
      <c r="R21" s="8">
        <f t="shared" ref="R21:R84" si="10">0.25-AVERAGE($D$12:$D$13)+$D$11</f>
        <v>-0.55000000000000004</v>
      </c>
      <c r="S21" s="552">
        <v>0</v>
      </c>
      <c r="T21" s="8">
        <f t="shared" ref="T21:T84" si="11">R21+S21</f>
        <v>-0.55000000000000004</v>
      </c>
      <c r="U21" s="11">
        <f>J21*T21*H21</f>
        <v>-18.041887000981749</v>
      </c>
      <c r="V21" s="345">
        <f t="shared" ref="V21:V83" si="12">V22+U22</f>
        <v>-1126.4054492731311</v>
      </c>
      <c r="W21" s="12"/>
    </row>
    <row r="22" spans="1:24" x14ac:dyDescent="0.25">
      <c r="A22" s="2">
        <v>2</v>
      </c>
      <c r="B22" s="11">
        <f>A22/100*'Inputs-Imperial'!$E$5</f>
        <v>0.19685040000000001</v>
      </c>
      <c r="C22" s="8">
        <f>'Inputs-Imperial'!$E$10+('Inputs-Imperial'!$E$9-'Inputs-Imperial'!$E$10)*(100-A22)/100</f>
        <v>2.1128609599999999</v>
      </c>
      <c r="D22" s="8">
        <f t="shared" ref="D22:D85" si="13">B22-B21</f>
        <v>9.8425200000000004E-2</v>
      </c>
      <c r="E22" s="8">
        <f t="shared" ref="E22:E85" si="14">D22*AVERAGE(C21:C22)</f>
        <v>0.20844313855994401</v>
      </c>
      <c r="F22" s="11">
        <f t="shared" si="0"/>
        <v>15.650441753702644</v>
      </c>
      <c r="G22" s="8">
        <f t="shared" si="1"/>
        <v>2.0882298426703514</v>
      </c>
      <c r="H22" s="8">
        <f t="shared" si="3"/>
        <v>2.1005454013351756</v>
      </c>
      <c r="I22" s="8">
        <f t="shared" ref="I22:I85" si="15">D22*AVERAGE(H21:H22)</f>
        <v>0.20699649928267636</v>
      </c>
      <c r="J22" s="11">
        <f t="shared" si="2"/>
        <v>15.541824392133869</v>
      </c>
      <c r="K22" s="550">
        <v>0</v>
      </c>
      <c r="L22" s="11">
        <f t="shared" si="4"/>
        <v>15.541824392133869</v>
      </c>
      <c r="M22" s="150">
        <f t="shared" si="5"/>
        <v>1180.9251803534303</v>
      </c>
      <c r="N22" s="149">
        <f t="shared" si="6"/>
        <v>5037.1862145026089</v>
      </c>
      <c r="O22" s="11">
        <f t="shared" si="7"/>
        <v>1.5541824392133869</v>
      </c>
      <c r="P22" s="345">
        <f t="shared" si="8"/>
        <v>118.0925180353431</v>
      </c>
      <c r="Q22" s="416">
        <f t="shared" si="9"/>
        <v>503.71862145026103</v>
      </c>
      <c r="R22" s="8">
        <f t="shared" si="10"/>
        <v>-0.55000000000000004</v>
      </c>
      <c r="S22" s="552">
        <v>0</v>
      </c>
      <c r="T22" s="8">
        <f t="shared" si="11"/>
        <v>-0.55000000000000004</v>
      </c>
      <c r="U22" s="11">
        <f t="shared" ref="U22:U84" si="16">J22*T22*H22</f>
        <v>-17.955469265390615</v>
      </c>
      <c r="V22" s="345">
        <f t="shared" si="12"/>
        <v>-1108.4499800077406</v>
      </c>
      <c r="W22" s="12"/>
    </row>
    <row r="23" spans="1:24" x14ac:dyDescent="0.25">
      <c r="A23" s="2">
        <v>3</v>
      </c>
      <c r="B23" s="11">
        <f>A23/100*'Inputs-Imperial'!$E$5</f>
        <v>0.29527560000000003</v>
      </c>
      <c r="C23" s="8">
        <f>'Inputs-Imperial'!$E$10+('Inputs-Imperial'!$E$9-'Inputs-Imperial'!$E$10)*(100-A23)/100</f>
        <v>2.10301844</v>
      </c>
      <c r="D23" s="8">
        <f t="shared" si="13"/>
        <v>9.8425200000000018E-2</v>
      </c>
      <c r="E23" s="8">
        <f t="shared" si="14"/>
        <v>0.20747438656044007</v>
      </c>
      <c r="F23" s="11">
        <f t="shared" si="0"/>
        <v>15.577705386140901</v>
      </c>
      <c r="G23" s="8">
        <f t="shared" si="1"/>
        <v>2.0877075109773782</v>
      </c>
      <c r="H23" s="8">
        <f t="shared" si="3"/>
        <v>2.0953629754886891</v>
      </c>
      <c r="I23" s="8">
        <f t="shared" si="15"/>
        <v>0.20649156058528217</v>
      </c>
      <c r="J23" s="11">
        <f t="shared" si="2"/>
        <v>15.503912308640242</v>
      </c>
      <c r="K23" s="550">
        <v>0</v>
      </c>
      <c r="L23" s="11">
        <f t="shared" si="4"/>
        <v>15.503912308640242</v>
      </c>
      <c r="M23" s="150">
        <f t="shared" si="5"/>
        <v>1165.4212680447899</v>
      </c>
      <c r="N23" s="149">
        <f t="shared" si="6"/>
        <v>4920.9534174412865</v>
      </c>
      <c r="O23" s="11">
        <f t="shared" si="7"/>
        <v>1.5503912308640242</v>
      </c>
      <c r="P23" s="345">
        <f t="shared" si="8"/>
        <v>116.54212680447908</v>
      </c>
      <c r="Q23" s="416">
        <f t="shared" si="9"/>
        <v>492.09534174412875</v>
      </c>
      <c r="R23" s="8">
        <f t="shared" si="10"/>
        <v>-0.55000000000000004</v>
      </c>
      <c r="S23" s="552">
        <v>0</v>
      </c>
      <c r="T23" s="8">
        <f t="shared" si="11"/>
        <v>-0.55000000000000004</v>
      </c>
      <c r="U23" s="11">
        <f t="shared" si="16"/>
        <v>-17.867478104711473</v>
      </c>
      <c r="V23" s="345">
        <f t="shared" si="12"/>
        <v>-1090.5825019030292</v>
      </c>
      <c r="W23" s="12"/>
    </row>
    <row r="24" spans="1:24" x14ac:dyDescent="0.25">
      <c r="A24" s="2">
        <v>4</v>
      </c>
      <c r="B24" s="11">
        <f>A24/100*'Inputs-Imperial'!$E$5</f>
        <v>0.39370080000000002</v>
      </c>
      <c r="C24" s="8">
        <f>'Inputs-Imperial'!$E$10+('Inputs-Imperial'!$E$9-'Inputs-Imperial'!$E$10)*(100-A24)/100</f>
        <v>2.0931759200000002</v>
      </c>
      <c r="D24" s="8">
        <f t="shared" si="13"/>
        <v>9.842519999999999E-2</v>
      </c>
      <c r="E24" s="8">
        <f t="shared" si="14"/>
        <v>0.20650563456093596</v>
      </c>
      <c r="F24" s="11">
        <f t="shared" si="0"/>
        <v>15.504969018579146</v>
      </c>
      <c r="G24" s="8">
        <f t="shared" si="1"/>
        <v>2.08697602698081</v>
      </c>
      <c r="H24" s="8">
        <f t="shared" si="3"/>
        <v>2.0900759734904053</v>
      </c>
      <c r="I24" s="8">
        <f t="shared" si="15"/>
        <v>0.20597633282052855</v>
      </c>
      <c r="J24" s="11">
        <f t="shared" si="2"/>
        <v>15.465227695762721</v>
      </c>
      <c r="K24" s="550">
        <v>0</v>
      </c>
      <c r="L24" s="11">
        <f t="shared" si="4"/>
        <v>15.465227695762721</v>
      </c>
      <c r="M24" s="150">
        <f t="shared" si="5"/>
        <v>1149.9560403490273</v>
      </c>
      <c r="N24" s="149">
        <f t="shared" si="6"/>
        <v>4806.2465960497248</v>
      </c>
      <c r="O24" s="11">
        <f t="shared" si="7"/>
        <v>1.546522769576272</v>
      </c>
      <c r="P24" s="345">
        <f t="shared" si="8"/>
        <v>114.99560403490281</v>
      </c>
      <c r="Q24" s="416">
        <f t="shared" si="9"/>
        <v>480.62465960497252</v>
      </c>
      <c r="R24" s="8">
        <f t="shared" si="10"/>
        <v>-0.55000000000000004</v>
      </c>
      <c r="S24" s="552">
        <v>0</v>
      </c>
      <c r="T24" s="8">
        <f t="shared" si="11"/>
        <v>-0.55000000000000004</v>
      </c>
      <c r="U24" s="11">
        <f t="shared" si="16"/>
        <v>-17.777925457309628</v>
      </c>
      <c r="V24" s="345">
        <f t="shared" si="12"/>
        <v>-1072.8045764457195</v>
      </c>
      <c r="W24" s="12"/>
    </row>
    <row r="25" spans="1:24" x14ac:dyDescent="0.25">
      <c r="A25" s="2">
        <v>5</v>
      </c>
      <c r="B25" s="11">
        <f>A25/100*'Inputs-Imperial'!$E$5</f>
        <v>0.49212600000000006</v>
      </c>
      <c r="C25" s="8">
        <f>'Inputs-Imperial'!$E$10+('Inputs-Imperial'!$E$9-'Inputs-Imperial'!$E$10)*(100-A25)/100</f>
        <v>2.0833333999999999</v>
      </c>
      <c r="D25" s="8">
        <f t="shared" si="13"/>
        <v>9.8425200000000046E-2</v>
      </c>
      <c r="E25" s="8">
        <f t="shared" si="14"/>
        <v>0.2055368825614321</v>
      </c>
      <c r="F25" s="11">
        <f t="shared" si="0"/>
        <v>15.43223265101741</v>
      </c>
      <c r="G25" s="8">
        <f t="shared" si="1"/>
        <v>2.086035170658151</v>
      </c>
      <c r="H25" s="8">
        <f t="shared" si="3"/>
        <v>2.0846842853290752</v>
      </c>
      <c r="I25" s="8">
        <f t="shared" si="15"/>
        <v>0.20545080671317967</v>
      </c>
      <c r="J25" s="11">
        <f t="shared" si="2"/>
        <v>15.425769857092975</v>
      </c>
      <c r="K25" s="550">
        <v>0</v>
      </c>
      <c r="L25" s="11">
        <f t="shared" si="4"/>
        <v>15.425769857092975</v>
      </c>
      <c r="M25" s="150">
        <f t="shared" si="5"/>
        <v>1134.5302704919343</v>
      </c>
      <c r="N25" s="149">
        <f t="shared" si="6"/>
        <v>4693.0619427871634</v>
      </c>
      <c r="O25" s="11">
        <f>J25/$D$10</f>
        <v>1.5425769857092975</v>
      </c>
      <c r="P25" s="345">
        <f t="shared" si="8"/>
        <v>113.45302704919351</v>
      </c>
      <c r="Q25" s="416">
        <f t="shared" si="9"/>
        <v>469.30619427871642</v>
      </c>
      <c r="R25" s="8">
        <f t="shared" si="10"/>
        <v>-0.55000000000000004</v>
      </c>
      <c r="S25" s="552">
        <v>0</v>
      </c>
      <c r="T25" s="8">
        <f t="shared" si="11"/>
        <v>-0.55000000000000004</v>
      </c>
      <c r="U25" s="11">
        <f t="shared" si="16"/>
        <v>-17.686823005601564</v>
      </c>
      <c r="V25" s="345">
        <f t="shared" si="12"/>
        <v>-1055.1177534401179</v>
      </c>
      <c r="W25" s="12"/>
    </row>
    <row r="26" spans="1:24" x14ac:dyDescent="0.25">
      <c r="A26" s="2">
        <v>6</v>
      </c>
      <c r="B26" s="11">
        <f>A26/100*'Inputs-Imperial'!$E$5</f>
        <v>0.59055120000000005</v>
      </c>
      <c r="C26" s="8">
        <f>'Inputs-Imperial'!$E$10+('Inputs-Imperial'!$E$9-'Inputs-Imperial'!$E$10)*(100-A26)/100</f>
        <v>2.07349088</v>
      </c>
      <c r="D26" s="8">
        <f t="shared" si="13"/>
        <v>9.842519999999999E-2</v>
      </c>
      <c r="E26" s="8">
        <f t="shared" si="14"/>
        <v>0.20456813056192799</v>
      </c>
      <c r="F26" s="11">
        <f t="shared" si="0"/>
        <v>15.359496283455654</v>
      </c>
      <c r="G26" s="8">
        <f t="shared" si="1"/>
        <v>2.0848846585559317</v>
      </c>
      <c r="H26" s="8">
        <f t="shared" si="3"/>
        <v>2.0791877692779659</v>
      </c>
      <c r="I26" s="8">
        <f t="shared" si="15"/>
        <v>0.20491496987455446</v>
      </c>
      <c r="J26" s="11">
        <f t="shared" si="2"/>
        <v>15.385537862457275</v>
      </c>
      <c r="K26" s="550">
        <v>0</v>
      </c>
      <c r="L26" s="11">
        <f t="shared" si="4"/>
        <v>15.385537862457275</v>
      </c>
      <c r="M26" s="150">
        <f t="shared" si="5"/>
        <v>1119.1447326294769</v>
      </c>
      <c r="N26" s="149">
        <f t="shared" si="6"/>
        <v>4581.3955740079409</v>
      </c>
      <c r="O26" s="11">
        <f t="shared" si="7"/>
        <v>1.5385537862457275</v>
      </c>
      <c r="P26" s="345">
        <f t="shared" si="8"/>
        <v>111.91447326294778</v>
      </c>
      <c r="Q26" s="416">
        <f t="shared" si="9"/>
        <v>458.13955740079416</v>
      </c>
      <c r="R26" s="8">
        <f t="shared" si="10"/>
        <v>-0.55000000000000004</v>
      </c>
      <c r="S26" s="552">
        <v>0</v>
      </c>
      <c r="T26" s="8">
        <f t="shared" si="11"/>
        <v>-0.55000000000000004</v>
      </c>
      <c r="U26" s="11">
        <f t="shared" si="16"/>
        <v>-17.594182181061328</v>
      </c>
      <c r="V26" s="345">
        <f t="shared" si="12"/>
        <v>-1037.5235712590566</v>
      </c>
      <c r="W26" s="12"/>
    </row>
    <row r="27" spans="1:24" x14ac:dyDescent="0.25">
      <c r="A27" s="2">
        <v>7</v>
      </c>
      <c r="B27" s="11">
        <f>A27/100*'Inputs-Imperial'!$E$5</f>
        <v>0.68897640000000004</v>
      </c>
      <c r="C27" s="8">
        <f>'Inputs-Imperial'!$E$10+('Inputs-Imperial'!$E$9-'Inputs-Imperial'!$E$10)*(100-A27)/100</f>
        <v>2.0636483600000002</v>
      </c>
      <c r="D27" s="8">
        <f t="shared" si="13"/>
        <v>9.842519999999999E-2</v>
      </c>
      <c r="E27" s="8">
        <f t="shared" si="14"/>
        <v>0.20359937856242397</v>
      </c>
      <c r="F27" s="11">
        <f t="shared" si="0"/>
        <v>15.286759915893905</v>
      </c>
      <c r="G27" s="8">
        <f t="shared" si="1"/>
        <v>2.083524143361414</v>
      </c>
      <c r="H27" s="8">
        <f t="shared" si="3"/>
        <v>2.0735862516807071</v>
      </c>
      <c r="I27" s="8">
        <f t="shared" si="15"/>
        <v>0.20436880678383076</v>
      </c>
      <c r="J27" s="11">
        <f t="shared" si="2"/>
        <v>15.344530546512763</v>
      </c>
      <c r="K27" s="550">
        <v>0</v>
      </c>
      <c r="L27" s="11">
        <f t="shared" si="4"/>
        <v>15.344530546512763</v>
      </c>
      <c r="M27" s="150">
        <f t="shared" si="5"/>
        <v>1103.8002020829642</v>
      </c>
      <c r="N27" s="149">
        <f t="shared" si="6"/>
        <v>4471.2435298699384</v>
      </c>
      <c r="O27" s="11">
        <f t="shared" si="7"/>
        <v>1.5344530546512762</v>
      </c>
      <c r="P27" s="345">
        <f t="shared" si="8"/>
        <v>110.3800202082965</v>
      </c>
      <c r="Q27" s="416">
        <f t="shared" si="9"/>
        <v>447.12435298699387</v>
      </c>
      <c r="R27" s="8">
        <f t="shared" si="10"/>
        <v>-0.55000000000000004</v>
      </c>
      <c r="S27" s="552">
        <v>0</v>
      </c>
      <c r="T27" s="8">
        <f t="shared" si="11"/>
        <v>-0.55000000000000004</v>
      </c>
      <c r="U27" s="11">
        <f t="shared" si="16"/>
        <v>-17.500014168858932</v>
      </c>
      <c r="V27" s="345">
        <f t="shared" si="12"/>
        <v>-1020.0235570901975</v>
      </c>
      <c r="W27" s="12"/>
    </row>
    <row r="28" spans="1:24" x14ac:dyDescent="0.25">
      <c r="A28" s="2">
        <v>8</v>
      </c>
      <c r="B28" s="11">
        <f>A28/100*'Inputs-Imperial'!$E$5</f>
        <v>0.78740160000000003</v>
      </c>
      <c r="C28" s="8">
        <f>'Inputs-Imperial'!$E$10+('Inputs-Imperial'!$E$9-'Inputs-Imperial'!$E$10)*(100-A28)/100</f>
        <v>2.0538058399999999</v>
      </c>
      <c r="D28" s="8">
        <f t="shared" si="13"/>
        <v>9.842519999999999E-2</v>
      </c>
      <c r="E28" s="8">
        <f t="shared" si="14"/>
        <v>0.20263062656292</v>
      </c>
      <c r="F28" s="11">
        <f t="shared" si="0"/>
        <v>15.214023548332159</v>
      </c>
      <c r="G28" s="8">
        <f t="shared" si="1"/>
        <v>2.0819532133760532</v>
      </c>
      <c r="H28" s="8">
        <f t="shared" si="3"/>
        <v>2.0678795266880265</v>
      </c>
      <c r="I28" s="8">
        <f t="shared" si="15"/>
        <v>0.20381229876454909</v>
      </c>
      <c r="J28" s="11">
        <f t="shared" si="2"/>
        <v>15.30274650698329</v>
      </c>
      <c r="K28" s="550">
        <v>0</v>
      </c>
      <c r="L28" s="11">
        <f t="shared" si="4"/>
        <v>15.30274650698329</v>
      </c>
      <c r="M28" s="150">
        <f t="shared" si="5"/>
        <v>1088.4974555759809</v>
      </c>
      <c r="N28" s="149">
        <f t="shared" si="6"/>
        <v>4362.6017742198819</v>
      </c>
      <c r="O28" s="11">
        <f t="shared" si="7"/>
        <v>1.5302746506983289</v>
      </c>
      <c r="P28" s="345">
        <f t="shared" si="8"/>
        <v>108.84974555759817</v>
      </c>
      <c r="Q28" s="416">
        <f t="shared" si="9"/>
        <v>436.26017742198826</v>
      </c>
      <c r="R28" s="8">
        <f t="shared" si="10"/>
        <v>-0.55000000000000004</v>
      </c>
      <c r="S28" s="552">
        <v>0</v>
      </c>
      <c r="T28" s="8">
        <f t="shared" si="11"/>
        <v>-0.55000000000000004</v>
      </c>
      <c r="U28" s="11">
        <f t="shared" si="16"/>
        <v>-17.404329912138103</v>
      </c>
      <c r="V28" s="345">
        <f t="shared" si="12"/>
        <v>-1002.6192271780594</v>
      </c>
      <c r="W28" s="12"/>
    </row>
    <row r="29" spans="1:24" x14ac:dyDescent="0.25">
      <c r="A29" s="2">
        <v>9</v>
      </c>
      <c r="B29" s="11">
        <f>A29/100*'Inputs-Imperial'!$E$5</f>
        <v>0.88582680000000003</v>
      </c>
      <c r="C29" s="8">
        <f>'Inputs-Imperial'!$E$10+('Inputs-Imperial'!$E$9-'Inputs-Imperial'!$E$10)*(100-A29)/100</f>
        <v>2.04396332</v>
      </c>
      <c r="D29" s="8">
        <f t="shared" si="13"/>
        <v>9.842519999999999E-2</v>
      </c>
      <c r="E29" s="8">
        <f t="shared" si="14"/>
        <v>0.201661874563416</v>
      </c>
      <c r="F29" s="11">
        <f t="shared" si="0"/>
        <v>15.141287180770412</v>
      </c>
      <c r="G29" s="8">
        <f t="shared" si="1"/>
        <v>2.0801713918888414</v>
      </c>
      <c r="H29" s="8">
        <f t="shared" si="3"/>
        <v>2.0620673559444205</v>
      </c>
      <c r="I29" s="8">
        <f t="shared" si="15"/>
        <v>0.20324542395623757</v>
      </c>
      <c r="J29" s="11">
        <f t="shared" si="2"/>
        <v>15.260184102528948</v>
      </c>
      <c r="K29" s="550">
        <v>0</v>
      </c>
      <c r="L29" s="11">
        <f t="shared" si="4"/>
        <v>15.260184102528948</v>
      </c>
      <c r="M29" s="150">
        <f t="shared" si="5"/>
        <v>1073.237271473452</v>
      </c>
      <c r="N29" s="149">
        <f t="shared" si="6"/>
        <v>4255.4661944553245</v>
      </c>
      <c r="O29" s="11">
        <f t="shared" si="7"/>
        <v>1.5260184102528949</v>
      </c>
      <c r="P29" s="345">
        <f t="shared" si="8"/>
        <v>107.32372714734528</v>
      </c>
      <c r="Q29" s="416">
        <f t="shared" si="9"/>
        <v>425.54661944553254</v>
      </c>
      <c r="R29" s="8">
        <f t="shared" si="10"/>
        <v>-0.55000000000000004</v>
      </c>
      <c r="S29" s="552">
        <v>0</v>
      </c>
      <c r="T29" s="8">
        <f t="shared" si="11"/>
        <v>-0.55000000000000004</v>
      </c>
      <c r="U29" s="11">
        <f t="shared" si="16"/>
        <v>-17.307140115939823</v>
      </c>
      <c r="V29" s="345">
        <f t="shared" si="12"/>
        <v>-985.31208706211964</v>
      </c>
      <c r="W29" s="12"/>
    </row>
    <row r="30" spans="1:24" x14ac:dyDescent="0.25">
      <c r="A30" s="2">
        <v>10</v>
      </c>
      <c r="B30" s="11">
        <f>A30/100*'Inputs-Imperial'!$E$5</f>
        <v>0.98425200000000013</v>
      </c>
      <c r="C30" s="8">
        <f>'Inputs-Imperial'!$E$10+('Inputs-Imperial'!$E$9-'Inputs-Imperial'!$E$10)*(100-A30)/100</f>
        <v>2.0341208000000002</v>
      </c>
      <c r="D30" s="8">
        <f t="shared" si="13"/>
        <v>9.8425200000000101E-2</v>
      </c>
      <c r="E30" s="8">
        <f t="shared" si="14"/>
        <v>0.2006931225639122</v>
      </c>
      <c r="F30" s="11">
        <f t="shared" si="0"/>
        <v>15.068550813208679</v>
      </c>
      <c r="G30" s="8">
        <f t="shared" si="1"/>
        <v>2.0781781364473</v>
      </c>
      <c r="H30" s="8">
        <f t="shared" si="3"/>
        <v>2.0561494682236501</v>
      </c>
      <c r="I30" s="8">
        <f t="shared" si="15"/>
        <v>0.20266815728105381</v>
      </c>
      <c r="J30" s="11">
        <f t="shared" si="2"/>
        <v>15.216841450241455</v>
      </c>
      <c r="K30" s="550">
        <v>0</v>
      </c>
      <c r="L30" s="11">
        <f t="shared" si="4"/>
        <v>15.216841450241455</v>
      </c>
      <c r="M30" s="150">
        <f t="shared" si="5"/>
        <v>1058.0204300232106</v>
      </c>
      <c r="N30" s="149">
        <f t="shared" si="6"/>
        <v>4149.8326013630958</v>
      </c>
      <c r="O30" s="11">
        <f t="shared" si="7"/>
        <v>1.5216841450241456</v>
      </c>
      <c r="P30" s="345">
        <f t="shared" si="8"/>
        <v>105.80204300232114</v>
      </c>
      <c r="Q30" s="416">
        <f t="shared" si="9"/>
        <v>414.98326013630964</v>
      </c>
      <c r="R30" s="8">
        <f t="shared" si="10"/>
        <v>-0.55000000000000004</v>
      </c>
      <c r="S30" s="552">
        <v>0</v>
      </c>
      <c r="T30" s="8">
        <f t="shared" si="11"/>
        <v>-0.55000000000000004</v>
      </c>
      <c r="U30" s="11">
        <f t="shared" si="16"/>
        <v>-17.208455250776662</v>
      </c>
      <c r="V30" s="345">
        <f t="shared" si="12"/>
        <v>-968.10363181134301</v>
      </c>
      <c r="W30" s="12"/>
    </row>
    <row r="31" spans="1:24" x14ac:dyDescent="0.25">
      <c r="A31" s="2">
        <v>11</v>
      </c>
      <c r="B31" s="11">
        <f>A31/100*'Inputs-Imperial'!$E$5</f>
        <v>1.0826772</v>
      </c>
      <c r="C31" s="8">
        <f>'Inputs-Imperial'!$E$10+('Inputs-Imperial'!$E$9-'Inputs-Imperial'!$E$10)*(100-A31)/100</f>
        <v>2.0242782799999999</v>
      </c>
      <c r="D31" s="8">
        <f t="shared" si="13"/>
        <v>9.8425199999999879E-2</v>
      </c>
      <c r="E31" s="8">
        <f t="shared" si="14"/>
        <v>0.19972437056440775</v>
      </c>
      <c r="F31" s="11">
        <f t="shared" si="0"/>
        <v>14.995814445646898</v>
      </c>
      <c r="G31" s="8">
        <f t="shared" si="1"/>
        <v>2.0759728380234925</v>
      </c>
      <c r="H31" s="8">
        <f t="shared" si="3"/>
        <v>2.0501255590117462</v>
      </c>
      <c r="I31" s="8">
        <f t="shared" si="15"/>
        <v>0.20208047040532442</v>
      </c>
      <c r="J31" s="11">
        <f t="shared" si="2"/>
        <v>15.172716422756451</v>
      </c>
      <c r="K31" s="550">
        <v>0</v>
      </c>
      <c r="L31" s="11">
        <f t="shared" si="4"/>
        <v>15.172716422756451</v>
      </c>
      <c r="M31" s="150">
        <f t="shared" si="5"/>
        <v>1042.8477136004542</v>
      </c>
      <c r="N31" s="149">
        <f t="shared" si="6"/>
        <v>4045.696728933975</v>
      </c>
      <c r="O31" s="11">
        <f t="shared" si="7"/>
        <v>1.5172716422756451</v>
      </c>
      <c r="P31" s="345">
        <f t="shared" si="8"/>
        <v>104.2847713600455</v>
      </c>
      <c r="Q31" s="416">
        <f t="shared" si="9"/>
        <v>404.56967289339758</v>
      </c>
      <c r="R31" s="8">
        <f t="shared" si="10"/>
        <v>-0.55000000000000004</v>
      </c>
      <c r="S31" s="552">
        <v>0</v>
      </c>
      <c r="T31" s="8">
        <f t="shared" si="11"/>
        <v>-0.55000000000000004</v>
      </c>
      <c r="U31" s="11">
        <f t="shared" si="16"/>
        <v>-17.108285555861649</v>
      </c>
      <c r="V31" s="345">
        <f t="shared" si="12"/>
        <v>-950.99534625548131</v>
      </c>
      <c r="W31" s="12"/>
    </row>
    <row r="32" spans="1:24" x14ac:dyDescent="0.25">
      <c r="A32" s="2">
        <v>12</v>
      </c>
      <c r="B32" s="11">
        <f>A32/100*'Inputs-Imperial'!$E$5</f>
        <v>1.1811024000000001</v>
      </c>
      <c r="C32" s="8">
        <f>'Inputs-Imperial'!$E$10+('Inputs-Imperial'!$E$9-'Inputs-Imperial'!$E$10)*(100-A32)/100</f>
        <v>2.01443576</v>
      </c>
      <c r="D32" s="8">
        <f t="shared" si="13"/>
        <v>9.8425200000000101E-2</v>
      </c>
      <c r="E32" s="8">
        <f t="shared" si="14"/>
        <v>0.19875561856490423</v>
      </c>
      <c r="F32" s="11">
        <f t="shared" si="0"/>
        <v>14.923078078085187</v>
      </c>
      <c r="G32" s="8">
        <f t="shared" si="1"/>
        <v>2.0735548200720384</v>
      </c>
      <c r="H32" s="8">
        <f t="shared" si="3"/>
        <v>2.043995290036019</v>
      </c>
      <c r="I32" s="8">
        <f t="shared" si="15"/>
        <v>0.20148233169584828</v>
      </c>
      <c r="J32" s="11">
        <f t="shared" si="2"/>
        <v>15.127806644972621</v>
      </c>
      <c r="K32" s="550">
        <v>0</v>
      </c>
      <c r="L32" s="11">
        <f t="shared" si="4"/>
        <v>15.127806644972621</v>
      </c>
      <c r="M32" s="150">
        <f t="shared" si="5"/>
        <v>1027.7199069554815</v>
      </c>
      <c r="N32" s="149">
        <f t="shared" si="6"/>
        <v>3943.0542341533073</v>
      </c>
      <c r="O32" s="11">
        <f t="shared" si="7"/>
        <v>1.5127806644972621</v>
      </c>
      <c r="P32" s="345">
        <f t="shared" si="8"/>
        <v>102.77199069554824</v>
      </c>
      <c r="Q32" s="416">
        <f t="shared" si="9"/>
        <v>394.30542341533084</v>
      </c>
      <c r="R32" s="8">
        <f t="shared" si="10"/>
        <v>-0.55000000000000004</v>
      </c>
      <c r="S32" s="552">
        <v>0</v>
      </c>
      <c r="T32" s="8">
        <f t="shared" si="11"/>
        <v>-0.55000000000000004</v>
      </c>
      <c r="U32" s="11">
        <f t="shared" si="16"/>
        <v>-17.006641041994794</v>
      </c>
      <c r="V32" s="345">
        <f t="shared" si="12"/>
        <v>-933.98870521348647</v>
      </c>
      <c r="W32" s="12"/>
    </row>
    <row r="33" spans="1:23" x14ac:dyDescent="0.25">
      <c r="A33" s="2">
        <v>13</v>
      </c>
      <c r="B33" s="11">
        <f>A33/100*'Inputs-Imperial'!$E$5</f>
        <v>1.2795276</v>
      </c>
      <c r="C33" s="8">
        <f>'Inputs-Imperial'!$E$10+('Inputs-Imperial'!$E$9-'Inputs-Imperial'!$E$10)*(100-A33)/100</f>
        <v>2.0045932400000002</v>
      </c>
      <c r="D33" s="8">
        <f t="shared" si="13"/>
        <v>9.8425199999999879E-2</v>
      </c>
      <c r="E33" s="8">
        <f t="shared" si="14"/>
        <v>0.19778686656539973</v>
      </c>
      <c r="F33" s="11">
        <f t="shared" si="0"/>
        <v>14.850341710523402</v>
      </c>
      <c r="G33" s="8">
        <f t="shared" si="1"/>
        <v>2.0709233374766871</v>
      </c>
      <c r="H33" s="8">
        <f t="shared" si="3"/>
        <v>2.0377582887383436</v>
      </c>
      <c r="I33" s="8">
        <f t="shared" si="15"/>
        <v>0.20087370617079095</v>
      </c>
      <c r="J33" s="11">
        <f t="shared" si="2"/>
        <v>15.082109490364736</v>
      </c>
      <c r="K33" s="550">
        <v>0</v>
      </c>
      <c r="L33" s="11">
        <f t="shared" si="4"/>
        <v>15.082109490364736</v>
      </c>
      <c r="M33" s="150">
        <f t="shared" si="5"/>
        <v>1012.6377974651168</v>
      </c>
      <c r="N33" s="149">
        <f t="shared" si="6"/>
        <v>3841.9006967672326</v>
      </c>
      <c r="O33" s="11">
        <f t="shared" si="7"/>
        <v>1.5082109490364737</v>
      </c>
      <c r="P33" s="345">
        <f t="shared" si="8"/>
        <v>101.26377974651177</v>
      </c>
      <c r="Q33" s="416">
        <f t="shared" si="9"/>
        <v>384.1900696767234</v>
      </c>
      <c r="R33" s="8">
        <f t="shared" si="10"/>
        <v>-0.55000000000000004</v>
      </c>
      <c r="S33" s="552">
        <v>0</v>
      </c>
      <c r="T33" s="8">
        <f t="shared" si="11"/>
        <v>-0.55000000000000004</v>
      </c>
      <c r="U33" s="11">
        <f t="shared" si="16"/>
        <v>-16.903531494107487</v>
      </c>
      <c r="V33" s="345">
        <f t="shared" si="12"/>
        <v>-917.08517371937899</v>
      </c>
      <c r="W33" s="12"/>
    </row>
    <row r="34" spans="1:23" x14ac:dyDescent="0.25">
      <c r="A34" s="2">
        <v>14</v>
      </c>
      <c r="B34" s="11">
        <f>A34/100*'Inputs-Imperial'!$E$5</f>
        <v>1.3779528000000001</v>
      </c>
      <c r="C34" s="8">
        <f>'Inputs-Imperial'!$E$10+('Inputs-Imperial'!$E$9-'Inputs-Imperial'!$E$10)*(100-A34)/100</f>
        <v>1.9947507199999999</v>
      </c>
      <c r="D34" s="8">
        <f t="shared" si="13"/>
        <v>9.8425200000000101E-2</v>
      </c>
      <c r="E34" s="8">
        <f t="shared" si="14"/>
        <v>0.19681811456589621</v>
      </c>
      <c r="F34" s="11">
        <f t="shared" si="0"/>
        <v>14.77760534296169</v>
      </c>
      <c r="G34" s="8">
        <f t="shared" si="1"/>
        <v>2.0680775753815683</v>
      </c>
      <c r="H34" s="8">
        <f t="shared" si="3"/>
        <v>2.0314141476907839</v>
      </c>
      <c r="I34" s="8">
        <f t="shared" si="15"/>
        <v>0.20025455544501228</v>
      </c>
      <c r="J34" s="11">
        <f t="shared" si="2"/>
        <v>15.035622076878706</v>
      </c>
      <c r="K34" s="550">
        <v>0</v>
      </c>
      <c r="L34" s="11">
        <f t="shared" si="4"/>
        <v>15.035622076878706</v>
      </c>
      <c r="M34" s="150">
        <f t="shared" si="5"/>
        <v>997.60217538823815</v>
      </c>
      <c r="N34" s="149">
        <f t="shared" si="6"/>
        <v>3742.231619024169</v>
      </c>
      <c r="O34" s="11">
        <f t="shared" si="7"/>
        <v>1.5035622076878705</v>
      </c>
      <c r="P34" s="345">
        <f t="shared" si="8"/>
        <v>99.760217538823909</v>
      </c>
      <c r="Q34" s="416">
        <f t="shared" si="9"/>
        <v>374.22316190241702</v>
      </c>
      <c r="R34" s="8">
        <f t="shared" si="10"/>
        <v>-0.55000000000000004</v>
      </c>
      <c r="S34" s="552">
        <v>0</v>
      </c>
      <c r="T34" s="8">
        <f t="shared" si="11"/>
        <v>-0.55000000000000004</v>
      </c>
      <c r="U34" s="11">
        <f t="shared" si="16"/>
        <v>-16.798966473466809</v>
      </c>
      <c r="V34" s="345">
        <f t="shared" si="12"/>
        <v>-900.28620724591212</v>
      </c>
      <c r="W34" s="12"/>
    </row>
    <row r="35" spans="1:23" x14ac:dyDescent="0.25">
      <c r="A35" s="2">
        <v>15</v>
      </c>
      <c r="B35" s="11">
        <f>A35/100*'Inputs-Imperial'!$E$5</f>
        <v>1.476378</v>
      </c>
      <c r="C35" s="8">
        <f>'Inputs-Imperial'!$E$10+('Inputs-Imperial'!$E$9-'Inputs-Imperial'!$E$10)*(100-A35)/100</f>
        <v>1.9849082</v>
      </c>
      <c r="D35" s="8">
        <f t="shared" si="13"/>
        <v>9.8425199999999879E-2</v>
      </c>
      <c r="E35" s="8">
        <f t="shared" si="14"/>
        <v>0.19584936256639177</v>
      </c>
      <c r="F35" s="11">
        <f t="shared" si="0"/>
        <v>14.70486897539991</v>
      </c>
      <c r="G35" s="8">
        <f t="shared" si="1"/>
        <v>2.0650166479027616</v>
      </c>
      <c r="H35" s="8">
        <f t="shared" si="3"/>
        <v>2.024962423951381</v>
      </c>
      <c r="I35" s="8">
        <f t="shared" si="15"/>
        <v>0.19962483766959696</v>
      </c>
      <c r="J35" s="11">
        <f t="shared" si="2"/>
        <v>14.988341262391382</v>
      </c>
      <c r="K35" s="550">
        <v>0</v>
      </c>
      <c r="L35" s="11">
        <f t="shared" si="4"/>
        <v>14.988341262391382</v>
      </c>
      <c r="M35" s="150">
        <f t="shared" si="5"/>
        <v>982.61383412584678</v>
      </c>
      <c r="N35" s="149">
        <f t="shared" si="6"/>
        <v>3644.0424253911469</v>
      </c>
      <c r="O35" s="11">
        <f t="shared" si="7"/>
        <v>1.4988341262391383</v>
      </c>
      <c r="P35" s="345">
        <f t="shared" si="8"/>
        <v>98.261383412584777</v>
      </c>
      <c r="Q35" s="416">
        <f t="shared" si="9"/>
        <v>364.40424253911476</v>
      </c>
      <c r="R35" s="8">
        <f t="shared" si="10"/>
        <v>-0.55000000000000004</v>
      </c>
      <c r="S35" s="552">
        <v>0</v>
      </c>
      <c r="T35" s="8">
        <f t="shared" si="11"/>
        <v>-0.55000000000000004</v>
      </c>
      <c r="U35" s="11">
        <f t="shared" si="16"/>
        <v>-16.692955319536406</v>
      </c>
      <c r="V35" s="345">
        <f t="shared" si="12"/>
        <v>-883.59325192637573</v>
      </c>
      <c r="W35" s="12"/>
    </row>
    <row r="36" spans="1:23" x14ac:dyDescent="0.25">
      <c r="A36" s="2">
        <v>16</v>
      </c>
      <c r="B36" s="11">
        <f>A36/100*'Inputs-Imperial'!$E$5</f>
        <v>1.5748032000000001</v>
      </c>
      <c r="C36" s="8">
        <f>'Inputs-Imperial'!$E$10+('Inputs-Imperial'!$E$9-'Inputs-Imperial'!$E$10)*(100-A36)/100</f>
        <v>1.9750656800000002</v>
      </c>
      <c r="D36" s="8">
        <f t="shared" si="13"/>
        <v>9.8425200000000101E-2</v>
      </c>
      <c r="E36" s="8">
        <f t="shared" si="14"/>
        <v>0.19488061056688821</v>
      </c>
      <c r="F36" s="11">
        <f t="shared" si="0"/>
        <v>14.632132607838196</v>
      </c>
      <c r="G36" s="8">
        <f t="shared" si="1"/>
        <v>2.0617395967153413</v>
      </c>
      <c r="H36" s="8">
        <f t="shared" si="3"/>
        <v>2.0184026383576708</v>
      </c>
      <c r="I36" s="8">
        <f t="shared" si="15"/>
        <v>0.19898450746539065</v>
      </c>
      <c r="J36" s="11">
        <f t="shared" si="2"/>
        <v>14.940263639720268</v>
      </c>
      <c r="K36" s="550">
        <v>0</v>
      </c>
      <c r="L36" s="11">
        <f t="shared" si="4"/>
        <v>14.940263639720268</v>
      </c>
      <c r="M36" s="150">
        <f t="shared" si="5"/>
        <v>967.67357048612655</v>
      </c>
      <c r="N36" s="149">
        <f t="shared" si="6"/>
        <v>3547.3284622445435</v>
      </c>
      <c r="O36" s="11">
        <f t="shared" si="7"/>
        <v>1.4940263639720268</v>
      </c>
      <c r="P36" s="345">
        <f t="shared" si="8"/>
        <v>96.767357048612752</v>
      </c>
      <c r="Q36" s="416">
        <f t="shared" si="9"/>
        <v>354.73284622445442</v>
      </c>
      <c r="R36" s="8">
        <f t="shared" si="10"/>
        <v>-0.55000000000000004</v>
      </c>
      <c r="S36" s="552">
        <v>0</v>
      </c>
      <c r="T36" s="8">
        <f t="shared" si="11"/>
        <v>-0.55000000000000004</v>
      </c>
      <c r="U36" s="11">
        <f t="shared" si="16"/>
        <v>-16.585507151493815</v>
      </c>
      <c r="V36" s="345">
        <f t="shared" si="12"/>
        <v>-867.00774477488187</v>
      </c>
      <c r="W36" s="12"/>
    </row>
    <row r="37" spans="1:23" x14ac:dyDescent="0.25">
      <c r="A37" s="2">
        <v>17</v>
      </c>
      <c r="B37" s="11">
        <f>A37/100*'Inputs-Imperial'!$E$5</f>
        <v>1.6732284000000002</v>
      </c>
      <c r="C37" s="8">
        <f>'Inputs-Imperial'!$E$10+('Inputs-Imperial'!$E$9-'Inputs-Imperial'!$E$10)*(100-A37)/100</f>
        <v>1.9652231600000001</v>
      </c>
      <c r="D37" s="8">
        <f t="shared" si="13"/>
        <v>9.8425200000000101E-2</v>
      </c>
      <c r="E37" s="8">
        <f t="shared" si="14"/>
        <v>0.19391185856738419</v>
      </c>
      <c r="F37" s="11">
        <f t="shared" si="0"/>
        <v>14.559396240276447</v>
      </c>
      <c r="G37" s="8">
        <f t="shared" si="1"/>
        <v>2.0582453895105042</v>
      </c>
      <c r="H37" s="8">
        <f t="shared" si="3"/>
        <v>2.011734274755252</v>
      </c>
      <c r="I37" s="8">
        <f t="shared" si="15"/>
        <v>0.19833351585026124</v>
      </c>
      <c r="J37" s="11">
        <f t="shared" si="2"/>
        <v>14.891385531162133</v>
      </c>
      <c r="K37" s="550">
        <v>0</v>
      </c>
      <c r="L37" s="11">
        <f t="shared" si="4"/>
        <v>14.891385531162133</v>
      </c>
      <c r="M37" s="150">
        <f t="shared" si="5"/>
        <v>952.78218495496446</v>
      </c>
      <c r="N37" s="149">
        <f t="shared" si="6"/>
        <v>3452.0849975347323</v>
      </c>
      <c r="O37" s="11">
        <f t="shared" si="7"/>
        <v>1.4891385531162133</v>
      </c>
      <c r="P37" s="345">
        <f t="shared" si="8"/>
        <v>95.278218495496532</v>
      </c>
      <c r="Q37" s="416">
        <f t="shared" si="9"/>
        <v>345.20849975347329</v>
      </c>
      <c r="R37" s="8">
        <f t="shared" si="10"/>
        <v>-0.55000000000000004</v>
      </c>
      <c r="S37" s="552">
        <v>0</v>
      </c>
      <c r="T37" s="8">
        <f t="shared" si="11"/>
        <v>-0.55000000000000004</v>
      </c>
      <c r="U37" s="11">
        <f>J37*T37*H37</f>
        <v>-16.476630869398317</v>
      </c>
      <c r="V37" s="345">
        <f t="shared" si="12"/>
        <v>-850.53111390548361</v>
      </c>
      <c r="W37" s="12"/>
    </row>
    <row r="38" spans="1:23" x14ac:dyDescent="0.25">
      <c r="A38" s="2">
        <v>18</v>
      </c>
      <c r="B38" s="11">
        <f>A38/100*'Inputs-Imperial'!$E$5</f>
        <v>1.7716536000000001</v>
      </c>
      <c r="C38" s="8">
        <f>'Inputs-Imperial'!$E$10+('Inputs-Imperial'!$E$9-'Inputs-Imperial'!$E$10)*(100-A38)/100</f>
        <v>1.95538064</v>
      </c>
      <c r="D38" s="8">
        <f t="shared" si="13"/>
        <v>9.8425199999999879E-2</v>
      </c>
      <c r="E38" s="8">
        <f t="shared" si="14"/>
        <v>0.19294310656787977</v>
      </c>
      <c r="F38" s="11">
        <f t="shared" si="0"/>
        <v>14.486659872714668</v>
      </c>
      <c r="G38" s="8">
        <f t="shared" si="1"/>
        <v>2.0545329183168328</v>
      </c>
      <c r="H38" s="8">
        <f t="shared" si="3"/>
        <v>2.0049567791584164</v>
      </c>
      <c r="I38" s="8">
        <f t="shared" si="15"/>
        <v>0.19767181015983154</v>
      </c>
      <c r="J38" s="11">
        <f t="shared" si="2"/>
        <v>14.841702982541394</v>
      </c>
      <c r="K38" s="550">
        <v>0</v>
      </c>
      <c r="L38" s="11">
        <f t="shared" si="4"/>
        <v>14.841702982541394</v>
      </c>
      <c r="M38" s="150">
        <f t="shared" si="5"/>
        <v>937.94048197242307</v>
      </c>
      <c r="N38" s="149">
        <f t="shared" si="6"/>
        <v>3358.307220424103</v>
      </c>
      <c r="O38" s="11">
        <f t="shared" si="7"/>
        <v>1.4841702982541394</v>
      </c>
      <c r="P38" s="345">
        <f t="shared" si="8"/>
        <v>93.79404819724239</v>
      </c>
      <c r="Q38" s="416">
        <f t="shared" si="9"/>
        <v>335.83072204241034</v>
      </c>
      <c r="R38" s="8">
        <f t="shared" si="10"/>
        <v>-0.55000000000000004</v>
      </c>
      <c r="S38" s="552">
        <v>0</v>
      </c>
      <c r="T38" s="8">
        <f t="shared" si="11"/>
        <v>-0.55000000000000004</v>
      </c>
      <c r="U38" s="11">
        <f t="shared" si="16"/>
        <v>-16.36633515500613</v>
      </c>
      <c r="V38" s="345">
        <f t="shared" si="12"/>
        <v>-834.16477875047747</v>
      </c>
      <c r="W38" s="12"/>
    </row>
    <row r="39" spans="1:23" x14ac:dyDescent="0.25">
      <c r="A39" s="2">
        <v>19</v>
      </c>
      <c r="B39" s="11">
        <f>A39/100*'Inputs-Imperial'!$E$5</f>
        <v>1.8700788000000002</v>
      </c>
      <c r="C39" s="8">
        <f>'Inputs-Imperial'!$E$10+('Inputs-Imperial'!$E$9-'Inputs-Imperial'!$E$10)*(100-A39)/100</f>
        <v>1.9455381200000001</v>
      </c>
      <c r="D39" s="8">
        <f t="shared" si="13"/>
        <v>9.8425200000000101E-2</v>
      </c>
      <c r="E39" s="8">
        <f t="shared" si="14"/>
        <v>0.19197435456837619</v>
      </c>
      <c r="F39" s="11">
        <f t="shared" si="0"/>
        <v>14.413923505152953</v>
      </c>
      <c r="G39" s="8">
        <f t="shared" si="1"/>
        <v>2.0506009976791306</v>
      </c>
      <c r="H39" s="8">
        <f t="shared" si="3"/>
        <v>1.9980695588395654</v>
      </c>
      <c r="I39" s="8">
        <f t="shared" si="15"/>
        <v>0.19699933396135968</v>
      </c>
      <c r="J39" s="11">
        <f t="shared" si="2"/>
        <v>14.79121175674406</v>
      </c>
      <c r="K39" s="550">
        <v>0</v>
      </c>
      <c r="L39" s="11">
        <f t="shared" si="4"/>
        <v>14.79121175674406</v>
      </c>
      <c r="M39" s="150">
        <f t="shared" si="5"/>
        <v>923.14927021567905</v>
      </c>
      <c r="N39" s="149">
        <f t="shared" si="6"/>
        <v>3265.9902408978705</v>
      </c>
      <c r="O39" s="11">
        <f t="shared" si="7"/>
        <v>1.479121175674406</v>
      </c>
      <c r="P39" s="345">
        <f t="shared" si="8"/>
        <v>92.314927021567982</v>
      </c>
      <c r="Q39" s="416">
        <f t="shared" si="9"/>
        <v>326.59902408978712</v>
      </c>
      <c r="R39" s="8">
        <f t="shared" si="10"/>
        <v>-0.55000000000000004</v>
      </c>
      <c r="S39" s="552">
        <v>0</v>
      </c>
      <c r="T39" s="8">
        <f t="shared" si="11"/>
        <v>-0.55000000000000004</v>
      </c>
      <c r="U39" s="11">
        <f t="shared" si="16"/>
        <v>-16.254628472225107</v>
      </c>
      <c r="V39" s="345">
        <f t="shared" si="12"/>
        <v>-817.91015027825233</v>
      </c>
      <c r="W39" s="12"/>
    </row>
    <row r="40" spans="1:23" x14ac:dyDescent="0.25">
      <c r="A40" s="2">
        <v>20</v>
      </c>
      <c r="B40" s="11">
        <f>A40/100*'Inputs-Imperial'!$E$5</f>
        <v>1.9685040000000003</v>
      </c>
      <c r="C40" s="8">
        <f>'Inputs-Imperial'!$E$10+('Inputs-Imperial'!$E$9-'Inputs-Imperial'!$E$10)*(100-A40)/100</f>
        <v>1.9356955999999998</v>
      </c>
      <c r="D40" s="8">
        <f t="shared" si="13"/>
        <v>9.8425200000000101E-2</v>
      </c>
      <c r="E40" s="8">
        <f t="shared" si="14"/>
        <v>0.1910056025688722</v>
      </c>
      <c r="F40" s="11">
        <f t="shared" si="0"/>
        <v>14.341187137591206</v>
      </c>
      <c r="G40" s="8">
        <f t="shared" si="1"/>
        <v>2.0464483626875949</v>
      </c>
      <c r="H40" s="8">
        <f t="shared" si="3"/>
        <v>1.9910719813437974</v>
      </c>
      <c r="I40" s="8">
        <f t="shared" si="15"/>
        <v>0.19631602696042796</v>
      </c>
      <c r="J40" s="11">
        <f t="shared" si="2"/>
        <v>14.739907326711677</v>
      </c>
      <c r="K40" s="550">
        <v>0</v>
      </c>
      <c r="L40" s="11">
        <f t="shared" si="4"/>
        <v>14.739907326711677</v>
      </c>
      <c r="M40" s="150">
        <f t="shared" si="5"/>
        <v>908.40936288896739</v>
      </c>
      <c r="N40" s="149">
        <f t="shared" si="6"/>
        <v>3175.1290893470382</v>
      </c>
      <c r="O40" s="11">
        <f t="shared" si="7"/>
        <v>1.4739907326711676</v>
      </c>
      <c r="P40" s="345">
        <f t="shared" si="8"/>
        <v>90.840936288896813</v>
      </c>
      <c r="Q40" s="416">
        <f t="shared" si="9"/>
        <v>317.51290893470389</v>
      </c>
      <c r="R40" s="8">
        <f t="shared" si="10"/>
        <v>-0.55000000000000004</v>
      </c>
      <c r="S40" s="552">
        <v>0</v>
      </c>
      <c r="T40" s="8">
        <f t="shared" si="11"/>
        <v>-0.55000000000000004</v>
      </c>
      <c r="U40" s="11">
        <f t="shared" si="16"/>
        <v>-16.141519067200878</v>
      </c>
      <c r="V40" s="345">
        <f t="shared" si="12"/>
        <v>-801.76863121105146</v>
      </c>
      <c r="W40" s="12"/>
    </row>
    <row r="41" spans="1:23" x14ac:dyDescent="0.25">
      <c r="A41" s="2">
        <v>21</v>
      </c>
      <c r="B41" s="11">
        <f>A41/100*'Inputs-Imperial'!$E$5</f>
        <v>2.0669292000000001</v>
      </c>
      <c r="C41" s="8">
        <f>'Inputs-Imperial'!$E$10+('Inputs-Imperial'!$E$9-'Inputs-Imperial'!$E$10)*(100-A41)/100</f>
        <v>1.92585308</v>
      </c>
      <c r="D41" s="8">
        <f t="shared" si="13"/>
        <v>9.8425199999999879E-2</v>
      </c>
      <c r="E41" s="8">
        <f t="shared" si="14"/>
        <v>0.19003685056936775</v>
      </c>
      <c r="F41" s="11">
        <f t="shared" si="0"/>
        <v>14.268450770029425</v>
      </c>
      <c r="G41" s="8">
        <f t="shared" si="1"/>
        <v>2.0420736668494004</v>
      </c>
      <c r="H41" s="8">
        <f t="shared" si="3"/>
        <v>1.9839633734247002</v>
      </c>
      <c r="I41" s="8">
        <f t="shared" si="15"/>
        <v>0.1956218249000799</v>
      </c>
      <c r="J41" s="11">
        <f t="shared" si="2"/>
        <v>14.687784867868286</v>
      </c>
      <c r="K41" s="550">
        <v>0</v>
      </c>
      <c r="L41" s="11">
        <f t="shared" si="4"/>
        <v>14.687784867868286</v>
      </c>
      <c r="M41" s="150">
        <f t="shared" si="5"/>
        <v>893.72157802109916</v>
      </c>
      <c r="N41" s="149">
        <f t="shared" si="6"/>
        <v>3085.7187161228189</v>
      </c>
      <c r="O41" s="11">
        <f t="shared" si="7"/>
        <v>1.4687784867868285</v>
      </c>
      <c r="P41" s="345">
        <f t="shared" si="8"/>
        <v>89.372157802109982</v>
      </c>
      <c r="Q41" s="416">
        <f t="shared" si="9"/>
        <v>308.571871612282</v>
      </c>
      <c r="R41" s="8">
        <f t="shared" si="10"/>
        <v>-0.55000000000000004</v>
      </c>
      <c r="S41" s="552">
        <v>0</v>
      </c>
      <c r="T41" s="8">
        <f t="shared" si="11"/>
        <v>-0.55000000000000004</v>
      </c>
      <c r="U41" s="11">
        <f t="shared" si="16"/>
        <v>-16.027014968025728</v>
      </c>
      <c r="V41" s="345">
        <f t="shared" si="12"/>
        <v>-785.74161624302576</v>
      </c>
      <c r="W41" s="12"/>
    </row>
    <row r="42" spans="1:23" x14ac:dyDescent="0.25">
      <c r="A42" s="2">
        <v>22</v>
      </c>
      <c r="B42" s="11">
        <f>A42/100*'Inputs-Imperial'!$E$5</f>
        <v>2.1653544</v>
      </c>
      <c r="C42" s="8">
        <f>'Inputs-Imperial'!$E$10+('Inputs-Imperial'!$E$9-'Inputs-Imperial'!$E$10)*(100-A42)/100</f>
        <v>1.9160105600000001</v>
      </c>
      <c r="D42" s="8">
        <f t="shared" si="13"/>
        <v>9.8425199999999879E-2</v>
      </c>
      <c r="E42" s="8">
        <f t="shared" si="14"/>
        <v>0.18906809856986379</v>
      </c>
      <c r="F42" s="11">
        <f t="shared" si="0"/>
        <v>14.195714402467679</v>
      </c>
      <c r="G42" s="8">
        <f t="shared" si="1"/>
        <v>2.0374754797939785</v>
      </c>
      <c r="H42" s="8">
        <f t="shared" si="3"/>
        <v>1.9767430198969893</v>
      </c>
      <c r="I42" s="8">
        <f t="shared" si="15"/>
        <v>0.19491665945198275</v>
      </c>
      <c r="J42" s="11">
        <f t="shared" si="2"/>
        <v>14.634839249948634</v>
      </c>
      <c r="K42" s="550">
        <v>0</v>
      </c>
      <c r="L42" s="11">
        <f t="shared" si="4"/>
        <v>14.634839249948634</v>
      </c>
      <c r="M42" s="150">
        <f t="shared" si="5"/>
        <v>879.08673877115052</v>
      </c>
      <c r="N42" s="149">
        <f t="shared" si="6"/>
        <v>2997.7539910617766</v>
      </c>
      <c r="O42" s="11">
        <f t="shared" si="7"/>
        <v>1.4634839249948635</v>
      </c>
      <c r="P42" s="345">
        <f t="shared" si="8"/>
        <v>87.90867387711512</v>
      </c>
      <c r="Q42" s="416">
        <f t="shared" si="9"/>
        <v>299.77539910617776</v>
      </c>
      <c r="R42" s="8">
        <f t="shared" si="10"/>
        <v>-0.55000000000000004</v>
      </c>
      <c r="S42" s="552">
        <v>0</v>
      </c>
      <c r="T42" s="8">
        <f t="shared" si="11"/>
        <v>-0.55000000000000004</v>
      </c>
      <c r="U42" s="11">
        <f t="shared" si="16"/>
        <v>-15.911123984057751</v>
      </c>
      <c r="V42" s="345">
        <f t="shared" si="12"/>
        <v>-769.83049225896798</v>
      </c>
      <c r="W42" s="12"/>
    </row>
    <row r="43" spans="1:23" x14ac:dyDescent="0.25">
      <c r="A43" s="2">
        <v>23</v>
      </c>
      <c r="B43" s="11">
        <f>A43/100*'Inputs-Imperial'!$E$5</f>
        <v>2.2637796000000003</v>
      </c>
      <c r="C43" s="8">
        <f>'Inputs-Imperial'!$E$10+('Inputs-Imperial'!$E$9-'Inputs-Imperial'!$E$10)*(100-A43)/100</f>
        <v>1.9061680400000001</v>
      </c>
      <c r="D43" s="8">
        <f t="shared" si="13"/>
        <v>9.8425200000000324E-2</v>
      </c>
      <c r="E43" s="8">
        <f t="shared" si="14"/>
        <v>0.18809934657036062</v>
      </c>
      <c r="F43" s="11">
        <f t="shared" si="0"/>
        <v>14.122978034905996</v>
      </c>
      <c r="G43" s="8">
        <f t="shared" si="1"/>
        <v>2.0326522848024395</v>
      </c>
      <c r="H43" s="8">
        <f t="shared" si="3"/>
        <v>1.9694101624012199</v>
      </c>
      <c r="I43" s="8">
        <f t="shared" si="15"/>
        <v>0.1942004580991695</v>
      </c>
      <c r="J43" s="11">
        <f t="shared" si="2"/>
        <v>14.581065028194132</v>
      </c>
      <c r="K43" s="550">
        <v>0</v>
      </c>
      <c r="L43" s="11">
        <f t="shared" si="4"/>
        <v>14.581065028194132</v>
      </c>
      <c r="M43" s="150">
        <f t="shared" si="5"/>
        <v>864.50567374295633</v>
      </c>
      <c r="N43" s="149">
        <f t="shared" si="6"/>
        <v>2911.2297029808778</v>
      </c>
      <c r="O43" s="11">
        <f t="shared" si="7"/>
        <v>1.4581065028194131</v>
      </c>
      <c r="P43" s="345">
        <f t="shared" si="8"/>
        <v>86.450567374295701</v>
      </c>
      <c r="Q43" s="416">
        <f t="shared" si="9"/>
        <v>291.12297029808792</v>
      </c>
      <c r="R43" s="8">
        <f t="shared" si="10"/>
        <v>-0.55000000000000004</v>
      </c>
      <c r="S43" s="552">
        <v>0</v>
      </c>
      <c r="T43" s="8">
        <f t="shared" si="11"/>
        <v>-0.55000000000000004</v>
      </c>
      <c r="U43" s="11">
        <f t="shared" si="16"/>
        <v>-15.793853704837206</v>
      </c>
      <c r="V43" s="345">
        <f t="shared" si="12"/>
        <v>-754.03663855413072</v>
      </c>
      <c r="W43" s="12"/>
    </row>
    <row r="44" spans="1:23" x14ac:dyDescent="0.25">
      <c r="A44" s="2">
        <v>24</v>
      </c>
      <c r="B44" s="11">
        <f>A44/100*'Inputs-Imperial'!$E$5</f>
        <v>2.3622048000000002</v>
      </c>
      <c r="C44" s="8">
        <f>'Inputs-Imperial'!$E$10+('Inputs-Imperial'!$E$9-'Inputs-Imperial'!$E$10)*(100-A44)/100</f>
        <v>1.89632552</v>
      </c>
      <c r="D44" s="8">
        <f t="shared" si="13"/>
        <v>9.8425199999999879E-2</v>
      </c>
      <c r="E44" s="8">
        <f t="shared" si="14"/>
        <v>0.18713059457085579</v>
      </c>
      <c r="F44" s="11">
        <f t="shared" si="0"/>
        <v>14.050241667344185</v>
      </c>
      <c r="G44" s="8">
        <f t="shared" si="1"/>
        <v>2.0276024761506828</v>
      </c>
      <c r="H44" s="8">
        <f t="shared" si="3"/>
        <v>1.9619639980753414</v>
      </c>
      <c r="I44" s="8">
        <f t="shared" si="15"/>
        <v>0.19347314400986859</v>
      </c>
      <c r="J44" s="11">
        <f t="shared" si="2"/>
        <v>14.526456433879678</v>
      </c>
      <c r="K44" s="550">
        <v>0</v>
      </c>
      <c r="L44" s="11">
        <f t="shared" si="4"/>
        <v>14.526456433879678</v>
      </c>
      <c r="M44" s="150">
        <f t="shared" si="5"/>
        <v>849.9792173090766</v>
      </c>
      <c r="N44" s="149">
        <f t="shared" si="6"/>
        <v>2826.1405591415928</v>
      </c>
      <c r="O44" s="11">
        <f t="shared" si="7"/>
        <v>1.4526456433879678</v>
      </c>
      <c r="P44" s="345">
        <f t="shared" si="8"/>
        <v>84.997921730907734</v>
      </c>
      <c r="Q44" s="416">
        <f t="shared" si="9"/>
        <v>282.61405591415939</v>
      </c>
      <c r="R44" s="8">
        <f t="shared" si="10"/>
        <v>-0.55000000000000004</v>
      </c>
      <c r="S44" s="552">
        <v>0</v>
      </c>
      <c r="T44" s="8">
        <f t="shared" si="11"/>
        <v>-0.55000000000000004</v>
      </c>
      <c r="U44" s="11">
        <f t="shared" si="16"/>
        <v>-15.675211498585012</v>
      </c>
      <c r="V44" s="345">
        <f t="shared" si="12"/>
        <v>-738.36142705554573</v>
      </c>
      <c r="W44" s="12"/>
    </row>
    <row r="45" spans="1:23" x14ac:dyDescent="0.25">
      <c r="A45" s="2">
        <v>25</v>
      </c>
      <c r="B45" s="11">
        <f>A45/100*'Inputs-Imperial'!$E$5</f>
        <v>2.4606300000000001</v>
      </c>
      <c r="C45" s="8">
        <f>'Inputs-Imperial'!$E$10+('Inputs-Imperial'!$E$9-'Inputs-Imperial'!$E$10)*(100-A45)/100</f>
        <v>1.8864830000000001</v>
      </c>
      <c r="D45" s="8">
        <f t="shared" si="13"/>
        <v>9.8425199999999879E-2</v>
      </c>
      <c r="E45" s="8">
        <f t="shared" si="14"/>
        <v>0.18616184257135177</v>
      </c>
      <c r="F45" s="11">
        <f t="shared" si="0"/>
        <v>13.977505299782436</v>
      </c>
      <c r="G45" s="8">
        <f t="shared" si="1"/>
        <v>2.0223243562547308</v>
      </c>
      <c r="H45" s="8">
        <f t="shared" si="3"/>
        <v>1.9544036781273655</v>
      </c>
      <c r="I45" s="8">
        <f t="shared" si="15"/>
        <v>0.1927346359018931</v>
      </c>
      <c r="J45" s="11">
        <f t="shared" si="2"/>
        <v>14.471007364131655</v>
      </c>
      <c r="K45" s="550">
        <v>0</v>
      </c>
      <c r="L45" s="11">
        <f t="shared" si="4"/>
        <v>14.471007364131655</v>
      </c>
      <c r="M45" s="150">
        <f t="shared" si="5"/>
        <v>835.50820994494495</v>
      </c>
      <c r="N45" s="149">
        <f t="shared" si="6"/>
        <v>2742.4811846821035</v>
      </c>
      <c r="O45" s="11">
        <f t="shared" si="7"/>
        <v>1.4471007364131654</v>
      </c>
      <c r="P45" s="345">
        <f t="shared" si="8"/>
        <v>83.550820994494572</v>
      </c>
      <c r="Q45" s="416">
        <f t="shared" si="9"/>
        <v>274.24811846821046</v>
      </c>
      <c r="R45" s="8">
        <f t="shared" si="10"/>
        <v>-0.55000000000000004</v>
      </c>
      <c r="S45" s="552">
        <v>0</v>
      </c>
      <c r="T45" s="8">
        <f t="shared" si="11"/>
        <v>-0.55000000000000004</v>
      </c>
      <c r="U45" s="11">
        <f t="shared" si="16"/>
        <v>-15.555204510266906</v>
      </c>
      <c r="V45" s="345">
        <f t="shared" si="12"/>
        <v>-722.80622254527884</v>
      </c>
      <c r="W45" s="12"/>
    </row>
    <row r="46" spans="1:23" x14ac:dyDescent="0.25">
      <c r="A46" s="2">
        <v>26</v>
      </c>
      <c r="B46" s="11">
        <f>A46/100*'Inputs-Imperial'!$E$5</f>
        <v>2.5590552</v>
      </c>
      <c r="C46" s="8">
        <f>'Inputs-Imperial'!$E$10+('Inputs-Imperial'!$E$9-'Inputs-Imperial'!$E$10)*(100-A46)/100</f>
        <v>1.8766404800000001</v>
      </c>
      <c r="D46" s="8">
        <f t="shared" si="13"/>
        <v>9.8425199999999879E-2</v>
      </c>
      <c r="E46" s="8">
        <f t="shared" si="14"/>
        <v>0.18519309057184777</v>
      </c>
      <c r="F46" s="11">
        <f t="shared" si="0"/>
        <v>13.904768932220689</v>
      </c>
      <c r="G46" s="8">
        <f t="shared" si="1"/>
        <v>2.0168161326057388</v>
      </c>
      <c r="H46" s="8">
        <f t="shared" si="3"/>
        <v>1.9467283063028695</v>
      </c>
      <c r="I46" s="8">
        <f t="shared" si="15"/>
        <v>0.19198484789697115</v>
      </c>
      <c r="J46" s="11">
        <f t="shared" si="2"/>
        <v>14.41471137099067</v>
      </c>
      <c r="K46" s="550">
        <v>0</v>
      </c>
      <c r="L46" s="11">
        <f t="shared" si="4"/>
        <v>14.41471137099067</v>
      </c>
      <c r="M46" s="150">
        <f t="shared" si="5"/>
        <v>821.09349857395432</v>
      </c>
      <c r="N46" s="149">
        <f t="shared" si="6"/>
        <v>2660.2461220166306</v>
      </c>
      <c r="O46" s="11">
        <f t="shared" si="7"/>
        <v>1.4414711370990669</v>
      </c>
      <c r="P46" s="345">
        <f t="shared" si="8"/>
        <v>82.1093498573955</v>
      </c>
      <c r="Q46" s="416">
        <f t="shared" si="9"/>
        <v>266.02461220166316</v>
      </c>
      <c r="R46" s="8">
        <f t="shared" si="10"/>
        <v>-0.55000000000000004</v>
      </c>
      <c r="S46" s="552">
        <v>0</v>
      </c>
      <c r="T46" s="8">
        <f t="shared" si="11"/>
        <v>-0.55000000000000004</v>
      </c>
      <c r="U46" s="11">
        <f t="shared" si="16"/>
        <v>-15.433839659201361</v>
      </c>
      <c r="V46" s="345">
        <f t="shared" si="12"/>
        <v>-707.3723828860775</v>
      </c>
      <c r="W46" s="12"/>
    </row>
    <row r="47" spans="1:23" x14ac:dyDescent="0.25">
      <c r="A47" s="2">
        <v>27</v>
      </c>
      <c r="B47" s="11">
        <f>A47/100*'Inputs-Imperial'!$E$5</f>
        <v>2.6574804000000003</v>
      </c>
      <c r="C47" s="8">
        <f>'Inputs-Imperial'!$E$10+('Inputs-Imperial'!$E$9-'Inputs-Imperial'!$E$10)*(100-A47)/100</f>
        <v>1.86679796</v>
      </c>
      <c r="D47" s="8">
        <f t="shared" si="13"/>
        <v>9.8425200000000324E-2</v>
      </c>
      <c r="E47" s="8">
        <f t="shared" si="14"/>
        <v>0.18422433857234463</v>
      </c>
      <c r="F47" s="11">
        <f t="shared" si="0"/>
        <v>13.832032564659007</v>
      </c>
      <c r="G47" s="8">
        <f t="shared" si="1"/>
        <v>2.0110759144809416</v>
      </c>
      <c r="H47" s="8">
        <f t="shared" si="3"/>
        <v>1.9389369372404708</v>
      </c>
      <c r="I47" s="8">
        <f t="shared" si="15"/>
        <v>0.19122368936440162</v>
      </c>
      <c r="J47" s="11">
        <f t="shared" si="2"/>
        <v>14.357561649672846</v>
      </c>
      <c r="K47" s="550">
        <v>0</v>
      </c>
      <c r="L47" s="11">
        <f t="shared" si="4"/>
        <v>14.357561649672846</v>
      </c>
      <c r="M47" s="150">
        <f t="shared" si="5"/>
        <v>806.73593692428153</v>
      </c>
      <c r="N47" s="149">
        <f t="shared" si="6"/>
        <v>2579.4298302007892</v>
      </c>
      <c r="O47" s="11">
        <f t="shared" si="7"/>
        <v>1.4357561649672845</v>
      </c>
      <c r="P47" s="345">
        <f t="shared" si="8"/>
        <v>80.673593692428213</v>
      </c>
      <c r="Q47" s="416">
        <f t="shared" si="9"/>
        <v>257.942983020079</v>
      </c>
      <c r="R47" s="8">
        <f t="shared" si="10"/>
        <v>-0.55000000000000004</v>
      </c>
      <c r="S47" s="552">
        <v>0</v>
      </c>
      <c r="T47" s="8">
        <f t="shared" si="11"/>
        <v>-0.55000000000000004</v>
      </c>
      <c r="U47" s="11">
        <f t="shared" si="16"/>
        <v>-15.311123636191851</v>
      </c>
      <c r="V47" s="345">
        <f t="shared" si="12"/>
        <v>-692.06125924988567</v>
      </c>
      <c r="W47" s="12"/>
    </row>
    <row r="48" spans="1:23" x14ac:dyDescent="0.25">
      <c r="A48" s="2">
        <v>28</v>
      </c>
      <c r="B48" s="11">
        <f>A48/100*'Inputs-Imperial'!$E$5</f>
        <v>2.7559056000000002</v>
      </c>
      <c r="C48" s="8">
        <f>'Inputs-Imperial'!$E$10+('Inputs-Imperial'!$E$9-'Inputs-Imperial'!$E$10)*(100-A48)/100</f>
        <v>1.8569554400000001</v>
      </c>
      <c r="D48" s="8">
        <f t="shared" si="13"/>
        <v>9.8425199999999879E-2</v>
      </c>
      <c r="E48" s="8">
        <f t="shared" si="14"/>
        <v>0.18325558657283977</v>
      </c>
      <c r="F48" s="11">
        <f t="shared" si="0"/>
        <v>13.759296197097195</v>
      </c>
      <c r="G48" s="8">
        <f t="shared" si="1"/>
        <v>2.0051017094154768</v>
      </c>
      <c r="H48" s="8">
        <f t="shared" si="3"/>
        <v>1.9310285747077385</v>
      </c>
      <c r="I48" s="8">
        <f t="shared" si="15"/>
        <v>0.1904510647533022</v>
      </c>
      <c r="J48" s="11">
        <f t="shared" si="2"/>
        <v>14.299551025974569</v>
      </c>
      <c r="K48" s="550">
        <v>0</v>
      </c>
      <c r="L48" s="11">
        <f t="shared" si="4"/>
        <v>14.299551025974569</v>
      </c>
      <c r="M48" s="150">
        <f t="shared" si="5"/>
        <v>792.43638589830698</v>
      </c>
      <c r="N48" s="149">
        <f t="shared" si="6"/>
        <v>2500.0266842618294</v>
      </c>
      <c r="O48" s="11">
        <f t="shared" si="7"/>
        <v>1.4299551025974568</v>
      </c>
      <c r="P48" s="345">
        <f t="shared" si="8"/>
        <v>79.243638589830752</v>
      </c>
      <c r="Q48" s="416">
        <f t="shared" si="9"/>
        <v>250.00266842618305</v>
      </c>
      <c r="R48" s="8">
        <f t="shared" si="10"/>
        <v>-0.55000000000000004</v>
      </c>
      <c r="S48" s="552">
        <v>0</v>
      </c>
      <c r="T48" s="8">
        <f t="shared" si="11"/>
        <v>-0.55000000000000004</v>
      </c>
      <c r="U48" s="11">
        <f t="shared" si="16"/>
        <v>-15.18706290015654</v>
      </c>
      <c r="V48" s="345">
        <f t="shared" si="12"/>
        <v>-676.87419634972912</v>
      </c>
      <c r="W48" s="12"/>
    </row>
    <row r="49" spans="1:23" x14ac:dyDescent="0.25">
      <c r="A49" s="2">
        <v>29</v>
      </c>
      <c r="B49" s="11">
        <f>A49/100*'Inputs-Imperial'!$E$5</f>
        <v>2.8543308000000001</v>
      </c>
      <c r="C49" s="8">
        <f>'Inputs-Imperial'!$E$10+('Inputs-Imperial'!$E$9-'Inputs-Imperial'!$E$10)*(100-A49)/100</f>
        <v>1.84711292</v>
      </c>
      <c r="D49" s="8">
        <f t="shared" si="13"/>
        <v>9.8425199999999879E-2</v>
      </c>
      <c r="E49" s="8">
        <f t="shared" si="14"/>
        <v>0.18228683457333578</v>
      </c>
      <c r="F49" s="11">
        <f t="shared" si="0"/>
        <v>13.686559829535447</v>
      </c>
      <c r="G49" s="8">
        <f t="shared" si="1"/>
        <v>1.9988914194186009</v>
      </c>
      <c r="H49" s="8">
        <f t="shared" si="3"/>
        <v>1.9230021697093005</v>
      </c>
      <c r="I49" s="8">
        <f t="shared" si="15"/>
        <v>0.18966687341269775</v>
      </c>
      <c r="J49" s="11">
        <f t="shared" si="2"/>
        <v>14.240671942764266</v>
      </c>
      <c r="K49" s="550">
        <v>0</v>
      </c>
      <c r="L49" s="11">
        <f t="shared" si="4"/>
        <v>14.240671942764266</v>
      </c>
      <c r="M49" s="150">
        <f t="shared" si="5"/>
        <v>778.19571395554271</v>
      </c>
      <c r="N49" s="149">
        <f t="shared" si="6"/>
        <v>2422.0309744925116</v>
      </c>
      <c r="O49" s="11">
        <f t="shared" si="7"/>
        <v>1.4240671942764265</v>
      </c>
      <c r="P49" s="345">
        <f t="shared" si="8"/>
        <v>77.81957139555432</v>
      </c>
      <c r="Q49" s="416">
        <f t="shared" si="9"/>
        <v>242.20309744925126</v>
      </c>
      <c r="R49" s="8">
        <f t="shared" si="10"/>
        <v>-0.55000000000000004</v>
      </c>
      <c r="S49" s="552">
        <v>0</v>
      </c>
      <c r="T49" s="8">
        <f t="shared" si="11"/>
        <v>-0.55000000000000004</v>
      </c>
      <c r="U49" s="11">
        <f t="shared" si="16"/>
        <v>-15.061663674229726</v>
      </c>
      <c r="V49" s="345">
        <f t="shared" si="12"/>
        <v>-661.81253267549937</v>
      </c>
      <c r="W49" s="12"/>
    </row>
    <row r="50" spans="1:23" x14ac:dyDescent="0.25">
      <c r="A50" s="2">
        <v>30</v>
      </c>
      <c r="B50" s="11">
        <f>A50/100*'Inputs-Imperial'!$E$5</f>
        <v>2.9527559999999999</v>
      </c>
      <c r="C50" s="8">
        <f>'Inputs-Imperial'!$E$10+('Inputs-Imperial'!$E$9-'Inputs-Imperial'!$E$10)*(100-A50)/100</f>
        <v>1.8372704</v>
      </c>
      <c r="D50" s="8">
        <f t="shared" si="13"/>
        <v>9.8425199999999879E-2</v>
      </c>
      <c r="E50" s="8">
        <f t="shared" si="14"/>
        <v>0.18131808257383178</v>
      </c>
      <c r="F50" s="11">
        <f t="shared" si="0"/>
        <v>13.6138234619737</v>
      </c>
      <c r="G50" s="8">
        <f t="shared" si="1"/>
        <v>1.9924428369162008</v>
      </c>
      <c r="H50" s="8">
        <f t="shared" si="3"/>
        <v>1.9148566184581004</v>
      </c>
      <c r="I50" s="8">
        <f t="shared" si="15"/>
        <v>0.1888710093985668</v>
      </c>
      <c r="J50" s="11">
        <f t="shared" si="2"/>
        <v>14.180916445494958</v>
      </c>
      <c r="K50" s="550">
        <v>0</v>
      </c>
      <c r="L50" s="11">
        <f t="shared" si="4"/>
        <v>14.180916445494958</v>
      </c>
      <c r="M50" s="150">
        <f t="shared" si="5"/>
        <v>764.01479751004774</v>
      </c>
      <c r="N50" s="149">
        <f t="shared" si="6"/>
        <v>2345.4369057072945</v>
      </c>
      <c r="O50" s="11">
        <f t="shared" si="7"/>
        <v>1.4180916445494958</v>
      </c>
      <c r="P50" s="345">
        <f t="shared" si="8"/>
        <v>76.401479751004828</v>
      </c>
      <c r="Q50" s="416">
        <f t="shared" si="9"/>
        <v>234.54369057072955</v>
      </c>
      <c r="R50" s="8">
        <f t="shared" si="10"/>
        <v>-0.55000000000000004</v>
      </c>
      <c r="S50" s="552">
        <v>0</v>
      </c>
      <c r="T50" s="8">
        <f t="shared" si="11"/>
        <v>-0.55000000000000004</v>
      </c>
      <c r="U50" s="11">
        <f t="shared" si="16"/>
        <v>-14.934931941301539</v>
      </c>
      <c r="V50" s="345">
        <f t="shared" si="12"/>
        <v>-646.87760073419781</v>
      </c>
      <c r="W50" s="12"/>
    </row>
    <row r="51" spans="1:23" x14ac:dyDescent="0.25">
      <c r="A51" s="2">
        <v>31</v>
      </c>
      <c r="B51" s="11">
        <f>A51/100*'Inputs-Imperial'!$E$5</f>
        <v>3.0511812000000003</v>
      </c>
      <c r="C51" s="8">
        <f>'Inputs-Imperial'!$E$10+('Inputs-Imperial'!$E$9-'Inputs-Imperial'!$E$10)*(100-A51)/100</f>
        <v>1.8274278800000001</v>
      </c>
      <c r="D51" s="8">
        <f t="shared" si="13"/>
        <v>9.8425200000000324E-2</v>
      </c>
      <c r="E51" s="8">
        <f t="shared" si="14"/>
        <v>0.18034933057432859</v>
      </c>
      <c r="F51" s="11">
        <f t="shared" si="0"/>
        <v>13.541087094412013</v>
      </c>
      <c r="G51" s="8">
        <f t="shared" si="1"/>
        <v>1.9857536403997791</v>
      </c>
      <c r="H51" s="8">
        <f t="shared" si="3"/>
        <v>1.9065907601998897</v>
      </c>
      <c r="I51" s="8">
        <f t="shared" si="15"/>
        <v>0.18806336126694484</v>
      </c>
      <c r="J51" s="11">
        <f t="shared" si="2"/>
        <v>14.120276166669944</v>
      </c>
      <c r="K51" s="550">
        <v>0</v>
      </c>
      <c r="L51" s="11">
        <f t="shared" si="4"/>
        <v>14.120276166669944</v>
      </c>
      <c r="M51" s="150">
        <f t="shared" si="5"/>
        <v>749.89452134337785</v>
      </c>
      <c r="N51" s="149">
        <f t="shared" si="6"/>
        <v>2270.2385964594082</v>
      </c>
      <c r="O51" s="11">
        <f t="shared" si="7"/>
        <v>1.4120276166669945</v>
      </c>
      <c r="P51" s="345">
        <f t="shared" si="8"/>
        <v>74.989452134337839</v>
      </c>
      <c r="Q51" s="416">
        <f t="shared" si="9"/>
        <v>227.02385964594092</v>
      </c>
      <c r="R51" s="8">
        <f t="shared" si="10"/>
        <v>-0.55000000000000004</v>
      </c>
      <c r="S51" s="552">
        <v>0</v>
      </c>
      <c r="T51" s="8">
        <f t="shared" si="11"/>
        <v>-0.55000000000000004</v>
      </c>
      <c r="U51" s="11">
        <f t="shared" si="16"/>
        <v>-14.806873438963999</v>
      </c>
      <c r="V51" s="345">
        <f t="shared" si="12"/>
        <v>-632.07072729523384</v>
      </c>
      <c r="W51" s="12"/>
    </row>
    <row r="52" spans="1:23" x14ac:dyDescent="0.25">
      <c r="A52" s="2">
        <v>32</v>
      </c>
      <c r="B52" s="11">
        <f>A52/100*'Inputs-Imperial'!$E$5</f>
        <v>3.1496064000000001</v>
      </c>
      <c r="C52" s="8">
        <f>'Inputs-Imperial'!$E$10+('Inputs-Imperial'!$E$9-'Inputs-Imperial'!$E$10)*(100-A52)/100</f>
        <v>1.81758536</v>
      </c>
      <c r="D52" s="8">
        <f t="shared" si="13"/>
        <v>9.8425199999999879E-2</v>
      </c>
      <c r="E52" s="8">
        <f t="shared" si="14"/>
        <v>0.17938057857482378</v>
      </c>
      <c r="F52" s="11">
        <f t="shared" ref="F52:F83" si="17">E52*$D$9</f>
        <v>13.468350726850206</v>
      </c>
      <c r="G52" s="8">
        <f t="shared" ref="G52:G83" si="18">(8*$D$7/PI()/$D$8)*SQRT(1-(A52/100)^2)</f>
        <v>1.9788213897601266</v>
      </c>
      <c r="H52" s="8">
        <f t="shared" si="3"/>
        <v>1.8982033748800633</v>
      </c>
      <c r="I52" s="8">
        <f t="shared" si="15"/>
        <v>0.18724381185203545</v>
      </c>
      <c r="J52" s="11">
        <f t="shared" ref="J52:J83" si="19">I52*$D$9</f>
        <v>14.058742309182801</v>
      </c>
      <c r="K52" s="550">
        <v>0</v>
      </c>
      <c r="L52" s="11">
        <f t="shared" si="4"/>
        <v>14.058742309182801</v>
      </c>
      <c r="M52" s="150">
        <f t="shared" si="5"/>
        <v>735.83577903419507</v>
      </c>
      <c r="N52" s="149">
        <f t="shared" ref="N52:N83" si="20">M52*D53+N53</f>
        <v>2196.4300782172822</v>
      </c>
      <c r="O52" s="11">
        <f t="shared" si="7"/>
        <v>1.4058742309182801</v>
      </c>
      <c r="P52" s="345">
        <f t="shared" si="8"/>
        <v>73.583577903419553</v>
      </c>
      <c r="Q52" s="416">
        <f t="shared" si="9"/>
        <v>219.6430078217283</v>
      </c>
      <c r="R52" s="8">
        <f t="shared" si="10"/>
        <v>-0.55000000000000004</v>
      </c>
      <c r="S52" s="552">
        <v>0</v>
      </c>
      <c r="T52" s="8">
        <f t="shared" si="11"/>
        <v>-0.55000000000000004</v>
      </c>
      <c r="U52" s="11">
        <f t="shared" si="16"/>
        <v>-14.67749365382296</v>
      </c>
      <c r="V52" s="345">
        <f t="shared" si="12"/>
        <v>-617.39323364141092</v>
      </c>
      <c r="W52" s="12"/>
    </row>
    <row r="53" spans="1:23" x14ac:dyDescent="0.25">
      <c r="A53" s="2">
        <v>33</v>
      </c>
      <c r="B53" s="11">
        <f>A53/100*'Inputs-Imperial'!$E$5</f>
        <v>3.2480316000000005</v>
      </c>
      <c r="C53" s="8">
        <f>'Inputs-Imperial'!$E$10+('Inputs-Imperial'!$E$9-'Inputs-Imperial'!$E$10)*(100-A53)/100</f>
        <v>1.80774284</v>
      </c>
      <c r="D53" s="8">
        <f t="shared" si="13"/>
        <v>9.8425200000000324E-2</v>
      </c>
      <c r="E53" s="8">
        <f t="shared" si="14"/>
        <v>0.17841182657532059</v>
      </c>
      <c r="F53" s="11">
        <f t="shared" si="17"/>
        <v>13.395614359288519</v>
      </c>
      <c r="G53" s="8">
        <f t="shared" si="18"/>
        <v>1.9716435212817636</v>
      </c>
      <c r="H53" s="8">
        <f t="shared" si="3"/>
        <v>1.8896931806408817</v>
      </c>
      <c r="I53" s="8">
        <f t="shared" si="15"/>
        <v>0.18641223802823065</v>
      </c>
      <c r="J53" s="11">
        <f t="shared" si="19"/>
        <v>13.996305628449276</v>
      </c>
      <c r="K53" s="550">
        <v>0</v>
      </c>
      <c r="L53" s="11">
        <f t="shared" si="4"/>
        <v>13.996305628449276</v>
      </c>
      <c r="M53" s="150">
        <f t="shared" si="5"/>
        <v>721.83947340574582</v>
      </c>
      <c r="N53" s="149">
        <f t="shared" si="20"/>
        <v>2124.0052944986855</v>
      </c>
      <c r="O53" s="11">
        <f t="shared" si="7"/>
        <v>1.3996305628449277</v>
      </c>
      <c r="P53" s="345">
        <f t="shared" si="8"/>
        <v>72.183947340574619</v>
      </c>
      <c r="Q53" s="416">
        <f t="shared" si="9"/>
        <v>212.40052944986863</v>
      </c>
      <c r="R53" s="8">
        <f t="shared" si="10"/>
        <v>-0.55000000000000004</v>
      </c>
      <c r="S53" s="552">
        <v>0</v>
      </c>
      <c r="T53" s="8">
        <f t="shared" si="11"/>
        <v>-0.55000000000000004</v>
      </c>
      <c r="U53" s="11">
        <f t="shared" si="16"/>
        <v>-14.546797815135402</v>
      </c>
      <c r="V53" s="345">
        <f t="shared" si="12"/>
        <v>-602.84643582627552</v>
      </c>
      <c r="W53" s="12"/>
    </row>
    <row r="54" spans="1:23" x14ac:dyDescent="0.25">
      <c r="A54" s="2">
        <v>34</v>
      </c>
      <c r="B54" s="11">
        <f>A54/100*'Inputs-Imperial'!$E$5</f>
        <v>3.3464568000000003</v>
      </c>
      <c r="C54" s="8">
        <f>'Inputs-Imperial'!$E$10+('Inputs-Imperial'!$E$9-'Inputs-Imperial'!$E$10)*(100-A54)/100</f>
        <v>1.7979003200000001</v>
      </c>
      <c r="D54" s="8">
        <f t="shared" si="13"/>
        <v>9.8425199999999879E-2</v>
      </c>
      <c r="E54" s="8">
        <f t="shared" si="14"/>
        <v>0.17744307457581579</v>
      </c>
      <c r="F54" s="11">
        <f t="shared" si="17"/>
        <v>13.322877991726711</v>
      </c>
      <c r="G54" s="8">
        <f t="shared" si="18"/>
        <v>1.9642173422718352</v>
      </c>
      <c r="H54" s="8">
        <f t="shared" si="3"/>
        <v>1.8810588311359178</v>
      </c>
      <c r="I54" s="8">
        <f t="shared" si="15"/>
        <v>0.18556851045476669</v>
      </c>
      <c r="J54" s="11">
        <f t="shared" si="19"/>
        <v>13.932956413235397</v>
      </c>
      <c r="K54" s="550">
        <v>0</v>
      </c>
      <c r="L54" s="11">
        <f t="shared" si="4"/>
        <v>13.932956413235397</v>
      </c>
      <c r="M54" s="150">
        <f t="shared" si="5"/>
        <v>707.90651699251043</v>
      </c>
      <c r="N54" s="149">
        <f t="shared" si="20"/>
        <v>2052.9580999608306</v>
      </c>
      <c r="O54" s="11">
        <f t="shared" si="7"/>
        <v>1.3932956413235398</v>
      </c>
      <c r="P54" s="345">
        <f t="shared" si="8"/>
        <v>70.790651699251086</v>
      </c>
      <c r="Q54" s="416">
        <f t="shared" si="9"/>
        <v>205.29580999608311</v>
      </c>
      <c r="R54" s="8">
        <f t="shared" si="10"/>
        <v>-0.55000000000000004</v>
      </c>
      <c r="S54" s="552">
        <v>0</v>
      </c>
      <c r="T54" s="8">
        <f t="shared" si="11"/>
        <v>-0.55000000000000004</v>
      </c>
      <c r="U54" s="11">
        <f t="shared" si="16"/>
        <v>-14.414790887721546</v>
      </c>
      <c r="V54" s="345">
        <f t="shared" si="12"/>
        <v>-588.43164493855397</v>
      </c>
      <c r="W54" s="12"/>
    </row>
    <row r="55" spans="1:23" x14ac:dyDescent="0.25">
      <c r="A55" s="2">
        <v>35</v>
      </c>
      <c r="B55" s="11">
        <f>A55/100*'Inputs-Imperial'!$E$5</f>
        <v>3.4448819999999998</v>
      </c>
      <c r="C55" s="8">
        <f>'Inputs-Imperial'!$E$10+('Inputs-Imperial'!$E$9-'Inputs-Imperial'!$E$10)*(100-A55)/100</f>
        <v>1.7880578</v>
      </c>
      <c r="D55" s="8">
        <f t="shared" si="13"/>
        <v>9.8425199999999435E-2</v>
      </c>
      <c r="E55" s="8">
        <f t="shared" si="14"/>
        <v>0.17647432257631099</v>
      </c>
      <c r="F55" s="11">
        <f t="shared" si="17"/>
        <v>13.250141624164904</v>
      </c>
      <c r="G55" s="8">
        <f t="shared" si="18"/>
        <v>1.9565400252945095</v>
      </c>
      <c r="H55" s="8">
        <f t="shared" si="3"/>
        <v>1.8722989126472549</v>
      </c>
      <c r="I55" s="8">
        <f t="shared" si="15"/>
        <v>0.1847124933017027</v>
      </c>
      <c r="J55" s="11">
        <f t="shared" si="19"/>
        <v>13.868684465083236</v>
      </c>
      <c r="K55" s="550">
        <v>0</v>
      </c>
      <c r="L55" s="11">
        <f t="shared" si="4"/>
        <v>13.868684465083236</v>
      </c>
      <c r="M55" s="150">
        <f t="shared" si="5"/>
        <v>694.03783252742721</v>
      </c>
      <c r="N55" s="149">
        <f t="shared" si="20"/>
        <v>1983.2822594445397</v>
      </c>
      <c r="O55" s="11">
        <f t="shared" si="7"/>
        <v>1.3868684465083236</v>
      </c>
      <c r="P55" s="345">
        <f t="shared" si="8"/>
        <v>69.403783252742755</v>
      </c>
      <c r="Q55" s="416">
        <f t="shared" si="9"/>
        <v>198.32822594445403</v>
      </c>
      <c r="R55" s="8">
        <f t="shared" si="10"/>
        <v>-0.55000000000000004</v>
      </c>
      <c r="S55" s="552">
        <v>0</v>
      </c>
      <c r="T55" s="8">
        <f t="shared" si="11"/>
        <v>-0.55000000000000004</v>
      </c>
      <c r="U55" s="11">
        <f t="shared" si="16"/>
        <v>-14.281477564102772</v>
      </c>
      <c r="V55" s="345">
        <f t="shared" si="12"/>
        <v>-574.15016737445126</v>
      </c>
      <c r="W55" s="12"/>
    </row>
    <row r="56" spans="1:23" x14ac:dyDescent="0.25">
      <c r="A56" s="2">
        <v>36</v>
      </c>
      <c r="B56" s="11">
        <f>A56/100*'Inputs-Imperial'!$E$5</f>
        <v>3.5433072000000001</v>
      </c>
      <c r="C56" s="8">
        <f>'Inputs-Imperial'!$E$10+('Inputs-Imperial'!$E$9-'Inputs-Imperial'!$E$10)*(100-A56)/100</f>
        <v>1.77821528</v>
      </c>
      <c r="D56" s="8">
        <f t="shared" si="13"/>
        <v>9.8425200000000324E-2</v>
      </c>
      <c r="E56" s="8">
        <f t="shared" si="14"/>
        <v>0.1755055705768086</v>
      </c>
      <c r="F56" s="11">
        <f t="shared" si="17"/>
        <v>13.177405256603278</v>
      </c>
      <c r="G56" s="8">
        <f t="shared" si="18"/>
        <v>1.9486086019789546</v>
      </c>
      <c r="H56" s="8">
        <f t="shared" si="3"/>
        <v>1.8634119409894772</v>
      </c>
      <c r="I56" s="8">
        <f t="shared" si="15"/>
        <v>0.18384404395568366</v>
      </c>
      <c r="J56" s="11">
        <f t="shared" si="19"/>
        <v>13.80347907621886</v>
      </c>
      <c r="K56" s="550">
        <v>0</v>
      </c>
      <c r="L56" s="11">
        <f t="shared" si="4"/>
        <v>13.80347907621886</v>
      </c>
      <c r="M56" s="150">
        <f t="shared" si="5"/>
        <v>680.23435345120834</v>
      </c>
      <c r="N56" s="149">
        <f t="shared" si="20"/>
        <v>1914.9714469704609</v>
      </c>
      <c r="O56" s="11">
        <f t="shared" si="7"/>
        <v>1.3803479076218861</v>
      </c>
      <c r="P56" s="345">
        <f t="shared" si="8"/>
        <v>68.023435345120873</v>
      </c>
      <c r="Q56" s="416">
        <f t="shared" si="9"/>
        <v>191.49714469704617</v>
      </c>
      <c r="R56" s="8">
        <f t="shared" si="10"/>
        <v>-0.55000000000000004</v>
      </c>
      <c r="S56" s="552">
        <v>0</v>
      </c>
      <c r="T56" s="8">
        <f t="shared" si="11"/>
        <v>-0.55000000000000004</v>
      </c>
      <c r="U56" s="11">
        <f t="shared" si="16"/>
        <v>-14.146862255803542</v>
      </c>
      <c r="V56" s="345">
        <f t="shared" si="12"/>
        <v>-560.00330511864775</v>
      </c>
      <c r="W56" s="12"/>
    </row>
    <row r="57" spans="1:23" x14ac:dyDescent="0.25">
      <c r="A57" s="2">
        <v>37</v>
      </c>
      <c r="B57" s="11">
        <f>A57/100*'Inputs-Imperial'!$E$5</f>
        <v>3.6417324</v>
      </c>
      <c r="C57" s="8">
        <f>'Inputs-Imperial'!$E$10+('Inputs-Imperial'!$E$9-'Inputs-Imperial'!$E$10)*(100-A57)/100</f>
        <v>1.7683727600000001</v>
      </c>
      <c r="D57" s="8">
        <f t="shared" si="13"/>
        <v>9.8425199999999879E-2</v>
      </c>
      <c r="E57" s="8">
        <f t="shared" si="14"/>
        <v>0.1745368185773038</v>
      </c>
      <c r="F57" s="11">
        <f t="shared" si="17"/>
        <v>13.10466888904147</v>
      </c>
      <c r="G57" s="8">
        <f t="shared" si="18"/>
        <v>1.9404199563656932</v>
      </c>
      <c r="H57" s="8">
        <f t="shared" si="3"/>
        <v>1.8543963581828466</v>
      </c>
      <c r="I57" s="8">
        <f t="shared" si="15"/>
        <v>0.18296301270384768</v>
      </c>
      <c r="J57" s="11">
        <f t="shared" si="19"/>
        <v>13.737329005819275</v>
      </c>
      <c r="K57" s="550">
        <v>0</v>
      </c>
      <c r="L57" s="11">
        <f t="shared" si="4"/>
        <v>13.737329005819275</v>
      </c>
      <c r="M57" s="150">
        <f t="shared" si="5"/>
        <v>666.49702444538912</v>
      </c>
      <c r="N57" s="149">
        <f t="shared" si="20"/>
        <v>1848.0192446851552</v>
      </c>
      <c r="O57" s="11">
        <f t="shared" si="7"/>
        <v>1.3737329005819274</v>
      </c>
      <c r="P57" s="345">
        <f t="shared" si="8"/>
        <v>66.649702444538946</v>
      </c>
      <c r="Q57" s="416">
        <f t="shared" si="9"/>
        <v>184.80192446851558</v>
      </c>
      <c r="R57" s="8">
        <f t="shared" si="10"/>
        <v>-0.55000000000000004</v>
      </c>
      <c r="S57" s="552">
        <v>0</v>
      </c>
      <c r="T57" s="8">
        <f t="shared" si="11"/>
        <v>-0.55000000000000004</v>
      </c>
      <c r="U57" s="11">
        <f t="shared" si="16"/>
        <v>-14.010949083752969</v>
      </c>
      <c r="V57" s="345">
        <f t="shared" si="12"/>
        <v>-545.99235603489478</v>
      </c>
      <c r="W57" s="12"/>
    </row>
    <row r="58" spans="1:23" x14ac:dyDescent="0.25">
      <c r="A58" s="2">
        <v>38</v>
      </c>
      <c r="B58" s="11">
        <f>A58/100*'Inputs-Imperial'!$E$5</f>
        <v>3.7401576000000003</v>
      </c>
      <c r="C58" s="8">
        <f>'Inputs-Imperial'!$E$10+('Inputs-Imperial'!$E$9-'Inputs-Imperial'!$E$10)*(100-A58)/100</f>
        <v>1.75853024</v>
      </c>
      <c r="D58" s="8">
        <f t="shared" si="13"/>
        <v>9.8425200000000324E-2</v>
      </c>
      <c r="E58" s="8">
        <f t="shared" si="14"/>
        <v>0.17356806657780058</v>
      </c>
      <c r="F58" s="11">
        <f t="shared" si="17"/>
        <v>13.031932521479781</v>
      </c>
      <c r="G58" s="8">
        <f t="shared" si="18"/>
        <v>1.9319708177524395</v>
      </c>
      <c r="H58" s="8">
        <f t="shared" si="3"/>
        <v>1.8452505288762198</v>
      </c>
      <c r="I58" s="8">
        <f t="shared" si="15"/>
        <v>0.18206924239408362</v>
      </c>
      <c r="J58" s="11">
        <f t="shared" si="19"/>
        <v>13.670222454503707</v>
      </c>
      <c r="K58" s="550">
        <v>0</v>
      </c>
      <c r="L58" s="11">
        <f t="shared" si="4"/>
        <v>13.670222454503707</v>
      </c>
      <c r="M58" s="150">
        <f t="shared" si="5"/>
        <v>652.82680199088543</v>
      </c>
      <c r="N58" s="149">
        <f t="shared" si="20"/>
        <v>1782.4191417547127</v>
      </c>
      <c r="O58" s="11">
        <f t="shared" si="7"/>
        <v>1.3670222454503707</v>
      </c>
      <c r="P58" s="345">
        <f t="shared" si="8"/>
        <v>65.282680199088574</v>
      </c>
      <c r="Q58" s="416">
        <f t="shared" si="9"/>
        <v>178.24191417547132</v>
      </c>
      <c r="R58" s="8">
        <f t="shared" si="10"/>
        <v>-0.55000000000000004</v>
      </c>
      <c r="S58" s="552">
        <v>0</v>
      </c>
      <c r="T58" s="8">
        <f t="shared" si="11"/>
        <v>-0.55000000000000004</v>
      </c>
      <c r="U58" s="11">
        <f t="shared" si="16"/>
        <v>-13.873741867715697</v>
      </c>
      <c r="V58" s="345">
        <f t="shared" si="12"/>
        <v>-532.11861416717909</v>
      </c>
      <c r="W58" s="12"/>
    </row>
    <row r="59" spans="1:23" x14ac:dyDescent="0.25">
      <c r="A59" s="2">
        <v>39</v>
      </c>
      <c r="B59" s="11">
        <f>A59/100*'Inputs-Imperial'!$E$5</f>
        <v>3.8385828000000002</v>
      </c>
      <c r="C59" s="8">
        <f>'Inputs-Imperial'!$E$10+('Inputs-Imperial'!$E$9-'Inputs-Imperial'!$E$10)*(100-A59)/100</f>
        <v>1.7486877199999999</v>
      </c>
      <c r="D59" s="8">
        <f t="shared" si="13"/>
        <v>9.8425199999999879E-2</v>
      </c>
      <c r="E59" s="8">
        <f t="shared" si="14"/>
        <v>0.1725993145782958</v>
      </c>
      <c r="F59" s="11">
        <f t="shared" si="17"/>
        <v>12.959196153917976</v>
      </c>
      <c r="G59" s="8">
        <f t="shared" si="18"/>
        <v>1.9232577529963966</v>
      </c>
      <c r="H59" s="8">
        <f t="shared" si="3"/>
        <v>1.8359727364981984</v>
      </c>
      <c r="I59" s="8">
        <f t="shared" si="15"/>
        <v>0.18116256806956488</v>
      </c>
      <c r="J59" s="11">
        <f t="shared" si="19"/>
        <v>13.602147036893461</v>
      </c>
      <c r="K59" s="550">
        <v>0</v>
      </c>
      <c r="L59" s="11">
        <f t="shared" si="4"/>
        <v>13.602147036893461</v>
      </c>
      <c r="M59" s="150">
        <f t="shared" si="5"/>
        <v>639.22465495399194</v>
      </c>
      <c r="N59" s="149">
        <f t="shared" si="20"/>
        <v>1718.1645332033995</v>
      </c>
      <c r="O59" s="11">
        <f t="shared" si="7"/>
        <v>1.3602147036893462</v>
      </c>
      <c r="P59" s="345">
        <f t="shared" si="8"/>
        <v>63.92246549539923</v>
      </c>
      <c r="Q59" s="416">
        <f t="shared" si="9"/>
        <v>171.81645332034</v>
      </c>
      <c r="R59" s="8">
        <f t="shared" si="10"/>
        <v>-0.55000000000000004</v>
      </c>
      <c r="S59" s="552">
        <v>0</v>
      </c>
      <c r="T59" s="8">
        <f t="shared" si="11"/>
        <v>-0.55000000000000004</v>
      </c>
      <c r="U59" s="11">
        <f t="shared" si="16"/>
        <v>-13.735244114666884</v>
      </c>
      <c r="V59" s="345">
        <f t="shared" si="12"/>
        <v>-518.38337005251219</v>
      </c>
      <c r="W59" s="12"/>
    </row>
    <row r="60" spans="1:23" x14ac:dyDescent="0.25">
      <c r="A60" s="2">
        <v>40</v>
      </c>
      <c r="B60" s="11">
        <f>A60/100*'Inputs-Imperial'!$E$5</f>
        <v>3.9370080000000005</v>
      </c>
      <c r="C60" s="8">
        <f>'Inputs-Imperial'!$E$10+('Inputs-Imperial'!$E$9-'Inputs-Imperial'!$E$10)*(100-A60)/100</f>
        <v>1.7388452000000001</v>
      </c>
      <c r="D60" s="8">
        <f t="shared" si="13"/>
        <v>9.8425200000000324E-2</v>
      </c>
      <c r="E60" s="8">
        <f t="shared" si="14"/>
        <v>0.17163056257879256</v>
      </c>
      <c r="F60" s="11">
        <f t="shared" si="17"/>
        <v>12.886459786356285</v>
      </c>
      <c r="G60" s="8">
        <f t="shared" si="18"/>
        <v>1.9142771582253693</v>
      </c>
      <c r="H60" s="8">
        <f t="shared" si="3"/>
        <v>1.8265611791126846</v>
      </c>
      <c r="I60" s="8">
        <f t="shared" si="15"/>
        <v>0.18024281657539273</v>
      </c>
      <c r="J60" s="11">
        <f t="shared" si="19"/>
        <v>13.533089752077716</v>
      </c>
      <c r="K60" s="550">
        <v>0</v>
      </c>
      <c r="L60" s="11">
        <f t="shared" si="4"/>
        <v>13.533089752077716</v>
      </c>
      <c r="M60" s="150">
        <f t="shared" si="5"/>
        <v>625.69156520191427</v>
      </c>
      <c r="N60" s="149">
        <f t="shared" si="20"/>
        <v>1655.2487186946216</v>
      </c>
      <c r="O60" s="11">
        <f t="shared" si="7"/>
        <v>1.3533089752077716</v>
      </c>
      <c r="P60" s="345">
        <f t="shared" si="8"/>
        <v>62.569156520191456</v>
      </c>
      <c r="Q60" s="416">
        <f t="shared" si="9"/>
        <v>165.5248718694622</v>
      </c>
      <c r="R60" s="8">
        <f t="shared" si="10"/>
        <v>-0.55000000000000004</v>
      </c>
      <c r="S60" s="552">
        <v>0</v>
      </c>
      <c r="T60" s="8">
        <f t="shared" si="11"/>
        <v>-0.55000000000000004</v>
      </c>
      <c r="U60" s="11">
        <f t="shared" si="16"/>
        <v>-13.595459006026074</v>
      </c>
      <c r="V60" s="345">
        <f t="shared" si="12"/>
        <v>-504.78791104648616</v>
      </c>
      <c r="W60" s="12"/>
    </row>
    <row r="61" spans="1:23" x14ac:dyDescent="0.25">
      <c r="A61" s="2">
        <v>41</v>
      </c>
      <c r="B61" s="11">
        <f>A61/100*'Inputs-Imperial'!$E$5</f>
        <v>4.0354331999999999</v>
      </c>
      <c r="C61" s="8">
        <f>'Inputs-Imperial'!$E$10+('Inputs-Imperial'!$E$9-'Inputs-Imperial'!$E$10)*(100-A61)/100</f>
        <v>1.72900268</v>
      </c>
      <c r="D61" s="8">
        <f t="shared" si="13"/>
        <v>9.8425199999999435E-2</v>
      </c>
      <c r="E61" s="8">
        <f t="shared" si="14"/>
        <v>0.170661810579287</v>
      </c>
      <c r="F61" s="11">
        <f t="shared" si="17"/>
        <v>12.813723418794421</v>
      </c>
      <c r="G61" s="8">
        <f t="shared" si="18"/>
        <v>1.9050252499048326</v>
      </c>
      <c r="H61" s="8">
        <f t="shared" si="3"/>
        <v>1.8170139649524164</v>
      </c>
      <c r="I61" s="8">
        <f t="shared" si="15"/>
        <v>0.17930980613481715</v>
      </c>
      <c r="J61" s="11">
        <f t="shared" si="19"/>
        <v>13.463036951795084</v>
      </c>
      <c r="K61" s="550">
        <v>0</v>
      </c>
      <c r="L61" s="11">
        <f t="shared" si="4"/>
        <v>13.463036951795084</v>
      </c>
      <c r="M61" s="150">
        <f t="shared" si="5"/>
        <v>612.22852825011921</v>
      </c>
      <c r="N61" s="149">
        <f t="shared" si="20"/>
        <v>1593.6649012513105</v>
      </c>
      <c r="O61" s="11">
        <f t="shared" si="7"/>
        <v>1.3463036951795084</v>
      </c>
      <c r="P61" s="345">
        <f t="shared" si="8"/>
        <v>61.222852825011948</v>
      </c>
      <c r="Q61" s="416">
        <f t="shared" si="9"/>
        <v>159.36649012513109</v>
      </c>
      <c r="R61" s="8">
        <f t="shared" si="10"/>
        <v>-0.55000000000000004</v>
      </c>
      <c r="S61" s="552">
        <v>0</v>
      </c>
      <c r="T61" s="8">
        <f t="shared" si="11"/>
        <v>-0.55000000000000004</v>
      </c>
      <c r="U61" s="11">
        <f t="shared" si="16"/>
        <v>-13.454389383645145</v>
      </c>
      <c r="V61" s="345">
        <f t="shared" si="12"/>
        <v>-491.33352166284101</v>
      </c>
      <c r="W61" s="12"/>
    </row>
    <row r="62" spans="1:23" x14ac:dyDescent="0.25">
      <c r="A62" s="2">
        <v>42</v>
      </c>
      <c r="B62" s="11">
        <f>A62/100*'Inputs-Imperial'!$E$5</f>
        <v>4.1338584000000003</v>
      </c>
      <c r="C62" s="8">
        <f>'Inputs-Imperial'!$E$10+('Inputs-Imperial'!$E$9-'Inputs-Imperial'!$E$10)*(100-A62)/100</f>
        <v>1.7191601599999999</v>
      </c>
      <c r="D62" s="8">
        <f t="shared" si="13"/>
        <v>9.8425200000000324E-2</v>
      </c>
      <c r="E62" s="8">
        <f t="shared" si="14"/>
        <v>0.16969305857978456</v>
      </c>
      <c r="F62" s="11">
        <f t="shared" si="17"/>
        <v>12.740987051232791</v>
      </c>
      <c r="G62" s="8">
        <f t="shared" si="18"/>
        <v>1.8954980552022394</v>
      </c>
      <c r="H62" s="8">
        <f t="shared" si="3"/>
        <v>1.8073291076011198</v>
      </c>
      <c r="I62" s="8">
        <f t="shared" si="15"/>
        <v>0.17836334589234873</v>
      </c>
      <c r="J62" s="11">
        <f t="shared" si="19"/>
        <v>13.39197430612931</v>
      </c>
      <c r="K62" s="550">
        <v>0</v>
      </c>
      <c r="L62" s="11">
        <f t="shared" si="4"/>
        <v>13.39197430612931</v>
      </c>
      <c r="M62" s="150">
        <f t="shared" si="5"/>
        <v>598.83655394398988</v>
      </c>
      <c r="N62" s="149">
        <f t="shared" si="20"/>
        <v>1533.4061859125868</v>
      </c>
      <c r="O62" s="11">
        <f t="shared" si="7"/>
        <v>1.3391974306129311</v>
      </c>
      <c r="P62" s="345">
        <f t="shared" si="8"/>
        <v>59.883655394399014</v>
      </c>
      <c r="Q62" s="416">
        <f t="shared" si="9"/>
        <v>153.3406185912587</v>
      </c>
      <c r="R62" s="8">
        <f t="shared" si="10"/>
        <v>-0.55000000000000004</v>
      </c>
      <c r="S62" s="552">
        <v>0</v>
      </c>
      <c r="T62" s="8">
        <f t="shared" si="11"/>
        <v>-0.55000000000000004</v>
      </c>
      <c r="U62" s="11">
        <f t="shared" si="16"/>
        <v>-13.312037734442598</v>
      </c>
      <c r="V62" s="345">
        <f t="shared" si="12"/>
        <v>-478.02148392839842</v>
      </c>
      <c r="W62" s="12"/>
    </row>
    <row r="63" spans="1:23" x14ac:dyDescent="0.25">
      <c r="A63" s="2">
        <v>43</v>
      </c>
      <c r="B63" s="11">
        <f>A63/100*'Inputs-Imperial'!$E$5</f>
        <v>4.2322835999999997</v>
      </c>
      <c r="C63" s="8">
        <f>'Inputs-Imperial'!$E$10+('Inputs-Imperial'!$E$9-'Inputs-Imperial'!$E$10)*(100-A63)/100</f>
        <v>1.7093176400000001</v>
      </c>
      <c r="D63" s="8">
        <f t="shared" si="13"/>
        <v>9.8425199999999435E-2</v>
      </c>
      <c r="E63" s="8">
        <f t="shared" si="14"/>
        <v>0.16872430658027904</v>
      </c>
      <c r="F63" s="11">
        <f t="shared" si="17"/>
        <v>12.668250683670928</v>
      </c>
      <c r="G63" s="8">
        <f t="shared" si="18"/>
        <v>1.8856914015832236</v>
      </c>
      <c r="H63" s="8">
        <f t="shared" si="3"/>
        <v>1.7975045207916118</v>
      </c>
      <c r="I63" s="8">
        <f t="shared" si="15"/>
        <v>0.17740323542063913</v>
      </c>
      <c r="J63" s="11">
        <f t="shared" si="19"/>
        <v>13.319886766484583</v>
      </c>
      <c r="K63" s="550">
        <v>0</v>
      </c>
      <c r="L63" s="11">
        <f t="shared" si="4"/>
        <v>13.319886766484583</v>
      </c>
      <c r="M63" s="150">
        <f t="shared" si="5"/>
        <v>585.51666717750527</v>
      </c>
      <c r="N63" s="149">
        <f t="shared" si="20"/>
        <v>1474.4655783233391</v>
      </c>
      <c r="O63" s="11">
        <f t="shared" si="7"/>
        <v>1.3319886766484583</v>
      </c>
      <c r="P63" s="345">
        <f t="shared" si="8"/>
        <v>58.551666717750557</v>
      </c>
      <c r="Q63" s="416">
        <f t="shared" si="9"/>
        <v>147.44655783233392</v>
      </c>
      <c r="R63" s="8">
        <f t="shared" si="10"/>
        <v>-0.55000000000000004</v>
      </c>
      <c r="S63" s="552">
        <v>0</v>
      </c>
      <c r="T63" s="8">
        <f t="shared" si="11"/>
        <v>-0.55000000000000004</v>
      </c>
      <c r="U63" s="11">
        <f t="shared" si="16"/>
        <v>-13.168406173553622</v>
      </c>
      <c r="V63" s="345">
        <f t="shared" si="12"/>
        <v>-464.85307775484478</v>
      </c>
      <c r="W63" s="12"/>
    </row>
    <row r="64" spans="1:23" x14ac:dyDescent="0.25">
      <c r="A64" s="2">
        <v>44</v>
      </c>
      <c r="B64" s="11">
        <f>A64/100*'Inputs-Imperial'!$E$5</f>
        <v>4.3307088</v>
      </c>
      <c r="C64" s="8">
        <f>'Inputs-Imperial'!$E$10+('Inputs-Imperial'!$E$9-'Inputs-Imperial'!$E$10)*(100-A64)/100</f>
        <v>1.69947512</v>
      </c>
      <c r="D64" s="8">
        <f t="shared" si="13"/>
        <v>9.8425200000000324E-2</v>
      </c>
      <c r="E64" s="8">
        <f t="shared" si="14"/>
        <v>0.16775555458077654</v>
      </c>
      <c r="F64" s="11">
        <f t="shared" si="17"/>
        <v>12.595514316109295</v>
      </c>
      <c r="G64" s="8">
        <f t="shared" si="18"/>
        <v>1.875600905566869</v>
      </c>
      <c r="H64" s="8">
        <f t="shared" si="3"/>
        <v>1.7875380127834344</v>
      </c>
      <c r="I64" s="8">
        <f t="shared" si="15"/>
        <v>0.17642926418781588</v>
      </c>
      <c r="J64" s="11">
        <f t="shared" si="19"/>
        <v>13.246758525591691</v>
      </c>
      <c r="K64" s="550">
        <v>0</v>
      </c>
      <c r="L64" s="11">
        <f t="shared" si="4"/>
        <v>13.246758525591691</v>
      </c>
      <c r="M64" s="150">
        <f t="shared" si="5"/>
        <v>572.26990865191362</v>
      </c>
      <c r="N64" s="149">
        <f t="shared" si="20"/>
        <v>1416.8359832530596</v>
      </c>
      <c r="O64" s="11">
        <f t="shared" si="7"/>
        <v>1.3246758525591691</v>
      </c>
      <c r="P64" s="345">
        <f t="shared" si="8"/>
        <v>57.226990865191389</v>
      </c>
      <c r="Q64" s="416">
        <f t="shared" si="9"/>
        <v>141.68359832530595</v>
      </c>
      <c r="R64" s="8">
        <f t="shared" si="10"/>
        <v>-0.55000000000000004</v>
      </c>
      <c r="S64" s="552">
        <v>0</v>
      </c>
      <c r="T64" s="8">
        <f t="shared" si="11"/>
        <v>-0.55000000000000004</v>
      </c>
      <c r="U64" s="11">
        <f t="shared" si="16"/>
        <v>-13.023496425862005</v>
      </c>
      <c r="V64" s="345">
        <f t="shared" si="12"/>
        <v>-451.82958132898278</v>
      </c>
      <c r="W64" s="12"/>
    </row>
    <row r="65" spans="1:23" x14ac:dyDescent="0.25">
      <c r="A65" s="2">
        <v>45</v>
      </c>
      <c r="B65" s="11">
        <f>A65/100*'Inputs-Imperial'!$E$5</f>
        <v>4.4291340000000003</v>
      </c>
      <c r="C65" s="8">
        <f>'Inputs-Imperial'!$E$10+('Inputs-Imperial'!$E$9-'Inputs-Imperial'!$E$10)*(100-A65)/100</f>
        <v>1.6896325999999999</v>
      </c>
      <c r="D65" s="8">
        <f t="shared" si="13"/>
        <v>9.8425200000000324E-2</v>
      </c>
      <c r="E65" s="8">
        <f t="shared" si="14"/>
        <v>0.16678680258127257</v>
      </c>
      <c r="F65" s="11">
        <f t="shared" si="17"/>
        <v>12.522777948547549</v>
      </c>
      <c r="G65" s="8">
        <f t="shared" si="18"/>
        <v>1.8652219605587279</v>
      </c>
      <c r="H65" s="8">
        <f t="shared" si="3"/>
        <v>1.777427280279364</v>
      </c>
      <c r="I65" s="8">
        <f t="shared" si="15"/>
        <v>0.17544121098138285</v>
      </c>
      <c r="J65" s="11">
        <f t="shared" si="19"/>
        <v>13.172572974252986</v>
      </c>
      <c r="K65" s="550">
        <v>0</v>
      </c>
      <c r="L65" s="11">
        <f t="shared" si="4"/>
        <v>13.172572974252986</v>
      </c>
      <c r="M65" s="150">
        <f t="shared" si="5"/>
        <v>559.09733567766068</v>
      </c>
      <c r="N65" s="149">
        <f t="shared" si="20"/>
        <v>1360.510203040013</v>
      </c>
      <c r="O65" s="11">
        <f t="shared" si="7"/>
        <v>1.3172572974252987</v>
      </c>
      <c r="P65" s="345">
        <f t="shared" si="8"/>
        <v>55.909733567766089</v>
      </c>
      <c r="Q65" s="416">
        <f t="shared" si="9"/>
        <v>136.0510203040013</v>
      </c>
      <c r="R65" s="8">
        <f t="shared" si="10"/>
        <v>-0.55000000000000004</v>
      </c>
      <c r="S65" s="552">
        <v>0</v>
      </c>
      <c r="T65" s="8">
        <f t="shared" si="11"/>
        <v>-0.55000000000000004</v>
      </c>
      <c r="U65" s="11">
        <f t="shared" si="16"/>
        <v>-12.877309805749368</v>
      </c>
      <c r="V65" s="345">
        <f t="shared" si="12"/>
        <v>-438.95227152323343</v>
      </c>
      <c r="W65" s="12"/>
    </row>
    <row r="66" spans="1:23" x14ac:dyDescent="0.25">
      <c r="A66" s="2">
        <v>46</v>
      </c>
      <c r="B66" s="11">
        <f>A66/100*'Inputs-Imperial'!$E$5</f>
        <v>4.5275592000000007</v>
      </c>
      <c r="C66" s="8">
        <f>'Inputs-Imperial'!$E$10+('Inputs-Imperial'!$E$9-'Inputs-Imperial'!$E$10)*(100-A66)/100</f>
        <v>1.6797900800000001</v>
      </c>
      <c r="D66" s="8">
        <f t="shared" si="13"/>
        <v>9.8425200000000324E-2</v>
      </c>
      <c r="E66" s="8">
        <f t="shared" si="14"/>
        <v>0.16581805058176854</v>
      </c>
      <c r="F66" s="11">
        <f t="shared" si="17"/>
        <v>12.4500415809858</v>
      </c>
      <c r="G66" s="8">
        <f t="shared" si="18"/>
        <v>1.8545497236706161</v>
      </c>
      <c r="H66" s="8">
        <f t="shared" si="3"/>
        <v>1.7671699018353082</v>
      </c>
      <c r="I66" s="8">
        <f t="shared" si="15"/>
        <v>0.1744388432845371</v>
      </c>
      <c r="J66" s="11">
        <f t="shared" si="19"/>
        <v>13.097312654514679</v>
      </c>
      <c r="K66" s="550">
        <v>0</v>
      </c>
      <c r="L66" s="11">
        <f t="shared" si="4"/>
        <v>13.097312654514679</v>
      </c>
      <c r="M66" s="150">
        <f t="shared" si="5"/>
        <v>546.00002302314601</v>
      </c>
      <c r="N66" s="149">
        <f t="shared" si="20"/>
        <v>1305.480935956472</v>
      </c>
      <c r="O66" s="11">
        <f t="shared" si="7"/>
        <v>1.3097312654514679</v>
      </c>
      <c r="P66" s="345">
        <f t="shared" si="8"/>
        <v>54.600002302314621</v>
      </c>
      <c r="Q66" s="416">
        <f t="shared" si="9"/>
        <v>130.5480935956472</v>
      </c>
      <c r="R66" s="8">
        <f t="shared" si="10"/>
        <v>-0.55000000000000004</v>
      </c>
      <c r="S66" s="552">
        <v>0</v>
      </c>
      <c r="T66" s="8">
        <f t="shared" si="11"/>
        <v>-0.55000000000000004</v>
      </c>
      <c r="U66" s="11">
        <f t="shared" si="16"/>
        <v>-12.729847194891777</v>
      </c>
      <c r="V66" s="345">
        <f t="shared" si="12"/>
        <v>-426.22242432834167</v>
      </c>
      <c r="W66" s="12"/>
    </row>
    <row r="67" spans="1:23" x14ac:dyDescent="0.25">
      <c r="A67" s="2">
        <v>47</v>
      </c>
      <c r="B67" s="11">
        <f>A67/100*'Inputs-Imperial'!$E$5</f>
        <v>4.6259844000000001</v>
      </c>
      <c r="C67" s="8">
        <f>'Inputs-Imperial'!$E$10+('Inputs-Imperial'!$E$9-'Inputs-Imperial'!$E$10)*(100-A67)/100</f>
        <v>1.66994756</v>
      </c>
      <c r="D67" s="8">
        <f t="shared" si="13"/>
        <v>9.8425199999999435E-2</v>
      </c>
      <c r="E67" s="8">
        <f t="shared" si="14"/>
        <v>0.16484929858226305</v>
      </c>
      <c r="F67" s="11">
        <f t="shared" si="17"/>
        <v>12.37730521342394</v>
      </c>
      <c r="G67" s="8">
        <f t="shared" si="18"/>
        <v>1.843579101425241</v>
      </c>
      <c r="H67" s="8">
        <f t="shared" si="3"/>
        <v>1.7567633307126205</v>
      </c>
      <c r="I67" s="8">
        <f t="shared" si="15"/>
        <v>0.17342191660008721</v>
      </c>
      <c r="J67" s="11">
        <f t="shared" si="19"/>
        <v>13.020959208904898</v>
      </c>
      <c r="K67" s="550">
        <v>0</v>
      </c>
      <c r="L67" s="11">
        <f t="shared" si="4"/>
        <v>13.020959208904898</v>
      </c>
      <c r="M67" s="150">
        <f t="shared" si="5"/>
        <v>532.97906381424116</v>
      </c>
      <c r="N67" s="149">
        <f t="shared" si="20"/>
        <v>1251.7407744904144</v>
      </c>
      <c r="O67" s="11">
        <f t="shared" si="7"/>
        <v>1.3020959208904899</v>
      </c>
      <c r="P67" s="345">
        <f t="shared" si="8"/>
        <v>53.297906381424134</v>
      </c>
      <c r="Q67" s="416">
        <f t="shared" si="9"/>
        <v>125.17407744904145</v>
      </c>
      <c r="R67" s="8">
        <f t="shared" si="10"/>
        <v>-0.55000000000000004</v>
      </c>
      <c r="S67" s="552">
        <v>0</v>
      </c>
      <c r="T67" s="8">
        <f t="shared" si="11"/>
        <v>-0.55000000000000004</v>
      </c>
      <c r="U67" s="11">
        <f t="shared" si="16"/>
        <v>-12.581109017899916</v>
      </c>
      <c r="V67" s="345">
        <f t="shared" si="12"/>
        <v>-413.64131531044177</v>
      </c>
      <c r="W67" s="12"/>
    </row>
    <row r="68" spans="1:23" x14ac:dyDescent="0.25">
      <c r="A68" s="2">
        <v>48</v>
      </c>
      <c r="B68" s="11">
        <f>A68/100*'Inputs-Imperial'!$E$5</f>
        <v>4.7244096000000004</v>
      </c>
      <c r="C68" s="8">
        <f>'Inputs-Imperial'!$E$10+('Inputs-Imperial'!$E$9-'Inputs-Imperial'!$E$10)*(100-A68)/100</f>
        <v>1.6601050399999999</v>
      </c>
      <c r="D68" s="8">
        <f t="shared" si="13"/>
        <v>9.8425200000000324E-2</v>
      </c>
      <c r="E68" s="8">
        <f t="shared" si="14"/>
        <v>0.16388054658276055</v>
      </c>
      <c r="F68" s="11">
        <f t="shared" si="17"/>
        <v>12.304568845862306</v>
      </c>
      <c r="G68" s="8">
        <f t="shared" si="18"/>
        <v>1.8323047342311725</v>
      </c>
      <c r="H68" s="8">
        <f t="shared" si="3"/>
        <v>1.7462048871155862</v>
      </c>
      <c r="I68" s="8">
        <f t="shared" si="15"/>
        <v>0.17239017371669296</v>
      </c>
      <c r="J68" s="11">
        <f t="shared" si="19"/>
        <v>12.943493325341093</v>
      </c>
      <c r="K68" s="550">
        <v>0</v>
      </c>
      <c r="L68" s="11">
        <f t="shared" si="4"/>
        <v>12.943493325341093</v>
      </c>
      <c r="M68" s="150">
        <f t="shared" si="5"/>
        <v>520.03557048890002</v>
      </c>
      <c r="N68" s="149">
        <f t="shared" si="20"/>
        <v>1199.2822035386848</v>
      </c>
      <c r="O68" s="11">
        <f t="shared" si="7"/>
        <v>1.2943493325341093</v>
      </c>
      <c r="P68" s="345">
        <f t="shared" si="8"/>
        <v>52.003557048890023</v>
      </c>
      <c r="Q68" s="416">
        <f t="shared" si="9"/>
        <v>119.92822035386848</v>
      </c>
      <c r="R68" s="8">
        <f t="shared" si="10"/>
        <v>-0.55000000000000004</v>
      </c>
      <c r="S68" s="552">
        <v>0</v>
      </c>
      <c r="T68" s="8">
        <f t="shared" si="11"/>
        <v>-0.55000000000000004</v>
      </c>
      <c r="U68" s="11">
        <f t="shared" si="16"/>
        <v>-12.431095215582223</v>
      </c>
      <c r="V68" s="345">
        <f t="shared" si="12"/>
        <v>-401.21022009485955</v>
      </c>
      <c r="W68" s="12"/>
    </row>
    <row r="69" spans="1:23" x14ac:dyDescent="0.25">
      <c r="A69" s="2">
        <v>49</v>
      </c>
      <c r="B69" s="11">
        <f>A69/100*'Inputs-Imperial'!$E$5</f>
        <v>4.8228347999999999</v>
      </c>
      <c r="C69" s="8">
        <f>'Inputs-Imperial'!$E$10+('Inputs-Imperial'!$E$9-'Inputs-Imperial'!$E$10)*(100-A69)/100</f>
        <v>1.6502625200000001</v>
      </c>
      <c r="D69" s="8">
        <f t="shared" si="13"/>
        <v>9.8425199999999435E-2</v>
      </c>
      <c r="E69" s="8">
        <f t="shared" si="14"/>
        <v>0.16291179458325505</v>
      </c>
      <c r="F69" s="11">
        <f t="shared" si="17"/>
        <v>12.231832478300445</v>
      </c>
      <c r="G69" s="8">
        <f t="shared" si="18"/>
        <v>1.8207209794993204</v>
      </c>
      <c r="H69" s="8">
        <f t="shared" si="3"/>
        <v>1.7354917497496603</v>
      </c>
      <c r="I69" s="8">
        <f t="shared" si="15"/>
        <v>0.17134334391139364</v>
      </c>
      <c r="J69" s="11">
        <f t="shared" si="19"/>
        <v>12.864894677253833</v>
      </c>
      <c r="K69" s="550">
        <v>0</v>
      </c>
      <c r="L69" s="11">
        <f t="shared" si="4"/>
        <v>12.864894677253833</v>
      </c>
      <c r="M69" s="150">
        <f t="shared" si="5"/>
        <v>507.17067581164622</v>
      </c>
      <c r="N69" s="149">
        <f t="shared" si="20"/>
        <v>1148.0975985062009</v>
      </c>
      <c r="O69" s="11">
        <f t="shared" si="7"/>
        <v>1.2864894677253833</v>
      </c>
      <c r="P69" s="345">
        <f t="shared" si="8"/>
        <v>50.717067581164642</v>
      </c>
      <c r="Q69" s="416">
        <f t="shared" si="9"/>
        <v>114.8097598506201</v>
      </c>
      <c r="R69" s="8">
        <f t="shared" si="10"/>
        <v>-0.55000000000000004</v>
      </c>
      <c r="S69" s="552">
        <v>0</v>
      </c>
      <c r="T69" s="8">
        <f t="shared" si="11"/>
        <v>-0.55000000000000004</v>
      </c>
      <c r="U69" s="11">
        <f t="shared" si="16"/>
        <v>-12.279805215574791</v>
      </c>
      <c r="V69" s="345">
        <f t="shared" si="12"/>
        <v>-388.93041487928474</v>
      </c>
      <c r="W69" s="12"/>
    </row>
    <row r="70" spans="1:23" x14ac:dyDescent="0.25">
      <c r="A70" s="2">
        <v>50</v>
      </c>
      <c r="B70" s="11">
        <f>A70/100*'Inputs-Imperial'!$E$5</f>
        <v>4.9212600000000002</v>
      </c>
      <c r="C70" s="8">
        <f>'Inputs-Imperial'!$E$10+('Inputs-Imperial'!$E$9-'Inputs-Imperial'!$E$10)*(100-A70)/100</f>
        <v>1.64042</v>
      </c>
      <c r="D70" s="8">
        <f t="shared" si="13"/>
        <v>9.8425200000000324E-2</v>
      </c>
      <c r="E70" s="8">
        <f t="shared" si="14"/>
        <v>0.16194304258375253</v>
      </c>
      <c r="F70" s="11">
        <f t="shared" si="17"/>
        <v>12.15909611073881</v>
      </c>
      <c r="G70" s="8">
        <f t="shared" si="18"/>
        <v>1.8088218932556317</v>
      </c>
      <c r="H70" s="8">
        <f t="shared" si="3"/>
        <v>1.724620946627816</v>
      </c>
      <c r="I70" s="8">
        <f t="shared" si="15"/>
        <v>0.17028114208174674</v>
      </c>
      <c r="J70" s="11">
        <f t="shared" si="19"/>
        <v>12.785141858425572</v>
      </c>
      <c r="K70" s="550">
        <v>0</v>
      </c>
      <c r="L70" s="11">
        <f t="shared" si="4"/>
        <v>12.785141858425572</v>
      </c>
      <c r="M70" s="150">
        <f t="shared" si="5"/>
        <v>494.38553395322066</v>
      </c>
      <c r="N70" s="149">
        <f t="shared" si="20"/>
        <v>1098.1792233053043</v>
      </c>
      <c r="O70" s="11">
        <f t="shared" si="7"/>
        <v>1.2785141858425573</v>
      </c>
      <c r="P70" s="345">
        <f t="shared" si="8"/>
        <v>49.438553395322081</v>
      </c>
      <c r="Q70" s="416">
        <f t="shared" si="9"/>
        <v>109.81792233053044</v>
      </c>
      <c r="R70" s="8">
        <f t="shared" si="10"/>
        <v>-0.55000000000000004</v>
      </c>
      <c r="S70" s="552">
        <v>0</v>
      </c>
      <c r="T70" s="8">
        <f t="shared" si="11"/>
        <v>-0.55000000000000004</v>
      </c>
      <c r="U70" s="11">
        <f t="shared" si="16"/>
        <v>-12.127237900056855</v>
      </c>
      <c r="V70" s="345">
        <f t="shared" si="12"/>
        <v>-376.80317697922789</v>
      </c>
      <c r="W70" s="12"/>
    </row>
    <row r="71" spans="1:23" x14ac:dyDescent="0.25">
      <c r="A71" s="2">
        <v>51</v>
      </c>
      <c r="B71" s="11">
        <f>A71/100*'Inputs-Imperial'!$E$5</f>
        <v>5.0196852000000005</v>
      </c>
      <c r="C71" s="8">
        <f>'Inputs-Imperial'!$E$10+('Inputs-Imperial'!$E$9-'Inputs-Imperial'!$E$10)*(100-A71)/100</f>
        <v>1.6305774799999999</v>
      </c>
      <c r="D71" s="8">
        <f t="shared" si="13"/>
        <v>9.8425200000000324E-2</v>
      </c>
      <c r="E71" s="8">
        <f t="shared" si="14"/>
        <v>0.16097429058424853</v>
      </c>
      <c r="F71" s="11">
        <f t="shared" si="17"/>
        <v>12.086359743177063</v>
      </c>
      <c r="G71" s="8">
        <f t="shared" si="18"/>
        <v>1.7966012100857944</v>
      </c>
      <c r="H71" s="8">
        <f t="shared" si="3"/>
        <v>1.7135893450428972</v>
      </c>
      <c r="I71" s="8">
        <f t="shared" si="15"/>
        <v>0.16920326779987468</v>
      </c>
      <c r="J71" s="11">
        <f t="shared" si="19"/>
        <v>12.704212311966064</v>
      </c>
      <c r="K71" s="550">
        <v>0</v>
      </c>
      <c r="L71" s="11">
        <f t="shared" si="4"/>
        <v>12.704212311966064</v>
      </c>
      <c r="M71" s="150">
        <f t="shared" si="5"/>
        <v>481.68132164125461</v>
      </c>
      <c r="N71" s="149">
        <f t="shared" si="20"/>
        <v>1049.5192282488515</v>
      </c>
      <c r="O71" s="11">
        <f t="shared" si="7"/>
        <v>1.2704212311966063</v>
      </c>
      <c r="P71" s="345">
        <f t="shared" si="8"/>
        <v>48.168132164125474</v>
      </c>
      <c r="Q71" s="416">
        <f t="shared" si="9"/>
        <v>104.95192282488516</v>
      </c>
      <c r="R71" s="8">
        <f t="shared" si="10"/>
        <v>-0.55000000000000004</v>
      </c>
      <c r="S71" s="552">
        <v>0</v>
      </c>
      <c r="T71" s="8">
        <f t="shared" si="11"/>
        <v>-0.55000000000000004</v>
      </c>
      <c r="U71" s="11">
        <f t="shared" si="16"/>
        <v>-11.973391570221311</v>
      </c>
      <c r="V71" s="345">
        <f t="shared" si="12"/>
        <v>-364.82978540900655</v>
      </c>
      <c r="W71" s="12"/>
    </row>
    <row r="72" spans="1:23" x14ac:dyDescent="0.25">
      <c r="A72" s="2">
        <v>52</v>
      </c>
      <c r="B72" s="11">
        <f>A72/100*'Inputs-Imperial'!$E$5</f>
        <v>5.1181103999999999</v>
      </c>
      <c r="C72" s="8">
        <f>'Inputs-Imperial'!$E$10+('Inputs-Imperial'!$E$9-'Inputs-Imperial'!$E$10)*(100-A72)/100</f>
        <v>1.6207349600000001</v>
      </c>
      <c r="D72" s="8">
        <f t="shared" si="13"/>
        <v>9.8425199999999435E-2</v>
      </c>
      <c r="E72" s="8">
        <f t="shared" si="14"/>
        <v>0.16000553858474309</v>
      </c>
      <c r="F72" s="11">
        <f t="shared" si="17"/>
        <v>12.013623375615207</v>
      </c>
      <c r="G72" s="8">
        <f t="shared" si="18"/>
        <v>1.7840523212258996</v>
      </c>
      <c r="H72" s="8">
        <f t="shared" si="3"/>
        <v>1.7023936406129498</v>
      </c>
      <c r="I72" s="8">
        <f t="shared" si="15"/>
        <v>0.16810940427988599</v>
      </c>
      <c r="J72" s="11">
        <f t="shared" si="19"/>
        <v>12.622082252783713</v>
      </c>
      <c r="K72" s="550">
        <v>0</v>
      </c>
      <c r="L72" s="11">
        <f t="shared" si="4"/>
        <v>12.622082252783713</v>
      </c>
      <c r="M72" s="150">
        <f t="shared" si="5"/>
        <v>469.05923938847093</v>
      </c>
      <c r="N72" s="149">
        <f t="shared" si="20"/>
        <v>1002.109647830047</v>
      </c>
      <c r="O72" s="11">
        <f t="shared" si="7"/>
        <v>1.2622082252783713</v>
      </c>
      <c r="P72" s="345">
        <f t="shared" si="8"/>
        <v>46.905923938847103</v>
      </c>
      <c r="Q72" s="416">
        <f t="shared" si="9"/>
        <v>100.2109647830047</v>
      </c>
      <c r="R72" s="8">
        <f t="shared" si="10"/>
        <v>-0.55000000000000004</v>
      </c>
      <c r="S72" s="552">
        <v>0</v>
      </c>
      <c r="T72" s="8">
        <f t="shared" si="11"/>
        <v>-0.55000000000000004</v>
      </c>
      <c r="U72" s="11">
        <f t="shared" si="16"/>
        <v>-11.818263907137915</v>
      </c>
      <c r="V72" s="345">
        <f t="shared" si="12"/>
        <v>-353.01152150186863</v>
      </c>
      <c r="W72" s="12"/>
    </row>
    <row r="73" spans="1:23" x14ac:dyDescent="0.25">
      <c r="A73" s="2">
        <v>53</v>
      </c>
      <c r="B73" s="11">
        <f>A73/100*'Inputs-Imperial'!$E$5</f>
        <v>5.2165356000000003</v>
      </c>
      <c r="C73" s="8">
        <f>'Inputs-Imperial'!$E$10+('Inputs-Imperial'!$E$9-'Inputs-Imperial'!$E$10)*(100-A73)/100</f>
        <v>1.61089244</v>
      </c>
      <c r="D73" s="8">
        <f t="shared" si="13"/>
        <v>9.8425200000000324E-2</v>
      </c>
      <c r="E73" s="8">
        <f t="shared" si="14"/>
        <v>0.15903678658524051</v>
      </c>
      <c r="F73" s="11">
        <f t="shared" si="17"/>
        <v>11.940887008053565</v>
      </c>
      <c r="G73" s="8">
        <f t="shared" si="18"/>
        <v>1.7711682505877944</v>
      </c>
      <c r="H73" s="8">
        <f t="shared" si="3"/>
        <v>1.6910303452938971</v>
      </c>
      <c r="I73" s="8">
        <f t="shared" si="15"/>
        <v>0.16699921724883984</v>
      </c>
      <c r="J73" s="11">
        <f t="shared" si="19"/>
        <v>12.53872658281472</v>
      </c>
      <c r="K73" s="550">
        <v>0</v>
      </c>
      <c r="L73" s="11">
        <f t="shared" si="4"/>
        <v>12.53872658281472</v>
      </c>
      <c r="M73" s="150">
        <f t="shared" si="5"/>
        <v>456.52051280565621</v>
      </c>
      <c r="N73" s="149">
        <f t="shared" si="20"/>
        <v>955.94239838138878</v>
      </c>
      <c r="O73" s="11">
        <f t="shared" si="7"/>
        <v>1.2538726582814719</v>
      </c>
      <c r="P73" s="345">
        <f t="shared" si="8"/>
        <v>45.65205128056563</v>
      </c>
      <c r="Q73" s="416">
        <f t="shared" si="9"/>
        <v>95.594239838138876</v>
      </c>
      <c r="R73" s="8">
        <f t="shared" si="10"/>
        <v>-0.55000000000000004</v>
      </c>
      <c r="S73" s="552">
        <v>0</v>
      </c>
      <c r="T73" s="8">
        <f t="shared" si="11"/>
        <v>-0.55000000000000004</v>
      </c>
      <c r="U73" s="11">
        <f t="shared" si="16"/>
        <v>-11.661851928585619</v>
      </c>
      <c r="V73" s="345">
        <f t="shared" si="12"/>
        <v>-341.34966957328299</v>
      </c>
      <c r="W73" s="12"/>
    </row>
    <row r="74" spans="1:23" x14ac:dyDescent="0.25">
      <c r="A74" s="2">
        <v>54</v>
      </c>
      <c r="B74" s="11">
        <f>A74/100*'Inputs-Imperial'!$E$5</f>
        <v>5.3149608000000006</v>
      </c>
      <c r="C74" s="8">
        <f>'Inputs-Imperial'!$E$10+('Inputs-Imperial'!$E$9-'Inputs-Imperial'!$E$10)*(100-A74)/100</f>
        <v>1.6010499199999999</v>
      </c>
      <c r="D74" s="8">
        <f t="shared" si="13"/>
        <v>9.8425200000000324E-2</v>
      </c>
      <c r="E74" s="8">
        <f t="shared" si="14"/>
        <v>0.15806803458573654</v>
      </c>
      <c r="F74" s="11">
        <f t="shared" si="17"/>
        <v>11.868150640491821</v>
      </c>
      <c r="G74" s="8">
        <f t="shared" si="18"/>
        <v>1.7579416284785632</v>
      </c>
      <c r="H74" s="8">
        <f t="shared" si="3"/>
        <v>1.6794957742392815</v>
      </c>
      <c r="I74" s="8">
        <f t="shared" si="15"/>
        <v>0.16587235371013906</v>
      </c>
      <c r="J74" s="11">
        <f t="shared" si="19"/>
        <v>12.454118798175475</v>
      </c>
      <c r="K74" s="550">
        <v>0</v>
      </c>
      <c r="L74" s="11">
        <f t="shared" si="4"/>
        <v>12.454118798175475</v>
      </c>
      <c r="M74" s="150">
        <f t="shared" si="5"/>
        <v>444.06639400748071</v>
      </c>
      <c r="N74" s="149">
        <f t="shared" si="20"/>
        <v>911.00927560438936</v>
      </c>
      <c r="O74" s="11">
        <f t="shared" si="7"/>
        <v>1.2454118798175475</v>
      </c>
      <c r="P74" s="345">
        <f t="shared" si="8"/>
        <v>44.406639400748084</v>
      </c>
      <c r="Q74" s="416">
        <f t="shared" si="9"/>
        <v>91.100927560438933</v>
      </c>
      <c r="R74" s="8">
        <f t="shared" si="10"/>
        <v>-0.55000000000000004</v>
      </c>
      <c r="S74" s="552">
        <v>0</v>
      </c>
      <c r="T74" s="8">
        <f t="shared" si="11"/>
        <v>-0.55000000000000004</v>
      </c>
      <c r="U74" s="11">
        <f t="shared" si="16"/>
        <v>-11.504151941375342</v>
      </c>
      <c r="V74" s="345">
        <f t="shared" si="12"/>
        <v>-329.84551763190763</v>
      </c>
      <c r="W74" s="12"/>
    </row>
    <row r="75" spans="1:23" x14ac:dyDescent="0.25">
      <c r="A75" s="2">
        <v>55</v>
      </c>
      <c r="B75" s="11">
        <f>A75/100*'Inputs-Imperial'!$E$5</f>
        <v>5.4133860000000009</v>
      </c>
      <c r="C75" s="8">
        <f>'Inputs-Imperial'!$E$10+('Inputs-Imperial'!$E$9-'Inputs-Imperial'!$E$10)*(100-A75)/100</f>
        <v>1.5912074</v>
      </c>
      <c r="D75" s="8">
        <f t="shared" si="13"/>
        <v>9.8425200000000324E-2</v>
      </c>
      <c r="E75" s="8">
        <f t="shared" si="14"/>
        <v>0.15709928258623251</v>
      </c>
      <c r="F75" s="11">
        <f t="shared" si="17"/>
        <v>11.795414272930071</v>
      </c>
      <c r="G75" s="8">
        <f t="shared" si="18"/>
        <v>1.7443646627395393</v>
      </c>
      <c r="H75" s="8">
        <f t="shared" si="3"/>
        <v>1.6677860313697697</v>
      </c>
      <c r="I75" s="8">
        <f t="shared" si="15"/>
        <v>0.16472844058671654</v>
      </c>
      <c r="J75" s="11">
        <f t="shared" si="19"/>
        <v>12.368230887289545</v>
      </c>
      <c r="K75" s="550">
        <v>0</v>
      </c>
      <c r="L75" s="11">
        <f t="shared" si="4"/>
        <v>12.368230887289545</v>
      </c>
      <c r="M75" s="150">
        <f t="shared" si="5"/>
        <v>431.69816312019117</v>
      </c>
      <c r="N75" s="149">
        <f t="shared" si="20"/>
        <v>867.30195196092416</v>
      </c>
      <c r="O75" s="11">
        <f t="shared" si="7"/>
        <v>1.2368230887289546</v>
      </c>
      <c r="P75" s="345">
        <f t="shared" si="8"/>
        <v>43.16981631201913</v>
      </c>
      <c r="Q75" s="416">
        <f t="shared" si="9"/>
        <v>86.73019519609241</v>
      </c>
      <c r="R75" s="8">
        <f t="shared" si="10"/>
        <v>-0.55000000000000004</v>
      </c>
      <c r="S75" s="552">
        <v>0</v>
      </c>
      <c r="T75" s="8">
        <f t="shared" si="11"/>
        <v>-0.55000000000000004</v>
      </c>
      <c r="U75" s="11">
        <f t="shared" si="16"/>
        <v>-11.345159488617702</v>
      </c>
      <c r="V75" s="345">
        <f t="shared" si="12"/>
        <v>-318.50035814328993</v>
      </c>
      <c r="W75" s="12"/>
    </row>
    <row r="76" spans="1:23" x14ac:dyDescent="0.25">
      <c r="A76" s="2">
        <v>56</v>
      </c>
      <c r="B76" s="11">
        <f>A76/100*'Inputs-Imperial'!$E$5</f>
        <v>5.5118112000000004</v>
      </c>
      <c r="C76" s="8">
        <f>'Inputs-Imperial'!$E$10+('Inputs-Imperial'!$E$9-'Inputs-Imperial'!$E$10)*(100-A76)/100</f>
        <v>1.58136488</v>
      </c>
      <c r="D76" s="8">
        <f t="shared" si="13"/>
        <v>9.8425199999999435E-2</v>
      </c>
      <c r="E76" s="8">
        <f t="shared" si="14"/>
        <v>0.1561305305867271</v>
      </c>
      <c r="F76" s="11">
        <f t="shared" si="17"/>
        <v>11.722677905368219</v>
      </c>
      <c r="G76" s="8">
        <f t="shared" si="18"/>
        <v>1.7304291069904933</v>
      </c>
      <c r="H76" s="8">
        <f t="shared" si="3"/>
        <v>1.6558969934952468</v>
      </c>
      <c r="I76" s="8">
        <f t="shared" si="15"/>
        <v>0.16356708322947119</v>
      </c>
      <c r="J76" s="11">
        <f t="shared" si="19"/>
        <v>12.281033218897235</v>
      </c>
      <c r="K76" s="550">
        <v>0</v>
      </c>
      <c r="L76" s="11">
        <f t="shared" si="4"/>
        <v>12.281033218897235</v>
      </c>
      <c r="M76" s="150">
        <f t="shared" si="5"/>
        <v>419.41712990129395</v>
      </c>
      <c r="N76" s="149">
        <f t="shared" si="20"/>
        <v>824.81197391618696</v>
      </c>
      <c r="O76" s="11">
        <f t="shared" si="7"/>
        <v>1.2281033218897235</v>
      </c>
      <c r="P76" s="345">
        <f t="shared" si="8"/>
        <v>41.941712990129403</v>
      </c>
      <c r="Q76" s="416">
        <f t="shared" si="9"/>
        <v>82.481197391618693</v>
      </c>
      <c r="R76" s="8">
        <f t="shared" si="10"/>
        <v>-0.55000000000000004</v>
      </c>
      <c r="S76" s="552">
        <v>0</v>
      </c>
      <c r="T76" s="8">
        <f t="shared" si="11"/>
        <v>-0.55000000000000004</v>
      </c>
      <c r="U76" s="11">
        <f t="shared" si="16"/>
        <v>-11.184869291302952</v>
      </c>
      <c r="V76" s="345">
        <f t="shared" si="12"/>
        <v>-307.31548885198697</v>
      </c>
      <c r="W76" s="12"/>
    </row>
    <row r="77" spans="1:23" x14ac:dyDescent="0.25">
      <c r="A77" s="2">
        <v>57</v>
      </c>
      <c r="B77" s="11">
        <f>A77/100*'Inputs-Imperial'!$E$5</f>
        <v>5.6102363999999998</v>
      </c>
      <c r="C77" s="8">
        <f>'Inputs-Imperial'!$E$10+('Inputs-Imperial'!$E$9-'Inputs-Imperial'!$E$10)*(100-A77)/100</f>
        <v>1.5715223599999999</v>
      </c>
      <c r="D77" s="8">
        <f t="shared" si="13"/>
        <v>9.8425199999999435E-2</v>
      </c>
      <c r="E77" s="8">
        <f t="shared" si="14"/>
        <v>0.1551617785872231</v>
      </c>
      <c r="F77" s="11">
        <f t="shared" si="17"/>
        <v>11.649941537806471</v>
      </c>
      <c r="G77" s="8">
        <f t="shared" si="18"/>
        <v>1.7161262256181322</v>
      </c>
      <c r="H77" s="8">
        <f t="shared" si="3"/>
        <v>1.6438242928090661</v>
      </c>
      <c r="I77" s="8">
        <f t="shared" si="15"/>
        <v>0.16238786377437869</v>
      </c>
      <c r="J77" s="11">
        <f t="shared" si="19"/>
        <v>12.192494418703287</v>
      </c>
      <c r="K77" s="550">
        <v>0</v>
      </c>
      <c r="L77" s="11">
        <f t="shared" si="4"/>
        <v>12.192494418703287</v>
      </c>
      <c r="M77" s="150">
        <f t="shared" si="5"/>
        <v>407.22463548259066</v>
      </c>
      <c r="N77" s="149">
        <f t="shared" si="20"/>
        <v>783.53075902222633</v>
      </c>
      <c r="O77" s="11">
        <f t="shared" si="7"/>
        <v>1.2192494418703288</v>
      </c>
      <c r="P77" s="345">
        <f t="shared" si="8"/>
        <v>40.722463548259071</v>
      </c>
      <c r="Q77" s="416">
        <f t="shared" si="9"/>
        <v>78.353075902222628</v>
      </c>
      <c r="R77" s="8">
        <f t="shared" si="10"/>
        <v>-0.55000000000000004</v>
      </c>
      <c r="S77" s="552">
        <v>0</v>
      </c>
      <c r="T77" s="8">
        <f t="shared" si="11"/>
        <v>-0.55000000000000004</v>
      </c>
      <c r="U77" s="11">
        <f t="shared" si="16"/>
        <v>-11.023275183471879</v>
      </c>
      <c r="V77" s="345">
        <f t="shared" si="12"/>
        <v>-296.2922136685151</v>
      </c>
      <c r="W77" s="12"/>
    </row>
    <row r="78" spans="1:23" x14ac:dyDescent="0.25">
      <c r="A78" s="2">
        <v>58</v>
      </c>
      <c r="B78" s="11">
        <f>A78/100*'Inputs-Imperial'!$E$5</f>
        <v>5.7086616000000001</v>
      </c>
      <c r="C78" s="8">
        <f>'Inputs-Imperial'!$E$10+('Inputs-Imperial'!$E$9-'Inputs-Imperial'!$E$10)*(100-A78)/100</f>
        <v>1.56167984</v>
      </c>
      <c r="D78" s="8">
        <f t="shared" si="13"/>
        <v>9.8425200000000324E-2</v>
      </c>
      <c r="E78" s="8">
        <f t="shared" si="14"/>
        <v>0.15419302658772049</v>
      </c>
      <c r="F78" s="11">
        <f t="shared" si="17"/>
        <v>11.577205170244827</v>
      </c>
      <c r="G78" s="8">
        <f t="shared" si="18"/>
        <v>1.7014467550933476</v>
      </c>
      <c r="H78" s="8">
        <f t="shared" si="3"/>
        <v>1.6315632975466738</v>
      </c>
      <c r="I78" s="8">
        <f t="shared" si="15"/>
        <v>0.1611903393291414</v>
      </c>
      <c r="J78" s="11">
        <f t="shared" si="19"/>
        <v>12.102581233225937</v>
      </c>
      <c r="K78" s="550">
        <v>0</v>
      </c>
      <c r="L78" s="11">
        <f t="shared" si="4"/>
        <v>12.102581233225937</v>
      </c>
      <c r="M78" s="150">
        <f t="shared" si="5"/>
        <v>395.12205424936474</v>
      </c>
      <c r="N78" s="149">
        <f t="shared" si="20"/>
        <v>743.44959282992511</v>
      </c>
      <c r="O78" s="11">
        <f t="shared" si="7"/>
        <v>1.2102581233225937</v>
      </c>
      <c r="P78" s="345">
        <f t="shared" si="8"/>
        <v>39.512205424936475</v>
      </c>
      <c r="Q78" s="416">
        <f t="shared" si="9"/>
        <v>74.344959282992505</v>
      </c>
      <c r="R78" s="8">
        <f t="shared" si="10"/>
        <v>-0.55000000000000004</v>
      </c>
      <c r="S78" s="552">
        <v>0</v>
      </c>
      <c r="T78" s="8">
        <f t="shared" si="11"/>
        <v>-0.55000000000000004</v>
      </c>
      <c r="U78" s="11">
        <f t="shared" si="16"/>
        <v>-10.860370040139731</v>
      </c>
      <c r="V78" s="345">
        <f t="shared" si="12"/>
        <v>-285.43184362837536</v>
      </c>
      <c r="W78" s="12"/>
    </row>
    <row r="79" spans="1:23" x14ac:dyDescent="0.25">
      <c r="A79" s="2">
        <v>59</v>
      </c>
      <c r="B79" s="11">
        <f>A79/100*'Inputs-Imperial'!$E$5</f>
        <v>5.8070867999999995</v>
      </c>
      <c r="C79" s="8">
        <f>'Inputs-Imperial'!$E$10+('Inputs-Imperial'!$E$9-'Inputs-Imperial'!$E$10)*(100-A79)/100</f>
        <v>1.55183732</v>
      </c>
      <c r="D79" s="8">
        <f t="shared" si="13"/>
        <v>9.8425199999999435E-2</v>
      </c>
      <c r="E79" s="8">
        <f t="shared" si="14"/>
        <v>0.15322427458821511</v>
      </c>
      <c r="F79" s="11">
        <f t="shared" si="17"/>
        <v>11.504468802682977</v>
      </c>
      <c r="G79" s="8">
        <f t="shared" si="18"/>
        <v>1.6863808611372333</v>
      </c>
      <c r="H79" s="8">
        <f t="shared" si="3"/>
        <v>1.6191090905686165</v>
      </c>
      <c r="I79" s="8">
        <f t="shared" si="15"/>
        <v>0.15997403996736162</v>
      </c>
      <c r="J79" s="11">
        <f t="shared" si="19"/>
        <v>12.011258379194329</v>
      </c>
      <c r="K79" s="550">
        <v>0</v>
      </c>
      <c r="L79" s="11">
        <f t="shared" si="4"/>
        <v>12.011258379194329</v>
      </c>
      <c r="M79" s="150">
        <f t="shared" si="5"/>
        <v>383.11079587017042</v>
      </c>
      <c r="N79" s="149">
        <f t="shared" si="20"/>
        <v>704.55962561602075</v>
      </c>
      <c r="O79" s="11">
        <f t="shared" si="7"/>
        <v>1.2011258379194329</v>
      </c>
      <c r="P79" s="345">
        <f t="shared" si="8"/>
        <v>38.311079587017041</v>
      </c>
      <c r="Q79" s="416">
        <f t="shared" si="9"/>
        <v>70.455962561602064</v>
      </c>
      <c r="R79" s="8">
        <f t="shared" si="10"/>
        <v>-0.55000000000000004</v>
      </c>
      <c r="S79" s="552">
        <v>0</v>
      </c>
      <c r="T79" s="8">
        <f t="shared" si="11"/>
        <v>-0.55000000000000004</v>
      </c>
      <c r="U79" s="11">
        <f t="shared" si="16"/>
        <v>-10.696145697007104</v>
      </c>
      <c r="V79" s="345">
        <f t="shared" si="12"/>
        <v>-274.73569793136824</v>
      </c>
      <c r="W79" s="12"/>
    </row>
    <row r="80" spans="1:23" x14ac:dyDescent="0.25">
      <c r="A80" s="2">
        <v>60</v>
      </c>
      <c r="B80" s="11">
        <f>A80/100*'Inputs-Imperial'!$E$5</f>
        <v>5.9055119999999999</v>
      </c>
      <c r="C80" s="8">
        <f>'Inputs-Imperial'!$E$10+('Inputs-Imperial'!$E$9-'Inputs-Imperial'!$E$10)*(100-A80)/100</f>
        <v>1.5419947999999999</v>
      </c>
      <c r="D80" s="8">
        <f t="shared" si="13"/>
        <v>9.8425200000000324E-2</v>
      </c>
      <c r="E80" s="8">
        <f t="shared" si="14"/>
        <v>0.1522555225887125</v>
      </c>
      <c r="F80" s="11">
        <f t="shared" si="17"/>
        <v>11.431732435121333</v>
      </c>
      <c r="G80" s="8">
        <f t="shared" si="18"/>
        <v>1.6709180911795642</v>
      </c>
      <c r="H80" s="8">
        <f t="shared" si="3"/>
        <v>1.6064564455897821</v>
      </c>
      <c r="I80" s="8">
        <f t="shared" si="15"/>
        <v>0.15873846650474932</v>
      </c>
      <c r="J80" s="11">
        <f t="shared" si="19"/>
        <v>11.91848837658053</v>
      </c>
      <c r="K80" s="550">
        <v>0</v>
      </c>
      <c r="L80" s="11">
        <f t="shared" si="4"/>
        <v>11.91848837658053</v>
      </c>
      <c r="M80" s="150">
        <f t="shared" si="5"/>
        <v>371.19230749358991</v>
      </c>
      <c r="N80" s="149">
        <f t="shared" si="20"/>
        <v>666.85186891033993</v>
      </c>
      <c r="O80" s="11">
        <f t="shared" si="7"/>
        <v>1.1918488376580529</v>
      </c>
      <c r="P80" s="345">
        <f t="shared" si="8"/>
        <v>37.119230749358991</v>
      </c>
      <c r="Q80" s="416">
        <f t="shared" si="9"/>
        <v>66.685186891033979</v>
      </c>
      <c r="R80" s="8">
        <f t="shared" si="10"/>
        <v>-0.55000000000000004</v>
      </c>
      <c r="S80" s="552">
        <v>0</v>
      </c>
      <c r="T80" s="8">
        <f t="shared" si="11"/>
        <v>-0.55000000000000004</v>
      </c>
      <c r="U80" s="11">
        <f t="shared" si="16"/>
        <v>-10.530592860834581</v>
      </c>
      <c r="V80" s="345">
        <f t="shared" si="12"/>
        <v>-264.20510507053365</v>
      </c>
      <c r="W80" s="12"/>
    </row>
    <row r="81" spans="1:23" x14ac:dyDescent="0.25">
      <c r="A81" s="2">
        <v>61</v>
      </c>
      <c r="B81" s="11">
        <f>A81/100*'Inputs-Imperial'!$E$5</f>
        <v>6.0039372000000002</v>
      </c>
      <c r="C81" s="8">
        <f>'Inputs-Imperial'!$E$10+('Inputs-Imperial'!$E$9-'Inputs-Imperial'!$E$10)*(100-A81)/100</f>
        <v>1.53215228</v>
      </c>
      <c r="D81" s="8">
        <f t="shared" si="13"/>
        <v>9.8425200000000324E-2</v>
      </c>
      <c r="E81" s="8">
        <f t="shared" si="14"/>
        <v>0.1512867705892085</v>
      </c>
      <c r="F81" s="11">
        <f t="shared" si="17"/>
        <v>11.358996067559586</v>
      </c>
      <c r="G81" s="8">
        <f t="shared" si="18"/>
        <v>1.6550473214628298</v>
      </c>
      <c r="H81" s="8">
        <f t="shared" si="3"/>
        <v>1.5935998007314149</v>
      </c>
      <c r="I81" s="8">
        <f t="shared" si="15"/>
        <v>0.15748308802770708</v>
      </c>
      <c r="J81" s="11">
        <f t="shared" si="19"/>
        <v>11.824231363039393</v>
      </c>
      <c r="K81" s="550">
        <v>0</v>
      </c>
      <c r="L81" s="11">
        <f t="shared" si="4"/>
        <v>11.824231363039393</v>
      </c>
      <c r="M81" s="150">
        <f t="shared" si="5"/>
        <v>359.36807613055049</v>
      </c>
      <c r="N81" s="149">
        <f t="shared" si="20"/>
        <v>630.31719180682171</v>
      </c>
      <c r="O81" s="11">
        <f t="shared" si="7"/>
        <v>1.1824231363039392</v>
      </c>
      <c r="P81" s="345">
        <f t="shared" si="8"/>
        <v>35.936807613055052</v>
      </c>
      <c r="Q81" s="416">
        <f t="shared" si="9"/>
        <v>63.031719180682153</v>
      </c>
      <c r="R81" s="8">
        <f t="shared" si="10"/>
        <v>-0.55000000000000004</v>
      </c>
      <c r="S81" s="552">
        <v>0</v>
      </c>
      <c r="T81" s="8">
        <f t="shared" si="11"/>
        <v>-0.55000000000000004</v>
      </c>
      <c r="U81" s="11">
        <f t="shared" si="16"/>
        <v>-10.363701009167949</v>
      </c>
      <c r="V81" s="345">
        <f t="shared" si="12"/>
        <v>-253.84140406136569</v>
      </c>
      <c r="W81" s="12"/>
    </row>
    <row r="82" spans="1:23" x14ac:dyDescent="0.25">
      <c r="A82" s="2">
        <v>62</v>
      </c>
      <c r="B82" s="11">
        <f>A82/100*'Inputs-Imperial'!$E$5</f>
        <v>6.1023624000000005</v>
      </c>
      <c r="C82" s="8">
        <f>'Inputs-Imperial'!$E$10+('Inputs-Imperial'!$E$9-'Inputs-Imperial'!$E$10)*(100-A82)/100</f>
        <v>1.52230976</v>
      </c>
      <c r="D82" s="8">
        <f t="shared" si="13"/>
        <v>9.8425200000000324E-2</v>
      </c>
      <c r="E82" s="8">
        <f t="shared" si="14"/>
        <v>0.15031801858970448</v>
      </c>
      <c r="F82" s="11">
        <f t="shared" si="17"/>
        <v>11.286259699997837</v>
      </c>
      <c r="G82" s="8">
        <f t="shared" si="18"/>
        <v>1.6387566980367601</v>
      </c>
      <c r="H82" s="8">
        <f t="shared" si="3"/>
        <v>1.58053322901838</v>
      </c>
      <c r="I82" s="8">
        <f t="shared" si="15"/>
        <v>0.15620733913986526</v>
      </c>
      <c r="J82" s="11">
        <f t="shared" si="19"/>
        <v>11.728444887171408</v>
      </c>
      <c r="K82" s="550">
        <v>0</v>
      </c>
      <c r="L82" s="11">
        <f t="shared" si="4"/>
        <v>11.728444887171408</v>
      </c>
      <c r="M82" s="150">
        <f t="shared" si="5"/>
        <v>347.63963124337909</v>
      </c>
      <c r="N82" s="149">
        <f t="shared" si="20"/>
        <v>594.9463170400569</v>
      </c>
      <c r="O82" s="11">
        <f t="shared" si="7"/>
        <v>1.1728444887171408</v>
      </c>
      <c r="P82" s="345">
        <f t="shared" si="8"/>
        <v>34.763963124337913</v>
      </c>
      <c r="Q82" s="416">
        <f t="shared" si="9"/>
        <v>59.494631704005677</v>
      </c>
      <c r="R82" s="8">
        <f t="shared" si="10"/>
        <v>-0.55000000000000004</v>
      </c>
      <c r="S82" s="552">
        <v>0</v>
      </c>
      <c r="T82" s="8">
        <f t="shared" si="11"/>
        <v>-0.55000000000000004</v>
      </c>
      <c r="U82" s="11">
        <f t="shared" si="16"/>
        <v>-10.195458277886825</v>
      </c>
      <c r="V82" s="345">
        <f t="shared" si="12"/>
        <v>-243.64594578347888</v>
      </c>
      <c r="W82" s="12"/>
    </row>
    <row r="83" spans="1:23" x14ac:dyDescent="0.25">
      <c r="A83" s="2">
        <v>63</v>
      </c>
      <c r="B83" s="11">
        <f>A83/100*'Inputs-Imperial'!$E$5</f>
        <v>6.2007876</v>
      </c>
      <c r="C83" s="8">
        <f>'Inputs-Imperial'!$E$10+('Inputs-Imperial'!$E$9-'Inputs-Imperial'!$E$10)*(100-A83)/100</f>
        <v>1.5124672399999999</v>
      </c>
      <c r="D83" s="8">
        <f t="shared" si="13"/>
        <v>9.8425199999999435E-2</v>
      </c>
      <c r="E83" s="8">
        <f t="shared" si="14"/>
        <v>0.14934926659019915</v>
      </c>
      <c r="F83" s="11">
        <f t="shared" si="17"/>
        <v>11.21352333243599</v>
      </c>
      <c r="G83" s="8">
        <f t="shared" si="18"/>
        <v>1.6220335707587346</v>
      </c>
      <c r="H83" s="8">
        <f t="shared" si="3"/>
        <v>1.5672504053793672</v>
      </c>
      <c r="I83" s="8">
        <f t="shared" si="15"/>
        <v>0.15491061688616167</v>
      </c>
      <c r="J83" s="11">
        <f t="shared" si="19"/>
        <v>11.631083677574759</v>
      </c>
      <c r="K83" s="550">
        <v>0</v>
      </c>
      <c r="L83" s="11">
        <f t="shared" si="4"/>
        <v>11.631083677574759</v>
      </c>
      <c r="M83" s="150">
        <f t="shared" si="5"/>
        <v>336.00854756580435</v>
      </c>
      <c r="N83" s="149">
        <f t="shared" si="20"/>
        <v>560.72981680700127</v>
      </c>
      <c r="O83" s="11">
        <f t="shared" si="7"/>
        <v>1.1631083677574758</v>
      </c>
      <c r="P83" s="345">
        <f t="shared" si="8"/>
        <v>33.600854756580439</v>
      </c>
      <c r="Q83" s="416">
        <f t="shared" si="9"/>
        <v>56.07298168070011</v>
      </c>
      <c r="R83" s="8">
        <f t="shared" si="10"/>
        <v>-0.55000000000000004</v>
      </c>
      <c r="S83" s="552">
        <v>0</v>
      </c>
      <c r="T83" s="8">
        <f t="shared" si="11"/>
        <v>-0.55000000000000004</v>
      </c>
      <c r="U83" s="11">
        <f t="shared" si="16"/>
        <v>-10.025851334774211</v>
      </c>
      <c r="V83" s="345">
        <f t="shared" si="12"/>
        <v>-233.62009444870466</v>
      </c>
      <c r="W83" s="12"/>
    </row>
    <row r="84" spans="1:23" x14ac:dyDescent="0.25">
      <c r="A84" s="2">
        <v>64</v>
      </c>
      <c r="B84" s="11">
        <f>A84/100*'Inputs-Imperial'!$E$5</f>
        <v>6.2992128000000003</v>
      </c>
      <c r="C84" s="8">
        <f>'Inputs-Imperial'!$E$10+('Inputs-Imperial'!$E$9-'Inputs-Imperial'!$E$10)*(100-A84)/100</f>
        <v>1.50262472</v>
      </c>
      <c r="D84" s="8">
        <f t="shared" si="13"/>
        <v>9.8425200000000324E-2</v>
      </c>
      <c r="E84" s="8">
        <f t="shared" si="14"/>
        <v>0.14838051459069648</v>
      </c>
      <c r="F84" s="11">
        <f t="shared" ref="F84:F115" si="21">E84*$D$9</f>
        <v>11.140786964874343</v>
      </c>
      <c r="G84" s="8">
        <f t="shared" ref="G84:G120" si="22">(8*$D$7/PI()/$D$8)*SQRT(1-(A84/100)^2)</f>
        <v>1.6048644192595347</v>
      </c>
      <c r="H84" s="8">
        <f t="shared" si="3"/>
        <v>1.5537445696297674</v>
      </c>
      <c r="I84" s="8">
        <f t="shared" si="15"/>
        <v>0.15359227730713504</v>
      </c>
      <c r="J84" s="11">
        <f t="shared" ref="J84:J115" si="23">I84*$D$9</f>
        <v>11.532099384132911</v>
      </c>
      <c r="K84" s="550">
        <v>0</v>
      </c>
      <c r="L84" s="11">
        <f t="shared" si="4"/>
        <v>11.532099384132911</v>
      </c>
      <c r="M84" s="150">
        <f t="shared" ref="M84:M117" si="24">M85+L85</f>
        <v>324.47644818167146</v>
      </c>
      <c r="N84" s="149">
        <f t="shared" ref="N84:N115" si="25">M84*D85+N85</f>
        <v>527.65810831112731</v>
      </c>
      <c r="O84" s="11">
        <f t="shared" si="7"/>
        <v>1.153209938413291</v>
      </c>
      <c r="P84" s="345">
        <f t="shared" si="8"/>
        <v>32.447644818167149</v>
      </c>
      <c r="Q84" s="416">
        <f t="shared" ref="Q84:Q118" si="26">P84*D85+Q85</f>
        <v>52.765810831112717</v>
      </c>
      <c r="R84" s="8">
        <f t="shared" si="10"/>
        <v>-0.55000000000000004</v>
      </c>
      <c r="S84" s="552">
        <v>0</v>
      </c>
      <c r="T84" s="8">
        <f t="shared" si="11"/>
        <v>-0.55000000000000004</v>
      </c>
      <c r="U84" s="11">
        <f t="shared" si="16"/>
        <v>-9.8548652369900136</v>
      </c>
      <c r="V84" s="345">
        <f t="shared" ref="V84:V118" si="27">V85+U85</f>
        <v>-223.76522921171465</v>
      </c>
      <c r="W84" s="12"/>
    </row>
    <row r="85" spans="1:23" x14ac:dyDescent="0.25">
      <c r="A85" s="2">
        <v>65</v>
      </c>
      <c r="B85" s="11">
        <f>A85/100*'Inputs-Imperial'!$E$5</f>
        <v>6.3976380000000006</v>
      </c>
      <c r="C85" s="8">
        <f>'Inputs-Imperial'!$E$10+('Inputs-Imperial'!$E$9-'Inputs-Imperial'!$E$10)*(100-A85)/100</f>
        <v>1.4927821999999999</v>
      </c>
      <c r="D85" s="8">
        <f t="shared" si="13"/>
        <v>9.8425200000000324E-2</v>
      </c>
      <c r="E85" s="8">
        <f t="shared" si="14"/>
        <v>0.14741176259119249</v>
      </c>
      <c r="F85" s="11">
        <f t="shared" si="21"/>
        <v>11.068050597312595</v>
      </c>
      <c r="G85" s="8">
        <f t="shared" si="22"/>
        <v>1.5872347696453364</v>
      </c>
      <c r="H85" s="8">
        <f t="shared" ref="H85:H120" si="28">(G85+C85)/2</f>
        <v>1.5400084848226681</v>
      </c>
      <c r="I85" s="8">
        <f t="shared" si="15"/>
        <v>0.15225163156754642</v>
      </c>
      <c r="J85" s="11">
        <f t="shared" si="23"/>
        <v>11.431440287341642</v>
      </c>
      <c r="K85" s="550">
        <v>0</v>
      </c>
      <c r="L85" s="11">
        <f t="shared" ref="L85:L120" si="29">J85+K85</f>
        <v>11.431440287341642</v>
      </c>
      <c r="M85" s="150">
        <f t="shared" si="24"/>
        <v>313.04500789432984</v>
      </c>
      <c r="N85" s="149">
        <f t="shared" si="25"/>
        <v>495.72144900355653</v>
      </c>
      <c r="O85" s="11">
        <f t="shared" ref="O85:O120" si="30">J85/$D$10</f>
        <v>1.1431440287341643</v>
      </c>
      <c r="P85" s="345">
        <f t="shared" ref="P85:P118" si="31">P86+O86</f>
        <v>31.304500789432982</v>
      </c>
      <c r="Q85" s="416">
        <f t="shared" si="26"/>
        <v>49.572144900355639</v>
      </c>
      <c r="R85" s="8">
        <f t="shared" ref="R85:R120" si="32">0.25-AVERAGE($D$12:$D$13)+$D$11</f>
        <v>-0.55000000000000004</v>
      </c>
      <c r="S85" s="552">
        <v>0</v>
      </c>
      <c r="T85" s="8">
        <f t="shared" ref="T85:T120" si="33">R85+S85</f>
        <v>-0.55000000000000004</v>
      </c>
      <c r="U85" s="11">
        <f t="shared" ref="U85:U120" si="34">J85*T85*H85</f>
        <v>-9.6824832699373946</v>
      </c>
      <c r="V85" s="345">
        <f t="shared" si="27"/>
        <v>-214.08274594177726</v>
      </c>
      <c r="W85" s="12"/>
    </row>
    <row r="86" spans="1:23" x14ac:dyDescent="0.25">
      <c r="A86" s="2">
        <v>66</v>
      </c>
      <c r="B86" s="11">
        <f>A86/100*'Inputs-Imperial'!$E$5</f>
        <v>6.4960632000000009</v>
      </c>
      <c r="C86" s="8">
        <f>'Inputs-Imperial'!$E$10+('Inputs-Imperial'!$E$9-'Inputs-Imperial'!$E$10)*(100-A86)/100</f>
        <v>1.4829396799999999</v>
      </c>
      <c r="D86" s="8">
        <f t="shared" ref="D86:D120" si="35">B86-B85</f>
        <v>9.8425200000000324E-2</v>
      </c>
      <c r="E86" s="8">
        <f t="shared" ref="E86:E120" si="36">D86*AVERAGE(C85:C86)</f>
        <v>0.14644301059168849</v>
      </c>
      <c r="F86" s="11">
        <f t="shared" si="21"/>
        <v>10.995314229750848</v>
      </c>
      <c r="G86" s="8">
        <f t="shared" si="22"/>
        <v>1.5691291004776673</v>
      </c>
      <c r="H86" s="8">
        <f t="shared" si="28"/>
        <v>1.5260343902388336</v>
      </c>
      <c r="I86" s="8">
        <f t="shared" ref="I86:I120" si="37">D86*AVERAGE(H85:H86)</f>
        <v>0.15088794159325217</v>
      </c>
      <c r="J86" s="11">
        <f t="shared" si="23"/>
        <v>11.32905097071435</v>
      </c>
      <c r="K86" s="550">
        <v>0</v>
      </c>
      <c r="L86" s="11">
        <f t="shared" si="29"/>
        <v>11.32905097071435</v>
      </c>
      <c r="M86" s="150">
        <f t="shared" si="24"/>
        <v>301.71595692361547</v>
      </c>
      <c r="N86" s="149">
        <f t="shared" si="25"/>
        <v>464.90993149255542</v>
      </c>
      <c r="O86" s="11">
        <f t="shared" si="30"/>
        <v>1.1329050970714349</v>
      </c>
      <c r="P86" s="345">
        <f t="shared" si="31"/>
        <v>30.171595692361546</v>
      </c>
      <c r="Q86" s="416">
        <f t="shared" si="26"/>
        <v>46.49099314925553</v>
      </c>
      <c r="R86" s="8">
        <f t="shared" si="32"/>
        <v>-0.55000000000000004</v>
      </c>
      <c r="S86" s="552">
        <v>0</v>
      </c>
      <c r="T86" s="8">
        <f t="shared" si="33"/>
        <v>-0.55000000000000004</v>
      </c>
      <c r="U86" s="11">
        <f t="shared" si="34"/>
        <v>-9.5086867645433077</v>
      </c>
      <c r="V86" s="345">
        <f t="shared" si="27"/>
        <v>-204.57405917723395</v>
      </c>
      <c r="W86" s="12"/>
    </row>
    <row r="87" spans="1:23" x14ac:dyDescent="0.25">
      <c r="A87" s="2">
        <v>67</v>
      </c>
      <c r="B87" s="11">
        <f>A87/100*'Inputs-Imperial'!$E$5</f>
        <v>6.5944884000000004</v>
      </c>
      <c r="C87" s="8">
        <f>'Inputs-Imperial'!$E$10+('Inputs-Imperial'!$E$9-'Inputs-Imperial'!$E$10)*(100-A87)/100</f>
        <v>1.47309716</v>
      </c>
      <c r="D87" s="8">
        <f t="shared" si="35"/>
        <v>9.8425199999999435E-2</v>
      </c>
      <c r="E87" s="8">
        <f t="shared" si="36"/>
        <v>0.14547425859218316</v>
      </c>
      <c r="F87" s="11">
        <f t="shared" si="21"/>
        <v>10.922577862189002</v>
      </c>
      <c r="G87" s="8">
        <f t="shared" si="22"/>
        <v>1.5505307362930763</v>
      </c>
      <c r="H87" s="8">
        <f t="shared" si="28"/>
        <v>1.5118139481465382</v>
      </c>
      <c r="I87" s="8">
        <f t="shared" si="37"/>
        <v>0.14950041513762308</v>
      </c>
      <c r="J87" s="11">
        <f t="shared" si="23"/>
        <v>11.224871950356242</v>
      </c>
      <c r="K87" s="550">
        <v>0</v>
      </c>
      <c r="L87" s="11">
        <f t="shared" si="29"/>
        <v>11.224871950356242</v>
      </c>
      <c r="M87" s="150">
        <f t="shared" si="24"/>
        <v>290.49108497325921</v>
      </c>
      <c r="N87" s="149">
        <f t="shared" si="25"/>
        <v>435.21347808915732</v>
      </c>
      <c r="O87" s="11">
        <f t="shared" si="30"/>
        <v>1.1224871950356241</v>
      </c>
      <c r="P87" s="345">
        <f t="shared" si="31"/>
        <v>29.049108497325921</v>
      </c>
      <c r="Q87" s="416">
        <f t="shared" si="26"/>
        <v>43.521347808915721</v>
      </c>
      <c r="R87" s="8">
        <f t="shared" si="32"/>
        <v>-0.55000000000000004</v>
      </c>
      <c r="S87" s="552">
        <v>0</v>
      </c>
      <c r="T87" s="8">
        <f t="shared" si="33"/>
        <v>-0.55000000000000004</v>
      </c>
      <c r="U87" s="11">
        <f t="shared" si="34"/>
        <v>-9.3334548893890723</v>
      </c>
      <c r="V87" s="345">
        <f t="shared" si="27"/>
        <v>-195.24060428784489</v>
      </c>
      <c r="W87" s="12"/>
    </row>
    <row r="88" spans="1:23" x14ac:dyDescent="0.25">
      <c r="A88" s="2">
        <v>68</v>
      </c>
      <c r="B88" s="11">
        <f>A88/100*'Inputs-Imperial'!$E$5</f>
        <v>6.6929136000000007</v>
      </c>
      <c r="C88" s="8">
        <f>'Inputs-Imperial'!$E$10+('Inputs-Imperial'!$E$9-'Inputs-Imperial'!$E$10)*(100-A88)/100</f>
        <v>1.4632546399999999</v>
      </c>
      <c r="D88" s="8">
        <f t="shared" si="35"/>
        <v>9.8425200000000324E-2</v>
      </c>
      <c r="E88" s="8">
        <f t="shared" si="36"/>
        <v>0.14450550659268047</v>
      </c>
      <c r="F88" s="11">
        <f t="shared" si="21"/>
        <v>10.849841494627352</v>
      </c>
      <c r="G88" s="8">
        <f t="shared" si="22"/>
        <v>1.5314217265802952</v>
      </c>
      <c r="H88" s="8">
        <f t="shared" si="28"/>
        <v>1.4973381832901476</v>
      </c>
      <c r="I88" s="8">
        <f t="shared" si="37"/>
        <v>0.14808820018354152</v>
      </c>
      <c r="J88" s="11">
        <f t="shared" si="23"/>
        <v>11.118839254652011</v>
      </c>
      <c r="K88" s="550">
        <v>0</v>
      </c>
      <c r="L88" s="11">
        <f t="shared" si="29"/>
        <v>11.118839254652011</v>
      </c>
      <c r="M88" s="150">
        <f t="shared" si="24"/>
        <v>279.37224571860719</v>
      </c>
      <c r="N88" s="149">
        <f t="shared" si="25"/>
        <v>406.62183495244722</v>
      </c>
      <c r="O88" s="11">
        <f t="shared" si="30"/>
        <v>1.1118839254652011</v>
      </c>
      <c r="P88" s="345">
        <f t="shared" si="31"/>
        <v>27.937224571860721</v>
      </c>
      <c r="Q88" s="416">
        <f t="shared" si="26"/>
        <v>40.662183495244712</v>
      </c>
      <c r="R88" s="8">
        <f t="shared" si="32"/>
        <v>-0.55000000000000004</v>
      </c>
      <c r="S88" s="552">
        <v>0</v>
      </c>
      <c r="T88" s="8">
        <f t="shared" si="33"/>
        <v>-0.55000000000000004</v>
      </c>
      <c r="U88" s="11">
        <f t="shared" si="34"/>
        <v>-9.1567644134207011</v>
      </c>
      <c r="V88" s="345">
        <f t="shared" si="27"/>
        <v>-186.0838398744242</v>
      </c>
      <c r="W88" s="12"/>
    </row>
    <row r="89" spans="1:23" x14ac:dyDescent="0.25">
      <c r="A89" s="2">
        <v>69</v>
      </c>
      <c r="B89" s="11">
        <f>A89/100*'Inputs-Imperial'!$E$5</f>
        <v>6.7913388000000001</v>
      </c>
      <c r="C89" s="8">
        <f>'Inputs-Imperial'!$E$10+('Inputs-Imperial'!$E$9-'Inputs-Imperial'!$E$10)*(100-A89)/100</f>
        <v>1.4534121199999999</v>
      </c>
      <c r="D89" s="8">
        <f t="shared" si="35"/>
        <v>9.8425199999999435E-2</v>
      </c>
      <c r="E89" s="8">
        <f t="shared" si="36"/>
        <v>0.14353675459317516</v>
      </c>
      <c r="F89" s="11">
        <f t="shared" si="21"/>
        <v>10.777105127065507</v>
      </c>
      <c r="G89" s="8">
        <f t="shared" si="22"/>
        <v>1.5117827077076007</v>
      </c>
      <c r="H89" s="8">
        <f t="shared" si="28"/>
        <v>1.4825974138538003</v>
      </c>
      <c r="I89" s="8">
        <f t="shared" si="37"/>
        <v>0.14665037856800542</v>
      </c>
      <c r="J89" s="11">
        <f t="shared" si="23"/>
        <v>11.010883945584876</v>
      </c>
      <c r="K89" s="550">
        <v>0</v>
      </c>
      <c r="L89" s="11">
        <f t="shared" si="29"/>
        <v>11.010883945584876</v>
      </c>
      <c r="M89" s="150">
        <f t="shared" si="24"/>
        <v>268.36136177302234</v>
      </c>
      <c r="N89" s="149">
        <f t="shared" si="25"/>
        <v>379.12456579314431</v>
      </c>
      <c r="O89" s="11">
        <f t="shared" si="30"/>
        <v>1.1010883945584875</v>
      </c>
      <c r="P89" s="345">
        <f t="shared" si="31"/>
        <v>26.836136177302233</v>
      </c>
      <c r="Q89" s="416">
        <f t="shared" si="26"/>
        <v>37.912456579314423</v>
      </c>
      <c r="R89" s="8">
        <f t="shared" si="32"/>
        <v>-0.55000000000000004</v>
      </c>
      <c r="S89" s="552">
        <v>0</v>
      </c>
      <c r="T89" s="8">
        <f t="shared" si="33"/>
        <v>-0.55000000000000004</v>
      </c>
      <c r="U89" s="11">
        <f t="shared" si="34"/>
        <v>-8.9785894340826555</v>
      </c>
      <c r="V89" s="345">
        <f t="shared" si="27"/>
        <v>-177.10525044034154</v>
      </c>
      <c r="W89" s="12"/>
    </row>
    <row r="90" spans="1:23" x14ac:dyDescent="0.25">
      <c r="A90" s="2">
        <v>70</v>
      </c>
      <c r="B90" s="11">
        <f>A90/100*'Inputs-Imperial'!$E$5</f>
        <v>6.8897639999999996</v>
      </c>
      <c r="C90" s="8">
        <f>'Inputs-Imperial'!$E$10+('Inputs-Imperial'!$E$9-'Inputs-Imperial'!$E$10)*(100-A90)/100</f>
        <v>1.4435696</v>
      </c>
      <c r="D90" s="8">
        <f t="shared" si="35"/>
        <v>9.8425199999999435E-2</v>
      </c>
      <c r="E90" s="8">
        <f t="shared" si="36"/>
        <v>0.14256800259367117</v>
      </c>
      <c r="F90" s="11">
        <f t="shared" si="21"/>
        <v>10.70436875950376</v>
      </c>
      <c r="G90" s="8">
        <f t="shared" si="22"/>
        <v>1.4915927447645367</v>
      </c>
      <c r="H90" s="8">
        <f t="shared" si="28"/>
        <v>1.4675811723822685</v>
      </c>
      <c r="I90" s="8">
        <f t="shared" si="37"/>
        <v>0.14518595869300033</v>
      </c>
      <c r="J90" s="11">
        <f t="shared" si="23"/>
        <v>10.900931571450284</v>
      </c>
      <c r="K90" s="550">
        <v>0</v>
      </c>
      <c r="L90" s="11">
        <f t="shared" si="29"/>
        <v>10.900931571450284</v>
      </c>
      <c r="M90" s="150">
        <f t="shared" si="24"/>
        <v>257.46043020157208</v>
      </c>
      <c r="N90" s="149">
        <f t="shared" si="25"/>
        <v>352.71104508836237</v>
      </c>
      <c r="O90" s="11">
        <f t="shared" si="30"/>
        <v>1.0900931571450285</v>
      </c>
      <c r="P90" s="345">
        <f t="shared" si="31"/>
        <v>25.746043020157206</v>
      </c>
      <c r="Q90" s="416">
        <f t="shared" si="26"/>
        <v>35.271104508836231</v>
      </c>
      <c r="R90" s="8">
        <f t="shared" si="32"/>
        <v>-0.55000000000000004</v>
      </c>
      <c r="S90" s="552">
        <v>0</v>
      </c>
      <c r="T90" s="8">
        <f t="shared" si="33"/>
        <v>-0.55000000000000004</v>
      </c>
      <c r="U90" s="11">
        <f t="shared" si="34"/>
        <v>-8.7989010646283408</v>
      </c>
      <c r="V90" s="345">
        <f t="shared" si="27"/>
        <v>-168.30634937571318</v>
      </c>
      <c r="W90" s="12"/>
    </row>
    <row r="91" spans="1:23" x14ac:dyDescent="0.25">
      <c r="A91" s="2">
        <v>71</v>
      </c>
      <c r="B91" s="11">
        <f>A91/100*'Inputs-Imperial'!$E$5</f>
        <v>6.9881891999999999</v>
      </c>
      <c r="C91" s="8">
        <f>'Inputs-Imperial'!$E$10+('Inputs-Imperial'!$E$9-'Inputs-Imperial'!$E$10)*(100-A91)/100</f>
        <v>1.4337270799999999</v>
      </c>
      <c r="D91" s="8">
        <f t="shared" si="35"/>
        <v>9.8425200000000324E-2</v>
      </c>
      <c r="E91" s="8">
        <f t="shared" si="36"/>
        <v>0.14159925059416845</v>
      </c>
      <c r="F91" s="11">
        <f t="shared" si="21"/>
        <v>10.631632391942109</v>
      </c>
      <c r="G91" s="8">
        <f t="shared" si="22"/>
        <v>1.4708291496205845</v>
      </c>
      <c r="H91" s="8">
        <f t="shared" si="28"/>
        <v>1.4522781148102921</v>
      </c>
      <c r="I91" s="8">
        <f t="shared" si="37"/>
        <v>0.14369386715689308</v>
      </c>
      <c r="J91" s="11">
        <f t="shared" si="23"/>
        <v>10.788901538519632</v>
      </c>
      <c r="K91" s="550">
        <v>0</v>
      </c>
      <c r="L91" s="11">
        <f t="shared" si="29"/>
        <v>10.788901538519632</v>
      </c>
      <c r="M91" s="150">
        <f t="shared" si="24"/>
        <v>246.67152866305247</v>
      </c>
      <c r="N91" s="149">
        <f t="shared" si="25"/>
        <v>327.3704507536865</v>
      </c>
      <c r="O91" s="11">
        <f t="shared" si="30"/>
        <v>1.0788901538519631</v>
      </c>
      <c r="P91" s="345">
        <f t="shared" si="31"/>
        <v>24.667152866305244</v>
      </c>
      <c r="Q91" s="416">
        <f t="shared" si="26"/>
        <v>32.737045075368648</v>
      </c>
      <c r="R91" s="8">
        <f t="shared" si="32"/>
        <v>-0.55000000000000004</v>
      </c>
      <c r="S91" s="552">
        <v>0</v>
      </c>
      <c r="T91" s="8">
        <f t="shared" si="33"/>
        <v>-0.55000000000000004</v>
      </c>
      <c r="U91" s="11">
        <f t="shared" si="34"/>
        <v>-8.6176670729793337</v>
      </c>
      <c r="V91" s="345">
        <f t="shared" si="27"/>
        <v>-159.68868230273384</v>
      </c>
      <c r="W91" s="12"/>
    </row>
    <row r="92" spans="1:23" x14ac:dyDescent="0.25">
      <c r="A92" s="2">
        <v>72</v>
      </c>
      <c r="B92" s="11">
        <f>A92/100*'Inputs-Imperial'!$E$5</f>
        <v>7.0866144000000002</v>
      </c>
      <c r="C92" s="8">
        <f>'Inputs-Imperial'!$E$10+('Inputs-Imperial'!$E$9-'Inputs-Imperial'!$E$10)*(100-A92)/100</f>
        <v>1.4238845599999999</v>
      </c>
      <c r="D92" s="8">
        <f t="shared" si="35"/>
        <v>9.8425200000000324E-2</v>
      </c>
      <c r="E92" s="8">
        <f t="shared" si="36"/>
        <v>0.14063049859466445</v>
      </c>
      <c r="F92" s="11">
        <f t="shared" si="21"/>
        <v>10.558896024380362</v>
      </c>
      <c r="G92" s="8">
        <f t="shared" si="22"/>
        <v>1.4494672706694507</v>
      </c>
      <c r="H92" s="8">
        <f t="shared" si="28"/>
        <v>1.4366759153347253</v>
      </c>
      <c r="I92" s="8">
        <f t="shared" si="37"/>
        <v>0.14217293910391515</v>
      </c>
      <c r="J92" s="11">
        <f t="shared" si="23"/>
        <v>10.674706386454895</v>
      </c>
      <c r="K92" s="550">
        <v>0</v>
      </c>
      <c r="L92" s="11">
        <f t="shared" si="29"/>
        <v>10.674706386454895</v>
      </c>
      <c r="M92" s="150">
        <f t="shared" si="24"/>
        <v>235.99682227659758</v>
      </c>
      <c r="N92" s="149">
        <f t="shared" si="25"/>
        <v>303.09175621071972</v>
      </c>
      <c r="O92" s="11">
        <f t="shared" si="30"/>
        <v>1.0674706386454895</v>
      </c>
      <c r="P92" s="345">
        <f t="shared" si="31"/>
        <v>23.599682227659756</v>
      </c>
      <c r="Q92" s="416">
        <f t="shared" si="26"/>
        <v>30.309175621071972</v>
      </c>
      <c r="R92" s="8">
        <f t="shared" si="32"/>
        <v>-0.55000000000000004</v>
      </c>
      <c r="S92" s="552">
        <v>0</v>
      </c>
      <c r="T92" s="8">
        <f t="shared" si="33"/>
        <v>-0.55000000000000004</v>
      </c>
      <c r="U92" s="11">
        <f t="shared" si="34"/>
        <v>-8.434851462779239</v>
      </c>
      <c r="V92" s="345">
        <f t="shared" si="27"/>
        <v>-151.25383083995459</v>
      </c>
      <c r="W92" s="12"/>
    </row>
    <row r="93" spans="1:23" x14ac:dyDescent="0.25">
      <c r="A93" s="2">
        <v>73</v>
      </c>
      <c r="B93" s="11">
        <f>A93/100*'Inputs-Imperial'!$E$5</f>
        <v>7.1850396000000005</v>
      </c>
      <c r="C93" s="8">
        <f>'Inputs-Imperial'!$E$10+('Inputs-Imperial'!$E$9-'Inputs-Imperial'!$E$10)*(100-A93)/100</f>
        <v>1.41404204</v>
      </c>
      <c r="D93" s="8">
        <f t="shared" si="35"/>
        <v>9.8425200000000324E-2</v>
      </c>
      <c r="E93" s="8">
        <f t="shared" si="36"/>
        <v>0.13966174659516045</v>
      </c>
      <c r="F93" s="11">
        <f t="shared" si="21"/>
        <v>10.486159656818614</v>
      </c>
      <c r="G93" s="8">
        <f t="shared" si="22"/>
        <v>1.4274802486686846</v>
      </c>
      <c r="H93" s="8">
        <f t="shared" si="28"/>
        <v>1.4207611443343424</v>
      </c>
      <c r="I93" s="8">
        <f t="shared" si="37"/>
        <v>0.14062190704267044</v>
      </c>
      <c r="J93" s="11">
        <f t="shared" si="23"/>
        <v>10.558250948773724</v>
      </c>
      <c r="K93" s="550">
        <v>0</v>
      </c>
      <c r="L93" s="11">
        <f t="shared" si="29"/>
        <v>10.558250948773724</v>
      </c>
      <c r="M93" s="150">
        <f t="shared" si="24"/>
        <v>225.43857132782387</v>
      </c>
      <c r="N93" s="149">
        <f t="shared" si="25"/>
        <v>279.8637217787811</v>
      </c>
      <c r="O93" s="11">
        <f t="shared" si="30"/>
        <v>1.0558250948773724</v>
      </c>
      <c r="P93" s="345">
        <f t="shared" si="31"/>
        <v>22.543857132782382</v>
      </c>
      <c r="Q93" s="416">
        <f t="shared" si="26"/>
        <v>27.986372177878106</v>
      </c>
      <c r="R93" s="8">
        <f t="shared" si="32"/>
        <v>-0.55000000000000004</v>
      </c>
      <c r="S93" s="552">
        <v>0</v>
      </c>
      <c r="T93" s="8">
        <f t="shared" si="33"/>
        <v>-0.55000000000000004</v>
      </c>
      <c r="U93" s="11">
        <f t="shared" si="34"/>
        <v>-8.2504139850819023</v>
      </c>
      <c r="V93" s="345">
        <f t="shared" si="27"/>
        <v>-143.00341685487268</v>
      </c>
      <c r="W93" s="12"/>
    </row>
    <row r="94" spans="1:23" x14ac:dyDescent="0.25">
      <c r="A94" s="2">
        <v>74</v>
      </c>
      <c r="B94" s="11">
        <f>A94/100*'Inputs-Imperial'!$E$5</f>
        <v>7.2834648</v>
      </c>
      <c r="C94" s="8">
        <f>'Inputs-Imperial'!$E$10+('Inputs-Imperial'!$E$9-'Inputs-Imperial'!$E$10)*(100-A94)/100</f>
        <v>1.4041995199999999</v>
      </c>
      <c r="D94" s="8">
        <f t="shared" si="35"/>
        <v>9.8425199999999435E-2</v>
      </c>
      <c r="E94" s="8">
        <f t="shared" si="36"/>
        <v>0.13869299459565518</v>
      </c>
      <c r="F94" s="11">
        <f t="shared" si="21"/>
        <v>10.413423289256771</v>
      </c>
      <c r="G94" s="8">
        <f t="shared" si="22"/>
        <v>1.404838731728806</v>
      </c>
      <c r="H94" s="8">
        <f t="shared" si="28"/>
        <v>1.404519125864403</v>
      </c>
      <c r="I94" s="8">
        <f t="shared" si="37"/>
        <v>0.13903938782518199</v>
      </c>
      <c r="J94" s="11">
        <f t="shared" si="23"/>
        <v>10.439431375203084</v>
      </c>
      <c r="K94" s="550">
        <v>0</v>
      </c>
      <c r="L94" s="11">
        <f t="shared" si="29"/>
        <v>10.439431375203084</v>
      </c>
      <c r="M94" s="150">
        <f t="shared" si="24"/>
        <v>214.99913995262079</v>
      </c>
      <c r="N94" s="149">
        <f t="shared" si="25"/>
        <v>257.67488530812591</v>
      </c>
      <c r="O94" s="11">
        <f t="shared" si="30"/>
        <v>1.0439431375203083</v>
      </c>
      <c r="P94" s="345">
        <f t="shared" si="31"/>
        <v>21.499913995262073</v>
      </c>
      <c r="Q94" s="416">
        <f t="shared" si="26"/>
        <v>25.767488530812585</v>
      </c>
      <c r="R94" s="8">
        <f t="shared" si="32"/>
        <v>-0.55000000000000004</v>
      </c>
      <c r="S94" s="552">
        <v>0</v>
      </c>
      <c r="T94" s="8">
        <f t="shared" si="33"/>
        <v>-0.55000000000000004</v>
      </c>
      <c r="U94" s="11">
        <f t="shared" si="34"/>
        <v>-8.0643095662919109</v>
      </c>
      <c r="V94" s="345">
        <f t="shared" si="27"/>
        <v>-134.93910728858077</v>
      </c>
      <c r="W94" s="12"/>
    </row>
    <row r="95" spans="1:23" x14ac:dyDescent="0.25">
      <c r="A95" s="2">
        <v>75</v>
      </c>
      <c r="B95" s="11">
        <f>A95/100*'Inputs-Imperial'!$E$5</f>
        <v>7.3818900000000003</v>
      </c>
      <c r="C95" s="8">
        <f>'Inputs-Imperial'!$E$10+('Inputs-Imperial'!$E$9-'Inputs-Imperial'!$E$10)*(100-A95)/100</f>
        <v>1.3943569999999998</v>
      </c>
      <c r="D95" s="8">
        <f t="shared" si="35"/>
        <v>9.8425200000000324E-2</v>
      </c>
      <c r="E95" s="8">
        <f t="shared" si="36"/>
        <v>0.13772424259615246</v>
      </c>
      <c r="F95" s="11">
        <f t="shared" si="21"/>
        <v>10.34068692169512</v>
      </c>
      <c r="G95" s="8">
        <f t="shared" si="22"/>
        <v>1.3815105407562109</v>
      </c>
      <c r="H95" s="8">
        <f t="shared" si="28"/>
        <v>1.3879337703781054</v>
      </c>
      <c r="I95" s="8">
        <f t="shared" si="37"/>
        <v>0.13742386740162452</v>
      </c>
      <c r="J95" s="11">
        <f t="shared" si="23"/>
        <v>10.318133987025769</v>
      </c>
      <c r="K95" s="550">
        <v>0</v>
      </c>
      <c r="L95" s="11">
        <f t="shared" si="29"/>
        <v>10.318133987025769</v>
      </c>
      <c r="M95" s="150">
        <f t="shared" si="24"/>
        <v>204.68100596559503</v>
      </c>
      <c r="N95" s="149">
        <f t="shared" si="25"/>
        <v>236.51355195846114</v>
      </c>
      <c r="O95" s="11">
        <f t="shared" si="30"/>
        <v>1.0318133987025768</v>
      </c>
      <c r="P95" s="345">
        <f t="shared" si="31"/>
        <v>20.468100596559495</v>
      </c>
      <c r="Q95" s="416">
        <f t="shared" si="26"/>
        <v>23.651355195846111</v>
      </c>
      <c r="R95" s="8">
        <f t="shared" si="32"/>
        <v>-0.55000000000000004</v>
      </c>
      <c r="S95" s="552">
        <v>0</v>
      </c>
      <c r="T95" s="8">
        <f t="shared" si="33"/>
        <v>-0.55000000000000004</v>
      </c>
      <c r="U95" s="11">
        <f t="shared" si="34"/>
        <v>-7.8764876343335324</v>
      </c>
      <c r="V95" s="345">
        <f t="shared" si="27"/>
        <v>-127.06261965424724</v>
      </c>
      <c r="W95" s="12"/>
    </row>
    <row r="96" spans="1:23" x14ac:dyDescent="0.25">
      <c r="A96" s="2">
        <v>76</v>
      </c>
      <c r="B96" s="11">
        <f>A96/100*'Inputs-Imperial'!$E$5</f>
        <v>7.4803152000000006</v>
      </c>
      <c r="C96" s="8">
        <f>'Inputs-Imperial'!$E$10+('Inputs-Imperial'!$E$9-'Inputs-Imperial'!$E$10)*(100-A96)/100</f>
        <v>1.38451448</v>
      </c>
      <c r="D96" s="8">
        <f t="shared" si="35"/>
        <v>9.8425200000000324E-2</v>
      </c>
      <c r="E96" s="8">
        <f t="shared" si="36"/>
        <v>0.13675549059664843</v>
      </c>
      <c r="F96" s="11">
        <f t="shared" si="21"/>
        <v>10.267950554133371</v>
      </c>
      <c r="G96" s="8">
        <f t="shared" si="22"/>
        <v>1.3574602743743791</v>
      </c>
      <c r="H96" s="8">
        <f t="shared" si="28"/>
        <v>1.3709873771871894</v>
      </c>
      <c r="I96" s="8">
        <f t="shared" si="37"/>
        <v>0.1357736828666723</v>
      </c>
      <c r="J96" s="11">
        <f t="shared" si="23"/>
        <v>10.194233929074457</v>
      </c>
      <c r="K96" s="550">
        <v>0</v>
      </c>
      <c r="L96" s="11">
        <f t="shared" si="29"/>
        <v>10.194233929074457</v>
      </c>
      <c r="M96" s="150">
        <f t="shared" si="24"/>
        <v>194.48677203652056</v>
      </c>
      <c r="N96" s="149">
        <f t="shared" si="25"/>
        <v>216.36778301009619</v>
      </c>
      <c r="O96" s="11">
        <f t="shared" si="30"/>
        <v>1.0194233929074457</v>
      </c>
      <c r="P96" s="345">
        <f t="shared" si="31"/>
        <v>19.44867720365205</v>
      </c>
      <c r="Q96" s="416">
        <f t="shared" si="26"/>
        <v>21.636778301009617</v>
      </c>
      <c r="R96" s="8">
        <f t="shared" si="32"/>
        <v>-0.55000000000000004</v>
      </c>
      <c r="S96" s="552">
        <v>0</v>
      </c>
      <c r="T96" s="8">
        <f t="shared" si="33"/>
        <v>-0.55000000000000004</v>
      </c>
      <c r="U96" s="11">
        <f t="shared" si="34"/>
        <v>-7.6868913202699467</v>
      </c>
      <c r="V96" s="345">
        <f t="shared" si="27"/>
        <v>-119.37572833397729</v>
      </c>
      <c r="W96" s="12"/>
    </row>
    <row r="97" spans="1:23" x14ac:dyDescent="0.25">
      <c r="A97" s="2">
        <v>77</v>
      </c>
      <c r="B97" s="11">
        <f>A97/100*'Inputs-Imperial'!$E$5</f>
        <v>7.5787404</v>
      </c>
      <c r="C97" s="8">
        <f>'Inputs-Imperial'!$E$10+('Inputs-Imperial'!$E$9-'Inputs-Imperial'!$E$10)*(100-A97)/100</f>
        <v>1.3746719599999999</v>
      </c>
      <c r="D97" s="8">
        <f t="shared" si="35"/>
        <v>9.8425199999999435E-2</v>
      </c>
      <c r="E97" s="8">
        <f t="shared" si="36"/>
        <v>0.13578673859714321</v>
      </c>
      <c r="F97" s="11">
        <f t="shared" si="21"/>
        <v>10.195214186571532</v>
      </c>
      <c r="G97" s="8">
        <f t="shared" si="22"/>
        <v>1.3326488393487381</v>
      </c>
      <c r="H97" s="8">
        <f t="shared" si="28"/>
        <v>1.353660399674369</v>
      </c>
      <c r="I97" s="8">
        <f t="shared" si="37"/>
        <v>0.13408700118357636</v>
      </c>
      <c r="J97" s="11">
        <f t="shared" si="23"/>
        <v>10.067593572281236</v>
      </c>
      <c r="K97" s="550">
        <v>0</v>
      </c>
      <c r="L97" s="11">
        <f t="shared" si="29"/>
        <v>10.067593572281236</v>
      </c>
      <c r="M97" s="150">
        <f t="shared" si="24"/>
        <v>184.41917846423934</v>
      </c>
      <c r="N97" s="149">
        <f t="shared" si="25"/>
        <v>197.22538357504735</v>
      </c>
      <c r="O97" s="11">
        <f t="shared" si="30"/>
        <v>1.0067593572281237</v>
      </c>
      <c r="P97" s="345">
        <f t="shared" si="31"/>
        <v>18.441917846423927</v>
      </c>
      <c r="Q97" s="416">
        <f t="shared" si="26"/>
        <v>19.722538357504735</v>
      </c>
      <c r="R97" s="8">
        <f t="shared" si="32"/>
        <v>-0.55000000000000004</v>
      </c>
      <c r="S97" s="552">
        <v>0</v>
      </c>
      <c r="T97" s="8">
        <f t="shared" si="33"/>
        <v>-0.55000000000000004</v>
      </c>
      <c r="U97" s="11">
        <f t="shared" si="34"/>
        <v>-7.4954565063473311</v>
      </c>
      <c r="V97" s="345">
        <f t="shared" si="27"/>
        <v>-111.88027182762995</v>
      </c>
      <c r="W97" s="12"/>
    </row>
    <row r="98" spans="1:23" x14ac:dyDescent="0.25">
      <c r="A98" s="2">
        <v>78</v>
      </c>
      <c r="B98" s="11">
        <f>A98/100*'Inputs-Imperial'!$E$5</f>
        <v>7.6771656000000004</v>
      </c>
      <c r="C98" s="8">
        <f>'Inputs-Imperial'!$E$10+('Inputs-Imperial'!$E$9-'Inputs-Imperial'!$E$10)*(100-A98)/100</f>
        <v>1.3648294399999998</v>
      </c>
      <c r="D98" s="8">
        <f t="shared" si="35"/>
        <v>9.8425200000000324E-2</v>
      </c>
      <c r="E98" s="8">
        <f t="shared" si="36"/>
        <v>0.13481798659764044</v>
      </c>
      <c r="F98" s="11">
        <f t="shared" si="21"/>
        <v>10.122477819009877</v>
      </c>
      <c r="G98" s="8">
        <f t="shared" si="22"/>
        <v>1.3070328885530922</v>
      </c>
      <c r="H98" s="8">
        <f t="shared" si="28"/>
        <v>1.3359311642765461</v>
      </c>
      <c r="I98" s="8">
        <f t="shared" si="37"/>
        <v>0.13236179380009125</v>
      </c>
      <c r="J98" s="11">
        <f t="shared" si="23"/>
        <v>9.9380606077767375</v>
      </c>
      <c r="K98" s="550">
        <v>0</v>
      </c>
      <c r="L98" s="11">
        <f t="shared" si="29"/>
        <v>9.9380606077767375</v>
      </c>
      <c r="M98" s="150">
        <f t="shared" si="24"/>
        <v>174.48111785646259</v>
      </c>
      <c r="N98" s="149">
        <f t="shared" si="25"/>
        <v>179.07388905086884</v>
      </c>
      <c r="O98" s="11">
        <f t="shared" si="30"/>
        <v>0.99380606077767375</v>
      </c>
      <c r="P98" s="345">
        <f t="shared" si="31"/>
        <v>17.448111785646255</v>
      </c>
      <c r="Q98" s="416">
        <f t="shared" si="26"/>
        <v>17.907388905086886</v>
      </c>
      <c r="R98" s="8">
        <f t="shared" si="32"/>
        <v>-0.55000000000000004</v>
      </c>
      <c r="S98" s="552">
        <v>0</v>
      </c>
      <c r="T98" s="8">
        <f t="shared" si="33"/>
        <v>-0.55000000000000004</v>
      </c>
      <c r="U98" s="11">
        <f t="shared" si="34"/>
        <v>-7.3021106831189311</v>
      </c>
      <c r="V98" s="345">
        <f t="shared" si="27"/>
        <v>-104.57816114451103</v>
      </c>
      <c r="W98" s="12"/>
    </row>
    <row r="99" spans="1:23" x14ac:dyDescent="0.25">
      <c r="A99" s="2">
        <v>79</v>
      </c>
      <c r="B99" s="11">
        <f>A99/100*'Inputs-Imperial'!$E$5</f>
        <v>7.7755908000000007</v>
      </c>
      <c r="C99" s="8">
        <f>'Inputs-Imperial'!$E$10+('Inputs-Imperial'!$E$9-'Inputs-Imperial'!$E$10)*(100-A99)/100</f>
        <v>1.35498692</v>
      </c>
      <c r="D99" s="8">
        <f t="shared" si="35"/>
        <v>9.8425200000000324E-2</v>
      </c>
      <c r="E99" s="8">
        <f t="shared" si="36"/>
        <v>0.13384923459813644</v>
      </c>
      <c r="F99" s="11">
        <f t="shared" si="21"/>
        <v>10.04974145144813</v>
      </c>
      <c r="G99" s="8">
        <f t="shared" si="22"/>
        <v>1.2805641431534265</v>
      </c>
      <c r="H99" s="8">
        <f t="shared" si="28"/>
        <v>1.3177755315767132</v>
      </c>
      <c r="I99" s="8">
        <f t="shared" si="37"/>
        <v>0.13059580614034852</v>
      </c>
      <c r="J99" s="11">
        <f t="shared" si="23"/>
        <v>9.80546575626229</v>
      </c>
      <c r="K99" s="550">
        <v>0</v>
      </c>
      <c r="L99" s="11">
        <f t="shared" si="29"/>
        <v>9.80546575626229</v>
      </c>
      <c r="M99" s="150">
        <f t="shared" si="24"/>
        <v>164.6756521002003</v>
      </c>
      <c r="N99" s="149">
        <f t="shared" si="25"/>
        <v>161.90055012962287</v>
      </c>
      <c r="O99" s="11">
        <f t="shared" si="30"/>
        <v>0.98054657562622904</v>
      </c>
      <c r="P99" s="345">
        <f t="shared" si="31"/>
        <v>16.467565210020027</v>
      </c>
      <c r="Q99" s="416">
        <f t="shared" si="26"/>
        <v>16.19005501296229</v>
      </c>
      <c r="R99" s="8">
        <f t="shared" si="32"/>
        <v>-0.55000000000000004</v>
      </c>
      <c r="S99" s="552">
        <v>0</v>
      </c>
      <c r="T99" s="8">
        <f t="shared" si="33"/>
        <v>-0.55000000000000004</v>
      </c>
      <c r="U99" s="11">
        <f t="shared" si="34"/>
        <v>-7.1067715671236895</v>
      </c>
      <c r="V99" s="345">
        <f t="shared" si="27"/>
        <v>-97.471389577387342</v>
      </c>
      <c r="W99" s="12"/>
    </row>
    <row r="100" spans="1:23" x14ac:dyDescent="0.25">
      <c r="A100" s="2">
        <v>80</v>
      </c>
      <c r="B100" s="11">
        <f>A100/100*'Inputs-Imperial'!$E$5</f>
        <v>7.874016000000001</v>
      </c>
      <c r="C100" s="8">
        <f>'Inputs-Imperial'!$E$10+('Inputs-Imperial'!$E$9-'Inputs-Imperial'!$E$10)*(100-A100)/100</f>
        <v>1.3451443999999999</v>
      </c>
      <c r="D100" s="8">
        <f t="shared" si="35"/>
        <v>9.8425200000000324E-2</v>
      </c>
      <c r="E100" s="8">
        <f t="shared" si="36"/>
        <v>0.13288048259863242</v>
      </c>
      <c r="F100" s="11">
        <f t="shared" si="21"/>
        <v>9.9770050838863789</v>
      </c>
      <c r="G100" s="8">
        <f t="shared" si="22"/>
        <v>1.2531885683846729</v>
      </c>
      <c r="H100" s="8">
        <f t="shared" si="28"/>
        <v>1.2991664841923365</v>
      </c>
      <c r="I100" s="8">
        <f t="shared" si="37"/>
        <v>0.12878652064523638</v>
      </c>
      <c r="J100" s="11">
        <f t="shared" si="23"/>
        <v>9.6696199929874851</v>
      </c>
      <c r="K100" s="550">
        <v>0</v>
      </c>
      <c r="L100" s="11">
        <f t="shared" si="29"/>
        <v>9.6696199929874851</v>
      </c>
      <c r="M100" s="150">
        <f t="shared" si="24"/>
        <v>155.0060321072128</v>
      </c>
      <c r="N100" s="149">
        <f t="shared" si="25"/>
        <v>145.6923161365302</v>
      </c>
      <c r="O100" s="11">
        <f t="shared" si="30"/>
        <v>0.96696199929874849</v>
      </c>
      <c r="P100" s="345">
        <f t="shared" si="31"/>
        <v>15.500603210721277</v>
      </c>
      <c r="Q100" s="416">
        <f t="shared" si="26"/>
        <v>14.56923161365302</v>
      </c>
      <c r="R100" s="8">
        <f t="shared" si="32"/>
        <v>-0.55000000000000004</v>
      </c>
      <c r="S100" s="552">
        <v>0</v>
      </c>
      <c r="T100" s="8">
        <f t="shared" si="33"/>
        <v>-0.55000000000000004</v>
      </c>
      <c r="U100" s="11">
        <f t="shared" si="34"/>
        <v>-6.9093454153710132</v>
      </c>
      <c r="V100" s="345">
        <f t="shared" si="27"/>
        <v>-90.562044162016335</v>
      </c>
      <c r="W100" s="12"/>
    </row>
    <row r="101" spans="1:23" x14ac:dyDescent="0.25">
      <c r="A101" s="2">
        <v>81</v>
      </c>
      <c r="B101" s="11">
        <f>A101/100*'Inputs-Imperial'!$E$5</f>
        <v>7.9724412000000004</v>
      </c>
      <c r="C101" s="8">
        <f>'Inputs-Imperial'!$E$10+('Inputs-Imperial'!$E$9-'Inputs-Imperial'!$E$10)*(100-A101)/100</f>
        <v>1.3353018799999998</v>
      </c>
      <c r="D101" s="8">
        <f t="shared" si="35"/>
        <v>9.8425199999999435E-2</v>
      </c>
      <c r="E101" s="8">
        <f t="shared" si="36"/>
        <v>0.13191173059912725</v>
      </c>
      <c r="F101" s="11">
        <f t="shared" si="21"/>
        <v>9.9042687163245446</v>
      </c>
      <c r="G101" s="8">
        <f t="shared" si="22"/>
        <v>1.2248453622228037</v>
      </c>
      <c r="H101" s="8">
        <f t="shared" si="28"/>
        <v>1.2800736211114017</v>
      </c>
      <c r="I101" s="8">
        <f t="shared" si="37"/>
        <v>0.12693111160627002</v>
      </c>
      <c r="J101" s="11">
        <f t="shared" si="23"/>
        <v>9.5303111565621226</v>
      </c>
      <c r="K101" s="550">
        <v>0</v>
      </c>
      <c r="L101" s="11">
        <f t="shared" si="29"/>
        <v>9.5303111565621226</v>
      </c>
      <c r="M101" s="150">
        <f t="shared" si="24"/>
        <v>145.47572095065067</v>
      </c>
      <c r="N101" s="149">
        <f t="shared" si="25"/>
        <v>130.43581642517145</v>
      </c>
      <c r="O101" s="11">
        <f t="shared" si="30"/>
        <v>0.95303111565621224</v>
      </c>
      <c r="P101" s="345">
        <f t="shared" si="31"/>
        <v>14.547572095065064</v>
      </c>
      <c r="Q101" s="416">
        <f t="shared" si="26"/>
        <v>13.043581642517145</v>
      </c>
      <c r="R101" s="8">
        <f t="shared" si="32"/>
        <v>-0.55000000000000004</v>
      </c>
      <c r="S101" s="552">
        <v>0</v>
      </c>
      <c r="T101" s="8">
        <f t="shared" si="33"/>
        <v>-0.55000000000000004</v>
      </c>
      <c r="U101" s="11">
        <f t="shared" si="34"/>
        <v>-6.7097249518743771</v>
      </c>
      <c r="V101" s="345">
        <f t="shared" si="27"/>
        <v>-83.852319210141957</v>
      </c>
      <c r="W101" s="12"/>
    </row>
    <row r="102" spans="1:23" x14ac:dyDescent="0.25">
      <c r="A102" s="2">
        <v>82</v>
      </c>
      <c r="B102" s="11">
        <f>A102/100*'Inputs-Imperial'!$E$5</f>
        <v>8.0708663999999999</v>
      </c>
      <c r="C102" s="8">
        <f>'Inputs-Imperial'!$E$10+('Inputs-Imperial'!$E$9-'Inputs-Imperial'!$E$10)*(100-A102)/100</f>
        <v>1.32545936</v>
      </c>
      <c r="D102" s="8">
        <f t="shared" si="35"/>
        <v>9.8425199999999435E-2</v>
      </c>
      <c r="E102" s="8">
        <f t="shared" si="36"/>
        <v>0.13094297859962323</v>
      </c>
      <c r="F102" s="11">
        <f t="shared" si="21"/>
        <v>9.8315323487627957</v>
      </c>
      <c r="G102" s="8">
        <f t="shared" si="22"/>
        <v>1.1954657021497208</v>
      </c>
      <c r="H102" s="8">
        <f t="shared" si="28"/>
        <v>1.2604625310748605</v>
      </c>
      <c r="I102" s="8">
        <f t="shared" si="37"/>
        <v>0.12502638944308092</v>
      </c>
      <c r="J102" s="11">
        <f t="shared" si="23"/>
        <v>9.3872997651681818</v>
      </c>
      <c r="K102" s="550">
        <v>0</v>
      </c>
      <c r="L102" s="11">
        <f t="shared" si="29"/>
        <v>9.3872997651681818</v>
      </c>
      <c r="M102" s="150">
        <f t="shared" si="24"/>
        <v>136.08842118548247</v>
      </c>
      <c r="N102" s="149">
        <f t="shared" si="25"/>
        <v>116.11733949545956</v>
      </c>
      <c r="O102" s="11">
        <f t="shared" si="30"/>
        <v>0.93872997651681822</v>
      </c>
      <c r="P102" s="345">
        <f t="shared" si="31"/>
        <v>13.608842118548246</v>
      </c>
      <c r="Q102" s="416">
        <f t="shared" si="26"/>
        <v>11.611733949545956</v>
      </c>
      <c r="R102" s="8">
        <f t="shared" si="32"/>
        <v>-0.55000000000000004</v>
      </c>
      <c r="S102" s="552">
        <v>0</v>
      </c>
      <c r="T102" s="8">
        <f t="shared" si="33"/>
        <v>-0.55000000000000004</v>
      </c>
      <c r="U102" s="11">
        <f t="shared" si="34"/>
        <v>-6.5077867920792825</v>
      </c>
      <c r="V102" s="345">
        <f t="shared" si="27"/>
        <v>-77.34453241806267</v>
      </c>
      <c r="W102" s="12"/>
    </row>
    <row r="103" spans="1:23" x14ac:dyDescent="0.25">
      <c r="A103" s="2">
        <v>83</v>
      </c>
      <c r="B103" s="11">
        <f>A103/100*'Inputs-Imperial'!$E$5</f>
        <v>8.1692915999999993</v>
      </c>
      <c r="C103" s="8">
        <f>'Inputs-Imperial'!$E$10+('Inputs-Imperial'!$E$9-'Inputs-Imperial'!$E$10)*(100-A103)/100</f>
        <v>1.3156168399999999</v>
      </c>
      <c r="D103" s="8">
        <f t="shared" si="35"/>
        <v>9.8425199999999435E-2</v>
      </c>
      <c r="E103" s="8">
        <f t="shared" si="36"/>
        <v>0.12997422660011923</v>
      </c>
      <c r="F103" s="11">
        <f t="shared" si="21"/>
        <v>9.7587959812010485</v>
      </c>
      <c r="G103" s="8">
        <f t="shared" si="22"/>
        <v>1.1649711751381939</v>
      </c>
      <c r="H103" s="8">
        <f t="shared" si="28"/>
        <v>1.2402940075690969</v>
      </c>
      <c r="I103" s="8">
        <f t="shared" si="37"/>
        <v>0.12306873123366892</v>
      </c>
      <c r="J103" s="11">
        <f t="shared" si="23"/>
        <v>9.2403138005942047</v>
      </c>
      <c r="K103" s="550">
        <v>0</v>
      </c>
      <c r="L103" s="11">
        <f t="shared" si="29"/>
        <v>9.2403138005942047</v>
      </c>
      <c r="M103" s="150">
        <f t="shared" si="24"/>
        <v>126.84810738488827</v>
      </c>
      <c r="N103" s="149">
        <f t="shared" si="25"/>
        <v>102.7228094225943</v>
      </c>
      <c r="O103" s="11">
        <f t="shared" si="30"/>
        <v>0.92403138005942043</v>
      </c>
      <c r="P103" s="345">
        <f t="shared" si="31"/>
        <v>12.684810738488826</v>
      </c>
      <c r="Q103" s="416">
        <f t="shared" si="26"/>
        <v>10.272280942259428</v>
      </c>
      <c r="R103" s="8">
        <f t="shared" si="32"/>
        <v>-0.55000000000000004</v>
      </c>
      <c r="S103" s="552">
        <v>0</v>
      </c>
      <c r="T103" s="8">
        <f t="shared" si="33"/>
        <v>-0.55000000000000004</v>
      </c>
      <c r="U103" s="11">
        <f t="shared" si="34"/>
        <v>-6.303388209214261</v>
      </c>
      <c r="V103" s="345">
        <f t="shared" si="27"/>
        <v>-71.041144208848408</v>
      </c>
      <c r="W103" s="12"/>
    </row>
    <row r="104" spans="1:23" x14ac:dyDescent="0.25">
      <c r="A104" s="2">
        <v>84</v>
      </c>
      <c r="B104" s="11">
        <f>A104/100*'Inputs-Imperial'!$E$5</f>
        <v>8.2677168000000005</v>
      </c>
      <c r="C104" s="8">
        <f>'Inputs-Imperial'!$E$10+('Inputs-Imperial'!$E$9-'Inputs-Imperial'!$E$10)*(100-A104)/100</f>
        <v>1.3057743199999998</v>
      </c>
      <c r="D104" s="8">
        <f t="shared" si="35"/>
        <v>9.8425200000001212E-2</v>
      </c>
      <c r="E104" s="8">
        <f t="shared" si="36"/>
        <v>0.12900547460061759</v>
      </c>
      <c r="F104" s="11">
        <f t="shared" si="21"/>
        <v>9.686059613639479</v>
      </c>
      <c r="G104" s="8">
        <f t="shared" si="22"/>
        <v>1.1332717869153601</v>
      </c>
      <c r="H104" s="8">
        <f t="shared" si="28"/>
        <v>1.21952305345768</v>
      </c>
      <c r="I104" s="8">
        <f t="shared" si="37"/>
        <v>0.12105399309748784</v>
      </c>
      <c r="J104" s="11">
        <f t="shared" si="23"/>
        <v>9.0890421297342048</v>
      </c>
      <c r="K104" s="550">
        <v>0</v>
      </c>
      <c r="L104" s="11">
        <f t="shared" si="29"/>
        <v>9.0890421297342048</v>
      </c>
      <c r="M104" s="150">
        <f t="shared" si="24"/>
        <v>117.75906525515406</v>
      </c>
      <c r="N104" s="149">
        <f t="shared" si="25"/>
        <v>90.237759083615032</v>
      </c>
      <c r="O104" s="11">
        <f t="shared" si="30"/>
        <v>0.9089042129734205</v>
      </c>
      <c r="P104" s="345">
        <f t="shared" si="31"/>
        <v>11.775906525515406</v>
      </c>
      <c r="Q104" s="416">
        <f t="shared" si="26"/>
        <v>9.0237759083615021</v>
      </c>
      <c r="R104" s="8">
        <f t="shared" si="32"/>
        <v>-0.55000000000000004</v>
      </c>
      <c r="S104" s="552">
        <v>0</v>
      </c>
      <c r="T104" s="8">
        <f t="shared" si="33"/>
        <v>-0.55000000000000004</v>
      </c>
      <c r="U104" s="11">
        <f t="shared" si="34"/>
        <v>-6.0963630260824244</v>
      </c>
      <c r="V104" s="345">
        <f t="shared" si="27"/>
        <v>-64.944781182765979</v>
      </c>
      <c r="W104" s="12"/>
    </row>
    <row r="105" spans="1:23" x14ac:dyDescent="0.25">
      <c r="A105" s="2">
        <v>85</v>
      </c>
      <c r="B105" s="11">
        <f>A105/100*'Inputs-Imperial'!$E$5</f>
        <v>8.366142</v>
      </c>
      <c r="C105" s="8">
        <f>'Inputs-Imperial'!$E$10+('Inputs-Imperial'!$E$9-'Inputs-Imperial'!$E$10)*(100-A105)/100</f>
        <v>1.2959318</v>
      </c>
      <c r="D105" s="8">
        <f t="shared" si="35"/>
        <v>9.8425199999999435E-2</v>
      </c>
      <c r="E105" s="8">
        <f t="shared" si="36"/>
        <v>0.12803672260111126</v>
      </c>
      <c r="F105" s="11">
        <f t="shared" si="21"/>
        <v>9.613323246077556</v>
      </c>
      <c r="G105" s="8">
        <f t="shared" si="22"/>
        <v>1.1002634036278445</v>
      </c>
      <c r="H105" s="8">
        <f t="shared" si="28"/>
        <v>1.1980976018139222</v>
      </c>
      <c r="I105" s="8">
        <f t="shared" si="37"/>
        <v>0.11897739825961856</v>
      </c>
      <c r="J105" s="11">
        <f t="shared" si="23"/>
        <v>8.9331261001606688</v>
      </c>
      <c r="K105" s="550">
        <v>0</v>
      </c>
      <c r="L105" s="11">
        <f t="shared" si="29"/>
        <v>8.9331261001606688</v>
      </c>
      <c r="M105" s="150">
        <f t="shared" si="24"/>
        <v>108.82593915499339</v>
      </c>
      <c r="N105" s="149">
        <f t="shared" si="25"/>
        <v>78.647299534063507</v>
      </c>
      <c r="O105" s="11">
        <f t="shared" si="30"/>
        <v>0.89331261001606688</v>
      </c>
      <c r="P105" s="345">
        <f t="shared" si="31"/>
        <v>10.882593915499339</v>
      </c>
      <c r="Q105" s="416">
        <f t="shared" si="26"/>
        <v>7.8647299534063499</v>
      </c>
      <c r="R105" s="8">
        <f t="shared" si="32"/>
        <v>-0.55000000000000004</v>
      </c>
      <c r="S105" s="552">
        <v>0</v>
      </c>
      <c r="T105" s="8">
        <f t="shared" si="33"/>
        <v>-0.55000000000000004</v>
      </c>
      <c r="U105" s="11">
        <f t="shared" si="34"/>
        <v>-5.8865163265171194</v>
      </c>
      <c r="V105" s="345">
        <f t="shared" si="27"/>
        <v>-59.058264856248861</v>
      </c>
      <c r="W105" s="12"/>
    </row>
    <row r="106" spans="1:23" x14ac:dyDescent="0.25">
      <c r="A106" s="2">
        <v>86</v>
      </c>
      <c r="B106" s="11">
        <f>A106/100*'Inputs-Imperial'!$E$5</f>
        <v>8.4645671999999994</v>
      </c>
      <c r="C106" s="8">
        <f>'Inputs-Imperial'!$E$10+('Inputs-Imperial'!$E$9-'Inputs-Imperial'!$E$10)*(100-A106)/100</f>
        <v>1.2860892799999999</v>
      </c>
      <c r="D106" s="8">
        <f t="shared" si="35"/>
        <v>9.8425199999999435E-2</v>
      </c>
      <c r="E106" s="8">
        <f t="shared" si="36"/>
        <v>0.12706797060160727</v>
      </c>
      <c r="F106" s="11">
        <f t="shared" si="21"/>
        <v>9.5405868785158088</v>
      </c>
      <c r="G106" s="8">
        <f t="shared" si="22"/>
        <v>1.0658244142146738</v>
      </c>
      <c r="H106" s="8">
        <f t="shared" si="28"/>
        <v>1.1759568471073369</v>
      </c>
      <c r="I106" s="8">
        <f t="shared" si="37"/>
        <v>0.1168333919729817</v>
      </c>
      <c r="J106" s="11">
        <f t="shared" si="23"/>
        <v>8.7721486473147809</v>
      </c>
      <c r="K106" s="550">
        <v>0</v>
      </c>
      <c r="L106" s="11">
        <f t="shared" si="29"/>
        <v>8.7721486473147809</v>
      </c>
      <c r="M106" s="150">
        <f t="shared" si="24"/>
        <v>100.05379050767861</v>
      </c>
      <c r="N106" s="149">
        <f t="shared" si="25"/>
        <v>67.936084707545518</v>
      </c>
      <c r="O106" s="11">
        <f t="shared" si="30"/>
        <v>0.87721486473147814</v>
      </c>
      <c r="P106" s="345">
        <f t="shared" si="31"/>
        <v>10.005379050767861</v>
      </c>
      <c r="Q106" s="416">
        <f t="shared" si="26"/>
        <v>6.7936084707545508</v>
      </c>
      <c r="R106" s="8">
        <f t="shared" si="32"/>
        <v>-0.55000000000000004</v>
      </c>
      <c r="S106" s="552">
        <v>0</v>
      </c>
      <c r="T106" s="8">
        <f t="shared" si="33"/>
        <v>-0.55000000000000004</v>
      </c>
      <c r="U106" s="11">
        <f t="shared" si="34"/>
        <v>-5.6736175461092504</v>
      </c>
      <c r="V106" s="345">
        <f t="shared" si="27"/>
        <v>-53.384647310139613</v>
      </c>
      <c r="W106" s="12"/>
    </row>
    <row r="107" spans="1:23" x14ac:dyDescent="0.25">
      <c r="A107" s="2">
        <v>87</v>
      </c>
      <c r="B107" s="11">
        <f>A107/100*'Inputs-Imperial'!$E$5</f>
        <v>8.5629924000000006</v>
      </c>
      <c r="C107" s="8">
        <f>'Inputs-Imperial'!$E$10+('Inputs-Imperial'!$E$9-'Inputs-Imperial'!$E$10)*(100-A107)/100</f>
        <v>1.2762467599999998</v>
      </c>
      <c r="D107" s="8">
        <f t="shared" si="35"/>
        <v>9.8425200000001212E-2</v>
      </c>
      <c r="E107" s="8">
        <f t="shared" si="36"/>
        <v>0.12609921860210555</v>
      </c>
      <c r="F107" s="11">
        <f t="shared" si="21"/>
        <v>9.4678505109542321</v>
      </c>
      <c r="G107" s="8">
        <f t="shared" si="22"/>
        <v>1.0298113015199939</v>
      </c>
      <c r="H107" s="8">
        <f t="shared" si="28"/>
        <v>1.1530290307599969</v>
      </c>
      <c r="I107" s="8">
        <f t="shared" si="37"/>
        <v>0.11461545041313537</v>
      </c>
      <c r="J107" s="11">
        <f t="shared" si="23"/>
        <v>8.6056199458410738</v>
      </c>
      <c r="K107" s="550">
        <v>0</v>
      </c>
      <c r="L107" s="11">
        <f t="shared" si="29"/>
        <v>8.6056199458410738</v>
      </c>
      <c r="M107" s="150">
        <f t="shared" si="24"/>
        <v>91.448170561837543</v>
      </c>
      <c r="N107" s="149">
        <f t="shared" si="25"/>
        <v>58.088270366069025</v>
      </c>
      <c r="O107" s="11">
        <f t="shared" si="30"/>
        <v>0.86056199458410743</v>
      </c>
      <c r="P107" s="345">
        <f t="shared" si="31"/>
        <v>9.1448170561837525</v>
      </c>
      <c r="Q107" s="416">
        <f t="shared" si="26"/>
        <v>5.8088270366069015</v>
      </c>
      <c r="R107" s="8">
        <f t="shared" si="32"/>
        <v>-0.55000000000000004</v>
      </c>
      <c r="S107" s="552">
        <v>0</v>
      </c>
      <c r="T107" s="8">
        <f t="shared" si="33"/>
        <v>-0.55000000000000004</v>
      </c>
      <c r="U107" s="11">
        <f t="shared" si="34"/>
        <v>-5.4573912938831173</v>
      </c>
      <c r="V107" s="345">
        <f t="shared" si="27"/>
        <v>-47.927256016256493</v>
      </c>
      <c r="W107" s="12"/>
    </row>
    <row r="108" spans="1:23" x14ac:dyDescent="0.25">
      <c r="A108" s="2">
        <v>88</v>
      </c>
      <c r="B108" s="11">
        <f>A108/100*'Inputs-Imperial'!$E$5</f>
        <v>8.6614176</v>
      </c>
      <c r="C108" s="8">
        <f>'Inputs-Imperial'!$E$10+('Inputs-Imperial'!$E$9-'Inputs-Imperial'!$E$10)*(100-A108)/100</f>
        <v>1.26640424</v>
      </c>
      <c r="D108" s="8">
        <f t="shared" si="35"/>
        <v>9.8425199999999435E-2</v>
      </c>
      <c r="E108" s="8">
        <f t="shared" si="36"/>
        <v>0.12513046660259927</v>
      </c>
      <c r="F108" s="11">
        <f t="shared" si="21"/>
        <v>9.3951141433923144</v>
      </c>
      <c r="G108" s="8">
        <f t="shared" si="22"/>
        <v>0.99205265070432791</v>
      </c>
      <c r="H108" s="8">
        <f t="shared" si="28"/>
        <v>1.1292284453521639</v>
      </c>
      <c r="I108" s="8">
        <f t="shared" si="37"/>
        <v>0.11231582426891668</v>
      </c>
      <c r="J108" s="11">
        <f t="shared" si="23"/>
        <v>8.4329581577197228</v>
      </c>
      <c r="K108" s="550">
        <v>0</v>
      </c>
      <c r="L108" s="11">
        <f t="shared" si="29"/>
        <v>8.4329581577197228</v>
      </c>
      <c r="M108" s="150">
        <f t="shared" si="24"/>
        <v>83.015212404117818</v>
      </c>
      <c r="N108" s="149">
        <f t="shared" si="25"/>
        <v>49.087465888886101</v>
      </c>
      <c r="O108" s="11">
        <f t="shared" si="30"/>
        <v>0.84329581577197232</v>
      </c>
      <c r="P108" s="345">
        <f t="shared" si="31"/>
        <v>8.3015212404117804</v>
      </c>
      <c r="Q108" s="416">
        <f t="shared" si="26"/>
        <v>4.9087465888886097</v>
      </c>
      <c r="R108" s="8">
        <f t="shared" si="32"/>
        <v>-0.55000000000000004</v>
      </c>
      <c r="S108" s="552">
        <v>0</v>
      </c>
      <c r="T108" s="8">
        <f t="shared" si="33"/>
        <v>-0.55000000000000004</v>
      </c>
      <c r="U108" s="11">
        <f t="shared" si="34"/>
        <v>-5.2375049265889313</v>
      </c>
      <c r="V108" s="345">
        <f t="shared" si="27"/>
        <v>-42.68975108966756</v>
      </c>
      <c r="W108" s="12"/>
    </row>
    <row r="109" spans="1:23" x14ac:dyDescent="0.25">
      <c r="A109" s="2">
        <v>89</v>
      </c>
      <c r="B109" s="11">
        <f>A109/100*'Inputs-Imperial'!$E$5</f>
        <v>8.7598428000000013</v>
      </c>
      <c r="C109" s="8">
        <f>'Inputs-Imperial'!$E$10+('Inputs-Imperial'!$E$9-'Inputs-Imperial'!$E$10)*(100-A109)/100</f>
        <v>1.2565617199999999</v>
      </c>
      <c r="D109" s="8">
        <f t="shared" si="35"/>
        <v>9.8425200000001212E-2</v>
      </c>
      <c r="E109" s="8">
        <f t="shared" si="36"/>
        <v>0.12416171460309751</v>
      </c>
      <c r="F109" s="11">
        <f t="shared" si="21"/>
        <v>9.322377775830736</v>
      </c>
      <c r="G109" s="8">
        <f t="shared" si="22"/>
        <v>0.95234086178720179</v>
      </c>
      <c r="H109" s="8">
        <f t="shared" si="28"/>
        <v>1.1044512908936008</v>
      </c>
      <c r="I109" s="8">
        <f t="shared" si="37"/>
        <v>0.10992518738796968</v>
      </c>
      <c r="J109" s="11">
        <f t="shared" si="23"/>
        <v>8.2534630516778673</v>
      </c>
      <c r="K109" s="550">
        <v>0</v>
      </c>
      <c r="L109" s="11">
        <f t="shared" si="29"/>
        <v>8.2534630516778673</v>
      </c>
      <c r="M109" s="150">
        <f t="shared" si="24"/>
        <v>74.761749352439949</v>
      </c>
      <c r="N109" s="149">
        <f t="shared" si="25"/>
        <v>40.916677004968221</v>
      </c>
      <c r="O109" s="11">
        <f t="shared" si="30"/>
        <v>0.82534630516778673</v>
      </c>
      <c r="P109" s="345">
        <f t="shared" si="31"/>
        <v>7.4761749352439946</v>
      </c>
      <c r="Q109" s="416">
        <f t="shared" si="26"/>
        <v>4.0916677004968216</v>
      </c>
      <c r="R109" s="8">
        <f t="shared" si="32"/>
        <v>-0.55000000000000004</v>
      </c>
      <c r="S109" s="552">
        <v>0</v>
      </c>
      <c r="T109" s="8">
        <f t="shared" si="33"/>
        <v>-0.55000000000000004</v>
      </c>
      <c r="U109" s="11">
        <f t="shared" si="34"/>
        <v>-5.0135513569725427</v>
      </c>
      <c r="V109" s="345">
        <f t="shared" si="27"/>
        <v>-37.676199732695018</v>
      </c>
      <c r="W109" s="12"/>
    </row>
    <row r="110" spans="1:23" x14ac:dyDescent="0.25">
      <c r="A110" s="2">
        <v>90</v>
      </c>
      <c r="B110" s="11">
        <f>A110/100*'Inputs-Imperial'!$E$5</f>
        <v>8.8582680000000007</v>
      </c>
      <c r="C110" s="8">
        <f>'Inputs-Imperial'!$E$10+('Inputs-Imperial'!$E$9-'Inputs-Imperial'!$E$10)*(100-A110)/100</f>
        <v>1.2467192</v>
      </c>
      <c r="D110" s="8">
        <f t="shared" si="35"/>
        <v>9.8425199999999435E-2</v>
      </c>
      <c r="E110" s="8">
        <f t="shared" si="36"/>
        <v>0.12319296260359129</v>
      </c>
      <c r="F110" s="11">
        <f t="shared" si="21"/>
        <v>9.2496414082688219</v>
      </c>
      <c r="G110" s="8">
        <f t="shared" si="22"/>
        <v>0.9104203877982</v>
      </c>
      <c r="H110" s="8">
        <f t="shared" si="28"/>
        <v>1.0785697938991001</v>
      </c>
      <c r="I110" s="8">
        <f t="shared" si="37"/>
        <v>0.10743214343746865</v>
      </c>
      <c r="J110" s="11">
        <f t="shared" si="23"/>
        <v>8.0662789620201671</v>
      </c>
      <c r="K110" s="550">
        <v>0</v>
      </c>
      <c r="L110" s="11">
        <f t="shared" si="29"/>
        <v>8.0662789620201671</v>
      </c>
      <c r="M110" s="150">
        <f t="shared" si="24"/>
        <v>66.695470390419786</v>
      </c>
      <c r="N110" s="149">
        <f t="shared" si="25"/>
        <v>33.558236872604489</v>
      </c>
      <c r="O110" s="11">
        <f t="shared" si="30"/>
        <v>0.80662789620201669</v>
      </c>
      <c r="P110" s="345">
        <f t="shared" si="31"/>
        <v>6.6695470390419782</v>
      </c>
      <c r="Q110" s="416">
        <f t="shared" si="26"/>
        <v>3.355823687260449</v>
      </c>
      <c r="R110" s="8">
        <f t="shared" si="32"/>
        <v>-0.55000000000000004</v>
      </c>
      <c r="S110" s="552">
        <v>0</v>
      </c>
      <c r="T110" s="8">
        <f t="shared" si="33"/>
        <v>-0.55000000000000004</v>
      </c>
      <c r="U110" s="11">
        <f t="shared" si="34"/>
        <v>-4.7850246606793068</v>
      </c>
      <c r="V110" s="345">
        <f t="shared" si="27"/>
        <v>-32.891175072015713</v>
      </c>
      <c r="W110" s="12"/>
    </row>
    <row r="111" spans="1:23" x14ac:dyDescent="0.25">
      <c r="A111" s="2">
        <v>91</v>
      </c>
      <c r="B111" s="11">
        <f>A111/100*'Inputs-Imperial'!$E$5</f>
        <v>8.9566932000000001</v>
      </c>
      <c r="C111" s="8">
        <f>'Inputs-Imperial'!$E$10+('Inputs-Imperial'!$E$9-'Inputs-Imperial'!$E$10)*(100-A111)/100</f>
        <v>1.23687668</v>
      </c>
      <c r="D111" s="8">
        <f t="shared" si="35"/>
        <v>9.8425199999999435E-2</v>
      </c>
      <c r="E111" s="8">
        <f t="shared" si="36"/>
        <v>0.12222421060408731</v>
      </c>
      <c r="F111" s="11">
        <f t="shared" si="21"/>
        <v>9.1769050407070747</v>
      </c>
      <c r="G111" s="8">
        <f t="shared" si="22"/>
        <v>0.8659705296582485</v>
      </c>
      <c r="H111" s="8">
        <f t="shared" si="28"/>
        <v>1.0514236048291243</v>
      </c>
      <c r="I111" s="8">
        <f t="shared" si="37"/>
        <v>0.10482251313425202</v>
      </c>
      <c r="J111" s="11">
        <f t="shared" si="23"/>
        <v>7.8703412720518111</v>
      </c>
      <c r="K111" s="550">
        <v>0</v>
      </c>
      <c r="L111" s="11">
        <f t="shared" si="29"/>
        <v>7.8703412720518111</v>
      </c>
      <c r="M111" s="150">
        <f t="shared" si="24"/>
        <v>58.825129118367968</v>
      </c>
      <c r="N111" s="149">
        <f t="shared" si="25"/>
        <v>26.99372186033338</v>
      </c>
      <c r="O111" s="11">
        <f t="shared" si="30"/>
        <v>0.78703412720518107</v>
      </c>
      <c r="P111" s="345">
        <f t="shared" si="31"/>
        <v>5.8825129118367974</v>
      </c>
      <c r="Q111" s="416">
        <f t="shared" si="26"/>
        <v>2.6993721860333384</v>
      </c>
      <c r="R111" s="8">
        <f t="shared" si="32"/>
        <v>-0.55000000000000004</v>
      </c>
      <c r="S111" s="552">
        <v>0</v>
      </c>
      <c r="T111" s="8">
        <f t="shared" si="33"/>
        <v>-0.55000000000000004</v>
      </c>
      <c r="U111" s="11">
        <f t="shared" si="34"/>
        <v>-4.5512844253228844</v>
      </c>
      <c r="V111" s="345">
        <f t="shared" si="27"/>
        <v>-28.33989064669283</v>
      </c>
      <c r="W111" s="12"/>
    </row>
    <row r="112" spans="1:23" x14ac:dyDescent="0.25">
      <c r="A112" s="2">
        <v>92</v>
      </c>
      <c r="B112" s="11">
        <f>A112/100*'Inputs-Imperial'!$E$5</f>
        <v>9.0551184000000013</v>
      </c>
      <c r="C112" s="8">
        <f>'Inputs-Imperial'!$E$10+('Inputs-Imperial'!$E$9-'Inputs-Imperial'!$E$10)*(100-A112)/100</f>
        <v>1.2270341599999999</v>
      </c>
      <c r="D112" s="8">
        <f t="shared" si="35"/>
        <v>9.8425200000001212E-2</v>
      </c>
      <c r="E112" s="8">
        <f t="shared" si="36"/>
        <v>0.12125545860458548</v>
      </c>
      <c r="F112" s="11">
        <f t="shared" si="21"/>
        <v>9.1041686731454909</v>
      </c>
      <c r="G112" s="8">
        <f t="shared" si="22"/>
        <v>0.81857934507503782</v>
      </c>
      <c r="H112" s="8">
        <f t="shared" si="28"/>
        <v>1.0228067525375188</v>
      </c>
      <c r="I112" s="8">
        <f t="shared" si="37"/>
        <v>0.10207826888494291</v>
      </c>
      <c r="J112" s="11">
        <f t="shared" si="23"/>
        <v>7.6642964241452702</v>
      </c>
      <c r="K112" s="550">
        <v>0</v>
      </c>
      <c r="L112" s="11">
        <f t="shared" si="29"/>
        <v>7.6642964241452702</v>
      </c>
      <c r="M112" s="150">
        <f t="shared" si="24"/>
        <v>51.160832694222698</v>
      </c>
      <c r="N112" s="149">
        <f t="shared" si="25"/>
        <v>21.203846761832118</v>
      </c>
      <c r="O112" s="11">
        <f t="shared" si="30"/>
        <v>0.76642964241452705</v>
      </c>
      <c r="P112" s="345">
        <f t="shared" si="31"/>
        <v>5.11608326942227</v>
      </c>
      <c r="Q112" s="416">
        <f t="shared" si="26"/>
        <v>2.1203846761832121</v>
      </c>
      <c r="R112" s="8">
        <f t="shared" si="32"/>
        <v>-0.55000000000000004</v>
      </c>
      <c r="S112" s="552">
        <v>0</v>
      </c>
      <c r="T112" s="8">
        <f t="shared" si="33"/>
        <v>-0.55000000000000004</v>
      </c>
      <c r="U112" s="11">
        <f t="shared" si="34"/>
        <v>-4.3115017748357181</v>
      </c>
      <c r="V112" s="345">
        <f t="shared" si="27"/>
        <v>-24.028388871857111</v>
      </c>
      <c r="W112" s="12"/>
    </row>
    <row r="113" spans="1:23" x14ac:dyDescent="0.25">
      <c r="A113" s="2">
        <v>93</v>
      </c>
      <c r="B113" s="11">
        <f>A113/100*'Inputs-Imperial'!$E$5</f>
        <v>9.1535436000000008</v>
      </c>
      <c r="C113" s="8">
        <f>'Inputs-Imperial'!$E$10+('Inputs-Imperial'!$E$9-'Inputs-Imperial'!$E$10)*(100-A113)/100</f>
        <v>1.21719164</v>
      </c>
      <c r="D113" s="8">
        <f t="shared" si="35"/>
        <v>9.8425199999999435E-2</v>
      </c>
      <c r="E113" s="8">
        <f t="shared" si="36"/>
        <v>0.1202867066050793</v>
      </c>
      <c r="F113" s="11">
        <f t="shared" si="21"/>
        <v>9.0314323055835803</v>
      </c>
      <c r="G113" s="8">
        <f t="shared" si="22"/>
        <v>0.76770231233160657</v>
      </c>
      <c r="H113" s="8">
        <f t="shared" si="28"/>
        <v>0.99244697616580324</v>
      </c>
      <c r="I113" s="8">
        <f t="shared" si="37"/>
        <v>9.9175875649184536E-2</v>
      </c>
      <c r="J113" s="11">
        <f t="shared" si="23"/>
        <v>7.4463773475261377</v>
      </c>
      <c r="K113" s="550">
        <v>0</v>
      </c>
      <c r="L113" s="11">
        <f t="shared" si="29"/>
        <v>7.4463773475261377</v>
      </c>
      <c r="M113" s="150">
        <f t="shared" si="24"/>
        <v>43.71445534669656</v>
      </c>
      <c r="N113" s="149">
        <f t="shared" si="25"/>
        <v>16.16833157173674</v>
      </c>
      <c r="O113" s="11">
        <f t="shared" si="30"/>
        <v>0.74463773475261374</v>
      </c>
      <c r="P113" s="345">
        <f t="shared" si="31"/>
        <v>4.3714455346696566</v>
      </c>
      <c r="Q113" s="416">
        <f t="shared" si="26"/>
        <v>1.6168331571736743</v>
      </c>
      <c r="R113" s="8">
        <f t="shared" si="32"/>
        <v>-0.55000000000000004</v>
      </c>
      <c r="S113" s="552">
        <v>0</v>
      </c>
      <c r="T113" s="8">
        <f t="shared" si="33"/>
        <v>-0.55000000000000004</v>
      </c>
      <c r="U113" s="11">
        <f t="shared" si="34"/>
        <v>-4.0645740750680179</v>
      </c>
      <c r="V113" s="345">
        <f t="shared" si="27"/>
        <v>-19.963814796789094</v>
      </c>
      <c r="W113" s="12"/>
    </row>
    <row r="114" spans="1:23" x14ac:dyDescent="0.25">
      <c r="A114" s="2">
        <v>94</v>
      </c>
      <c r="B114" s="11">
        <f>A114/100*'Inputs-Imperial'!$E$5</f>
        <v>9.2519688000000002</v>
      </c>
      <c r="C114" s="8">
        <f>'Inputs-Imperial'!$E$10+('Inputs-Imperial'!$E$9-'Inputs-Imperial'!$E$10)*(100-A114)/100</f>
        <v>1.2073491199999999</v>
      </c>
      <c r="D114" s="8">
        <f t="shared" si="35"/>
        <v>9.8425199999999435E-2</v>
      </c>
      <c r="E114" s="8">
        <f t="shared" si="36"/>
        <v>0.11931795460557533</v>
      </c>
      <c r="F114" s="11">
        <f t="shared" si="21"/>
        <v>8.9586959380218349</v>
      </c>
      <c r="G114" s="8">
        <f t="shared" si="22"/>
        <v>0.71259318461801346</v>
      </c>
      <c r="H114" s="8">
        <f t="shared" si="28"/>
        <v>0.95997115230900665</v>
      </c>
      <c r="I114" s="8">
        <f t="shared" si="37"/>
        <v>9.6083572389378882E-2</v>
      </c>
      <c r="J114" s="11">
        <f t="shared" si="23"/>
        <v>7.2141993425952844</v>
      </c>
      <c r="K114" s="550">
        <v>0</v>
      </c>
      <c r="L114" s="11">
        <f t="shared" si="29"/>
        <v>7.2141993425952844</v>
      </c>
      <c r="M114" s="150">
        <f t="shared" si="24"/>
        <v>36.500256004101274</v>
      </c>
      <c r="N114" s="149">
        <f t="shared" si="25"/>
        <v>11.865727561347086</v>
      </c>
      <c r="O114" s="11">
        <f t="shared" si="30"/>
        <v>0.72141993425952844</v>
      </c>
      <c r="P114" s="345">
        <f t="shared" si="31"/>
        <v>3.6500256004101281</v>
      </c>
      <c r="Q114" s="416">
        <f t="shared" si="26"/>
        <v>1.1865727561347088</v>
      </c>
      <c r="R114" s="8">
        <f t="shared" si="32"/>
        <v>-0.55000000000000004</v>
      </c>
      <c r="S114" s="552">
        <v>0</v>
      </c>
      <c r="T114" s="8">
        <f t="shared" si="33"/>
        <v>-0.55000000000000004</v>
      </c>
      <c r="U114" s="11">
        <f t="shared" si="34"/>
        <v>-3.8089827907439409</v>
      </c>
      <c r="V114" s="345">
        <f t="shared" si="27"/>
        <v>-16.154832006045154</v>
      </c>
      <c r="W114" s="12"/>
    </row>
    <row r="115" spans="1:23" x14ac:dyDescent="0.25">
      <c r="A115" s="2">
        <v>95</v>
      </c>
      <c r="B115" s="11">
        <f>A115/100*'Inputs-Imperial'!$E$5</f>
        <v>9.3503939999999997</v>
      </c>
      <c r="C115" s="8">
        <f>'Inputs-Imperial'!$E$10+('Inputs-Imperial'!$E$9-'Inputs-Imperial'!$E$10)*(100-A115)/100</f>
        <v>1.1975065999999999</v>
      </c>
      <c r="D115" s="8">
        <f t="shared" si="35"/>
        <v>9.8425199999999435E-2</v>
      </c>
      <c r="E115" s="8">
        <f t="shared" si="36"/>
        <v>0.1183492026060713</v>
      </c>
      <c r="F115" s="11">
        <f t="shared" si="21"/>
        <v>8.885959570460086</v>
      </c>
      <c r="G115" s="8">
        <f t="shared" si="22"/>
        <v>0.65218000843150326</v>
      </c>
      <c r="H115" s="8">
        <f t="shared" si="28"/>
        <v>0.92484330421575156</v>
      </c>
      <c r="I115" s="8">
        <f t="shared" si="37"/>
        <v>9.2756619923169789E-2</v>
      </c>
      <c r="J115" s="11">
        <f t="shared" si="23"/>
        <v>6.9644032775894358</v>
      </c>
      <c r="K115" s="550">
        <v>0</v>
      </c>
      <c r="L115" s="11">
        <f t="shared" si="29"/>
        <v>6.9644032775894358</v>
      </c>
      <c r="M115" s="150">
        <f t="shared" si="24"/>
        <v>29.535852726511841</v>
      </c>
      <c r="N115" s="149">
        <f t="shared" si="25"/>
        <v>8.2731825640922381</v>
      </c>
      <c r="O115" s="11">
        <f t="shared" si="30"/>
        <v>0.6964403277589436</v>
      </c>
      <c r="P115" s="345">
        <f t="shared" si="31"/>
        <v>2.9535852726511846</v>
      </c>
      <c r="Q115" s="416">
        <f t="shared" si="26"/>
        <v>0.82731825640922396</v>
      </c>
      <c r="R115" s="8">
        <f t="shared" si="32"/>
        <v>-0.55000000000000004</v>
      </c>
      <c r="S115" s="552">
        <v>0</v>
      </c>
      <c r="T115" s="8">
        <f t="shared" si="33"/>
        <v>-0.55000000000000004</v>
      </c>
      <c r="U115" s="11">
        <f t="shared" si="34"/>
        <v>-3.5425399565252533</v>
      </c>
      <c r="V115" s="345">
        <f t="shared" si="27"/>
        <v>-12.612292049519903</v>
      </c>
      <c r="W115" s="12"/>
    </row>
    <row r="116" spans="1:23" x14ac:dyDescent="0.25">
      <c r="A116" s="2">
        <v>96</v>
      </c>
      <c r="B116" s="11">
        <f>A116/100*'Inputs-Imperial'!$E$5</f>
        <v>9.4488192000000009</v>
      </c>
      <c r="C116" s="8">
        <f>'Inputs-Imperial'!$E$10+('Inputs-Imperial'!$E$9-'Inputs-Imperial'!$E$10)*(100-A116)/100</f>
        <v>1.18766408</v>
      </c>
      <c r="D116" s="8">
        <f t="shared" si="35"/>
        <v>9.8425200000001212E-2</v>
      </c>
      <c r="E116" s="8">
        <f t="shared" si="36"/>
        <v>0.11738045060656944</v>
      </c>
      <c r="F116" s="11">
        <f t="shared" ref="F116:F120" si="38">E116*$D$9</f>
        <v>8.8132232028984987</v>
      </c>
      <c r="G116" s="8">
        <f t="shared" si="22"/>
        <v>0.58482133191284746</v>
      </c>
      <c r="H116" s="8">
        <f t="shared" si="28"/>
        <v>0.88624270595642374</v>
      </c>
      <c r="I116" s="8">
        <f t="shared" si="37"/>
        <v>8.9128251384200288E-2</v>
      </c>
      <c r="J116" s="11">
        <f t="shared" ref="J116:J120" si="39">I116*$D$9</f>
        <v>6.6919761261253985</v>
      </c>
      <c r="K116" s="550">
        <v>0</v>
      </c>
      <c r="L116" s="11">
        <f t="shared" si="29"/>
        <v>6.6919761261253985</v>
      </c>
      <c r="M116" s="150">
        <f t="shared" si="24"/>
        <v>22.843876600386444</v>
      </c>
      <c r="N116" s="149">
        <f t="shared" ref="N116:N118" si="40">M116*D117+N117</f>
        <v>5.3661103523147293</v>
      </c>
      <c r="O116" s="11">
        <f t="shared" si="30"/>
        <v>0.66919761261253985</v>
      </c>
      <c r="P116" s="345">
        <f t="shared" si="31"/>
        <v>2.2843876600386448</v>
      </c>
      <c r="Q116" s="416">
        <f t="shared" si="26"/>
        <v>0.53661103523147302</v>
      </c>
      <c r="R116" s="8">
        <f t="shared" si="32"/>
        <v>-0.55000000000000004</v>
      </c>
      <c r="S116" s="552">
        <v>0</v>
      </c>
      <c r="T116" s="8">
        <f t="shared" si="33"/>
        <v>-0.55000000000000004</v>
      </c>
      <c r="U116" s="11">
        <f t="shared" si="34"/>
        <v>-3.2618932666172378</v>
      </c>
      <c r="V116" s="345">
        <f t="shared" si="27"/>
        <v>-9.3503987829026656</v>
      </c>
      <c r="W116" s="12"/>
    </row>
    <row r="117" spans="1:23" x14ac:dyDescent="0.25">
      <c r="A117" s="2">
        <v>97</v>
      </c>
      <c r="B117" s="11">
        <f>A117/100*'Inputs-Imperial'!$E$5</f>
        <v>9.5472444000000003</v>
      </c>
      <c r="C117" s="8">
        <f>'Inputs-Imperial'!$E$10+('Inputs-Imperial'!$E$9-'Inputs-Imperial'!$E$10)*(100-A117)/100</f>
        <v>1.1778215599999999</v>
      </c>
      <c r="D117" s="8">
        <f t="shared" si="35"/>
        <v>9.8425199999999435E-2</v>
      </c>
      <c r="E117" s="8">
        <f t="shared" si="36"/>
        <v>0.11641169860706334</v>
      </c>
      <c r="F117" s="11">
        <f t="shared" si="38"/>
        <v>8.7404868353365934</v>
      </c>
      <c r="G117" s="8">
        <f t="shared" si="22"/>
        <v>0.50776050196115707</v>
      </c>
      <c r="H117" s="8">
        <f t="shared" si="28"/>
        <v>0.8427910309805785</v>
      </c>
      <c r="I117" s="8">
        <f t="shared" si="37"/>
        <v>8.5090245682385435E-2</v>
      </c>
      <c r="J117" s="11">
        <f t="shared" si="39"/>
        <v>6.3887923731173881</v>
      </c>
      <c r="K117" s="550">
        <v>0</v>
      </c>
      <c r="L117" s="11">
        <f t="shared" si="29"/>
        <v>6.3887923731173881</v>
      </c>
      <c r="M117" s="150">
        <f t="shared" si="24"/>
        <v>16.455084227269058</v>
      </c>
      <c r="N117" s="149">
        <f t="shared" si="40"/>
        <v>3.117697229146386</v>
      </c>
      <c r="O117" s="11">
        <f t="shared" si="30"/>
        <v>0.63887923731173879</v>
      </c>
      <c r="P117" s="345">
        <f t="shared" si="31"/>
        <v>1.6455084227269059</v>
      </c>
      <c r="Q117" s="416">
        <f t="shared" si="26"/>
        <v>0.31176972291463867</v>
      </c>
      <c r="R117" s="8">
        <f t="shared" si="32"/>
        <v>-0.55000000000000004</v>
      </c>
      <c r="S117" s="552">
        <v>0</v>
      </c>
      <c r="T117" s="8">
        <f t="shared" si="33"/>
        <v>-0.55000000000000004</v>
      </c>
      <c r="U117" s="11">
        <f t="shared" si="34"/>
        <v>-2.9614293009732533</v>
      </c>
      <c r="V117" s="345">
        <f t="shared" si="27"/>
        <v>-6.3889694819294114</v>
      </c>
      <c r="W117" s="12"/>
    </row>
    <row r="118" spans="1:23" x14ac:dyDescent="0.25">
      <c r="A118" s="2">
        <v>98</v>
      </c>
      <c r="B118" s="11">
        <f>A118/100*'Inputs-Imperial'!$E$5</f>
        <v>9.6456695999999997</v>
      </c>
      <c r="C118" s="8">
        <f>'Inputs-Imperial'!$E$10+('Inputs-Imperial'!$E$9-'Inputs-Imperial'!$E$10)*(100-A118)/100</f>
        <v>1.1679790399999999</v>
      </c>
      <c r="D118" s="8">
        <f t="shared" si="35"/>
        <v>9.8425199999999435E-2</v>
      </c>
      <c r="E118" s="8">
        <f t="shared" si="36"/>
        <v>0.11544294660755931</v>
      </c>
      <c r="F118" s="11">
        <f t="shared" si="38"/>
        <v>8.6677504677748445</v>
      </c>
      <c r="G118" s="8">
        <f t="shared" si="22"/>
        <v>0.41563562728946046</v>
      </c>
      <c r="H118" s="8">
        <f t="shared" si="28"/>
        <v>0.79180733364473022</v>
      </c>
      <c r="I118" s="8">
        <f t="shared" si="37"/>
        <v>8.0442835478959002E-2</v>
      </c>
      <c r="J118" s="11">
        <f t="shared" si="39"/>
        <v>6.0398529779577244</v>
      </c>
      <c r="K118" s="550">
        <v>0</v>
      </c>
      <c r="L118" s="11">
        <f t="shared" si="29"/>
        <v>6.0398529779577244</v>
      </c>
      <c r="M118" s="150">
        <f>M119+L119</f>
        <v>10.415231249311335</v>
      </c>
      <c r="N118" s="149">
        <f t="shared" si="40"/>
        <v>1.4981022730605928</v>
      </c>
      <c r="O118" s="11">
        <f t="shared" si="30"/>
        <v>0.60398529779577248</v>
      </c>
      <c r="P118" s="345">
        <f t="shared" si="31"/>
        <v>1.0415231249311334</v>
      </c>
      <c r="Q118" s="416">
        <f t="shared" si="26"/>
        <v>0.14981022730605931</v>
      </c>
      <c r="R118" s="8">
        <f t="shared" si="32"/>
        <v>-0.55000000000000004</v>
      </c>
      <c r="S118" s="552">
        <v>0</v>
      </c>
      <c r="T118" s="8">
        <f t="shared" si="33"/>
        <v>-0.55000000000000004</v>
      </c>
      <c r="U118" s="11">
        <f t="shared" si="34"/>
        <v>-2.630319935145589</v>
      </c>
      <c r="V118" s="345">
        <f t="shared" si="27"/>
        <v>-3.7586495467838223</v>
      </c>
      <c r="W118" s="12"/>
    </row>
    <row r="119" spans="1:23" ht="15.75" thickBot="1" x14ac:dyDescent="0.3">
      <c r="A119" s="2">
        <v>99</v>
      </c>
      <c r="B119" s="11">
        <f>A119/100*'Inputs-Imperial'!$E$5</f>
        <v>9.7440948000000009</v>
      </c>
      <c r="C119" s="8">
        <f>'Inputs-Imperial'!$E$10+('Inputs-Imperial'!$E$9-'Inputs-Imperial'!$E$10)*(100-A119)/100</f>
        <v>1.15813652</v>
      </c>
      <c r="D119" s="8">
        <f t="shared" si="35"/>
        <v>9.8425200000001212E-2</v>
      </c>
      <c r="E119" s="8">
        <f t="shared" si="36"/>
        <v>0.1144741946080574</v>
      </c>
      <c r="F119" s="11">
        <f t="shared" si="38"/>
        <v>8.5950141002132536</v>
      </c>
      <c r="G119" s="8">
        <f t="shared" si="22"/>
        <v>0.29464000444896765</v>
      </c>
      <c r="H119" s="8">
        <f t="shared" si="28"/>
        <v>0.72638826222448383</v>
      </c>
      <c r="I119" s="8">
        <f t="shared" si="37"/>
        <v>7.4714352581274193E-2</v>
      </c>
      <c r="J119" s="11">
        <f t="shared" si="39"/>
        <v>5.6097438913901403</v>
      </c>
      <c r="K119" s="550">
        <v>0</v>
      </c>
      <c r="L119" s="11">
        <f t="shared" si="29"/>
        <v>5.6097438913901403</v>
      </c>
      <c r="M119" s="150">
        <f>M120+L120</f>
        <v>4.8054873579211943</v>
      </c>
      <c r="N119" s="149">
        <f>M119*D120+N120</f>
        <v>0.4729810543008624</v>
      </c>
      <c r="O119" s="11">
        <f t="shared" si="30"/>
        <v>0.56097438913901398</v>
      </c>
      <c r="P119" s="345">
        <f>P120+O120</f>
        <v>0.48054873579211943</v>
      </c>
      <c r="Q119" s="416">
        <f>P119*D120+Q120</f>
        <v>4.7298105430086244E-2</v>
      </c>
      <c r="R119" s="8">
        <f t="shared" si="32"/>
        <v>-0.55000000000000004</v>
      </c>
      <c r="S119" s="552">
        <v>0</v>
      </c>
      <c r="T119" s="8">
        <f t="shared" si="33"/>
        <v>-0.55000000000000004</v>
      </c>
      <c r="U119" s="11">
        <f t="shared" si="34"/>
        <v>-2.2411686642352135</v>
      </c>
      <c r="V119" s="345">
        <f>V120+U120</f>
        <v>-1.5174808825486088</v>
      </c>
      <c r="W119" s="12"/>
    </row>
    <row r="120" spans="1:23" ht="15.75" thickBot="1" x14ac:dyDescent="0.3">
      <c r="A120" s="2">
        <v>100</v>
      </c>
      <c r="B120" s="11">
        <f>A120/100*'Inputs-Imperial'!$E$5</f>
        <v>9.8425200000000004</v>
      </c>
      <c r="C120" s="8">
        <f>'Inputs-Imperial'!$E$10+('Inputs-Imperial'!$E$9-'Inputs-Imperial'!$E$10)*(100-A120)/100</f>
        <v>1.1482939999999999</v>
      </c>
      <c r="D120" s="8">
        <f t="shared" si="35"/>
        <v>9.8425199999999435E-2</v>
      </c>
      <c r="E120" s="8">
        <f t="shared" si="36"/>
        <v>0.11350544260855136</v>
      </c>
      <c r="F120" s="11">
        <f t="shared" si="38"/>
        <v>8.5222777326513537</v>
      </c>
      <c r="G120" s="8">
        <f t="shared" si="22"/>
        <v>0</v>
      </c>
      <c r="H120" s="8">
        <f t="shared" si="28"/>
        <v>0.57414699999999996</v>
      </c>
      <c r="I120" s="8">
        <f t="shared" si="37"/>
        <v>6.4002721645748273E-2</v>
      </c>
      <c r="J120" s="11">
        <f t="shared" si="39"/>
        <v>4.8054873579211943</v>
      </c>
      <c r="K120" s="551">
        <v>0</v>
      </c>
      <c r="L120" s="11">
        <f t="shared" si="29"/>
        <v>4.8054873579211943</v>
      </c>
      <c r="M120" s="147">
        <v>0</v>
      </c>
      <c r="N120" s="148">
        <v>0</v>
      </c>
      <c r="O120" s="11">
        <f t="shared" si="30"/>
        <v>0.48054873579211943</v>
      </c>
      <c r="P120" s="415">
        <v>0</v>
      </c>
      <c r="Q120" s="417">
        <v>0</v>
      </c>
      <c r="R120" s="8">
        <f t="shared" si="32"/>
        <v>-0.55000000000000004</v>
      </c>
      <c r="S120" s="552">
        <v>0</v>
      </c>
      <c r="T120" s="8">
        <f t="shared" si="33"/>
        <v>-0.55000000000000004</v>
      </c>
      <c r="U120" s="11">
        <f t="shared" si="34"/>
        <v>-1.5174808825486088</v>
      </c>
      <c r="V120" s="415">
        <v>0</v>
      </c>
      <c r="W120" s="12"/>
    </row>
  </sheetData>
  <sheetProtection sheet="1" objects="1" scenarios="1"/>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dimension ref="A1:JF160"/>
  <sheetViews>
    <sheetView zoomScale="85" zoomScaleNormal="85" workbookViewId="0">
      <selection activeCell="DO60" sqref="DO60"/>
    </sheetView>
  </sheetViews>
  <sheetFormatPr defaultRowHeight="15" outlineLevelCol="1" x14ac:dyDescent="0.25"/>
  <cols>
    <col min="1" max="1" width="39.140625" customWidth="1"/>
    <col min="2" max="2" width="47" customWidth="1"/>
    <col min="3" max="3" width="16" customWidth="1"/>
    <col min="4" max="4" width="9.140625" bestFit="1" customWidth="1"/>
    <col min="5" max="5" width="11" customWidth="1"/>
    <col min="6" max="7" width="9.85546875" customWidth="1"/>
    <col min="8" max="8" width="22.5703125" bestFit="1" customWidth="1"/>
    <col min="9" max="10" width="9.85546875" customWidth="1"/>
    <col min="11" max="11" width="8.140625" bestFit="1" customWidth="1"/>
    <col min="12" max="12" width="3.85546875" customWidth="1"/>
    <col min="13" max="13" width="5.85546875" bestFit="1" customWidth="1"/>
    <col min="14" max="14" width="8.5703125" bestFit="1" customWidth="1"/>
    <col min="15" max="15" width="8.85546875" customWidth="1"/>
    <col min="16" max="16" width="9.5703125" customWidth="1"/>
    <col min="17" max="17" width="7.140625" customWidth="1"/>
    <col min="18" max="19" width="8.85546875" customWidth="1"/>
    <col min="20" max="20" width="11.28515625" customWidth="1"/>
    <col min="21" max="23" width="9.5703125" customWidth="1"/>
    <col min="24" max="24" width="10.140625" customWidth="1"/>
    <col min="25" max="25" width="7.85546875" customWidth="1"/>
    <col min="26" max="26" width="9.140625" customWidth="1"/>
    <col min="27" max="27" width="8.5703125" customWidth="1"/>
    <col min="28" max="29" width="6.85546875" customWidth="1"/>
    <col min="30" max="30" width="9.85546875" customWidth="1"/>
    <col min="31" max="31" width="14.5703125" customWidth="1"/>
    <col min="32" max="32" width="18.42578125" customWidth="1"/>
    <col min="33" max="33" width="12.42578125" customWidth="1"/>
    <col min="34" max="34" width="8.7109375" customWidth="1"/>
    <col min="35" max="35" width="11.42578125" customWidth="1"/>
    <col min="36" max="36" width="10.42578125" customWidth="1"/>
    <col min="37" max="37" width="9.140625" hidden="1" customWidth="1" outlineLevel="1"/>
    <col min="38" max="39" width="8.85546875" hidden="1" customWidth="1" outlineLevel="1"/>
    <col min="40" max="40" width="10.140625" hidden="1" customWidth="1" outlineLevel="1"/>
    <col min="41" max="42" width="9.85546875" hidden="1" customWidth="1" outlineLevel="1"/>
    <col min="43" max="43" width="11.85546875" hidden="1" customWidth="1" outlineLevel="1"/>
    <col min="44" max="45" width="8.85546875" hidden="1" customWidth="1" outlineLevel="1"/>
    <col min="46" max="46" width="12.5703125" hidden="1" customWidth="1" outlineLevel="1"/>
    <col min="47" max="48" width="8.85546875" hidden="1" customWidth="1" outlineLevel="1"/>
    <col min="49" max="49" width="10.5703125" hidden="1" customWidth="1" outlineLevel="1"/>
    <col min="50" max="50" width="9.5703125" hidden="1" customWidth="1" outlineLevel="1"/>
    <col min="51" max="56" width="8.85546875" hidden="1" customWidth="1" outlineLevel="1"/>
    <col min="57" max="57" width="10.42578125" hidden="1" customWidth="1" outlineLevel="1"/>
    <col min="58" max="58" width="9.5703125" hidden="1" customWidth="1" outlineLevel="1"/>
    <col min="59" max="64" width="8.85546875" hidden="1" customWidth="1" outlineLevel="1"/>
    <col min="65" max="65" width="10.140625" customWidth="1" collapsed="1"/>
    <col min="66" max="66" width="12" customWidth="1"/>
    <col min="67" max="67" width="11.85546875" customWidth="1"/>
    <col min="68" max="91" width="10.5703125" hidden="1" customWidth="1" outlineLevel="1"/>
    <col min="92" max="92" width="10.5703125" customWidth="1" collapsed="1"/>
    <col min="93" max="94" width="10.5703125" customWidth="1"/>
    <col min="95" max="95" width="10.42578125" customWidth="1"/>
    <col min="96" max="96" width="12.5703125" hidden="1" customWidth="1" outlineLevel="1"/>
    <col min="97" max="97" width="9" hidden="1" customWidth="1" outlineLevel="1"/>
    <col min="98" max="98" width="9.140625" hidden="1" customWidth="1" outlineLevel="1"/>
    <col min="99" max="99" width="9.5703125" hidden="1" customWidth="1" outlineLevel="1"/>
    <col min="100" max="100" width="8.42578125" hidden="1" customWidth="1" outlineLevel="1"/>
    <col min="101" max="101" width="9.140625" hidden="1" customWidth="1" outlineLevel="1"/>
    <col min="102" max="102" width="10.5703125" hidden="1" customWidth="1" outlineLevel="1"/>
    <col min="103" max="103" width="9" hidden="1" customWidth="1" outlineLevel="1"/>
    <col min="104" max="104" width="9.140625" hidden="1" customWidth="1" outlineLevel="1"/>
    <col min="105" max="105" width="9.5703125" hidden="1" customWidth="1" outlineLevel="1"/>
    <col min="106" max="106" width="8.42578125" hidden="1" customWidth="1" outlineLevel="1"/>
    <col min="107" max="107" width="8.85546875" hidden="1" customWidth="1" outlineLevel="1"/>
    <col min="108" max="108" width="12.28515625" hidden="1" customWidth="1" outlineLevel="1"/>
    <col min="109" max="109" width="8.85546875" hidden="1" customWidth="1" outlineLevel="1"/>
    <col min="110" max="110" width="9.28515625" hidden="1" customWidth="1" outlineLevel="1"/>
    <col min="111" max="118" width="8.85546875" hidden="1" customWidth="1" outlineLevel="1"/>
    <col min="119" max="119" width="8.7109375" customWidth="1" collapsed="1"/>
    <col min="120" max="122" width="8.7109375" customWidth="1"/>
    <col min="123" max="123" width="11" customWidth="1"/>
    <col min="124" max="124" width="10.85546875" customWidth="1"/>
    <col min="125" max="125" width="8.7109375" customWidth="1"/>
    <col min="126" max="126" width="13.140625" customWidth="1"/>
    <col min="127" max="127" width="8.7109375" customWidth="1"/>
    <col min="128" max="129" width="11.140625" customWidth="1"/>
    <col min="130" max="130" width="13.42578125" style="343" customWidth="1"/>
    <col min="131" max="131" width="9.7109375" style="343" customWidth="1"/>
    <col min="132" max="133" width="14.140625" style="343" hidden="1" customWidth="1" outlineLevel="1"/>
    <col min="134" max="163" width="11.140625" style="343" hidden="1" customWidth="1" outlineLevel="1"/>
    <col min="164" max="164" width="16" style="343" hidden="1" customWidth="1" outlineLevel="1"/>
    <col min="165" max="165" width="11.140625" style="343" customWidth="1" collapsed="1"/>
    <col min="166" max="167" width="11.140625" style="343" customWidth="1"/>
    <col min="168" max="191" width="11.140625" style="343" hidden="1" customWidth="1" outlineLevel="1"/>
    <col min="192" max="192" width="11.140625" style="343" customWidth="1" collapsed="1"/>
    <col min="193" max="194" width="11.140625" style="343" customWidth="1"/>
    <col min="195" max="195" width="9.5703125" customWidth="1"/>
    <col min="196" max="196" width="8.85546875" bestFit="1" customWidth="1"/>
    <col min="197" max="197" width="10.85546875" customWidth="1"/>
    <col min="198" max="198" width="10.140625" customWidth="1"/>
    <col min="199" max="199" width="10.140625" hidden="1" customWidth="1" outlineLevel="1"/>
    <col min="200" max="200" width="11.5703125" hidden="1" customWidth="1" outlineLevel="1"/>
    <col min="201" max="201" width="10.140625" hidden="1" customWidth="1" outlineLevel="1"/>
    <col min="202" max="202" width="13.85546875" hidden="1" customWidth="1" outlineLevel="1"/>
    <col min="203" max="203" width="9.85546875" hidden="1" customWidth="1" outlineLevel="1"/>
    <col min="204" max="204" width="9.140625" hidden="1" customWidth="1" outlineLevel="1"/>
    <col min="205" max="205" width="10.42578125" hidden="1" customWidth="1" outlineLevel="1"/>
    <col min="206" max="207" width="8.85546875" hidden="1" customWidth="1" outlineLevel="1"/>
    <col min="208" max="208" width="9.5703125" hidden="1" customWidth="1" outlineLevel="1"/>
    <col min="209" max="210" width="8.85546875" hidden="1" customWidth="1" outlineLevel="1"/>
    <col min="211" max="211" width="11.140625" hidden="1" customWidth="1" outlineLevel="1"/>
    <col min="212" max="212" width="10.5703125" hidden="1" customWidth="1" outlineLevel="1"/>
    <col min="213" max="213" width="9.85546875" hidden="1" customWidth="1" outlineLevel="1"/>
    <col min="214" max="218" width="8.85546875" hidden="1" customWidth="1" outlineLevel="1"/>
    <col min="219" max="219" width="10" hidden="1" customWidth="1" outlineLevel="1"/>
    <col min="220" max="220" width="9.85546875" hidden="1" customWidth="1" outlineLevel="1"/>
    <col min="221" max="226" width="8.85546875" hidden="1" customWidth="1" outlineLevel="1"/>
    <col min="227" max="227" width="13.85546875" customWidth="1" collapsed="1"/>
    <col min="228" max="229" width="13.140625" customWidth="1"/>
    <col min="230" max="253" width="10.5703125" hidden="1" customWidth="1" outlineLevel="1"/>
    <col min="254" max="254" width="13.140625" customWidth="1" collapsed="1"/>
    <col min="255" max="255" width="13.42578125" customWidth="1"/>
    <col min="256" max="256" width="13" customWidth="1"/>
    <col min="258" max="259" width="10.85546875" customWidth="1"/>
    <col min="260" max="260" width="12.140625" customWidth="1"/>
    <col min="261" max="261" width="13.5703125" customWidth="1"/>
    <col min="262" max="262" width="14.5703125" customWidth="1"/>
    <col min="263" max="263" width="15.85546875" customWidth="1"/>
    <col min="264" max="266" width="14.5703125" customWidth="1"/>
  </cols>
  <sheetData>
    <row r="1" spans="1:6" x14ac:dyDescent="0.25">
      <c r="A1" s="4" t="s">
        <v>129</v>
      </c>
    </row>
    <row r="2" spans="1:6" x14ac:dyDescent="0.25">
      <c r="A2" t="s">
        <v>486</v>
      </c>
    </row>
    <row r="3" spans="1:6" x14ac:dyDescent="0.25">
      <c r="A3" t="s">
        <v>171</v>
      </c>
    </row>
    <row r="4" spans="1:6" x14ac:dyDescent="0.25">
      <c r="A4" t="s">
        <v>184</v>
      </c>
    </row>
    <row r="5" spans="1:6" x14ac:dyDescent="0.25">
      <c r="A5" t="s">
        <v>185</v>
      </c>
    </row>
    <row r="6" spans="1:6" x14ac:dyDescent="0.25">
      <c r="A6" t="s">
        <v>186</v>
      </c>
    </row>
    <row r="7" spans="1:6" x14ac:dyDescent="0.25">
      <c r="A7" t="s">
        <v>576</v>
      </c>
    </row>
    <row r="8" spans="1:6" x14ac:dyDescent="0.25">
      <c r="A8" t="s">
        <v>577</v>
      </c>
    </row>
    <row r="10" spans="1:6" ht="15.75" thickBot="1" x14ac:dyDescent="0.3"/>
    <row r="11" spans="1:6" ht="15.75" thickBot="1" x14ac:dyDescent="0.3">
      <c r="A11" s="197" t="s">
        <v>152</v>
      </c>
      <c r="B11" s="124" t="str">
        <f>'Inputs-Imperial'!B1</f>
        <v>Description</v>
      </c>
      <c r="C11" s="125" t="str">
        <f>'Inputs-Imperial'!C1</f>
        <v>Symbol</v>
      </c>
      <c r="D11" s="125" t="str">
        <f>'Inputs-Imperial'!D1</f>
        <v>Unit</v>
      </c>
      <c r="E11" s="120" t="s">
        <v>152</v>
      </c>
      <c r="F11" s="174"/>
    </row>
    <row r="12" spans="1:6" x14ac:dyDescent="0.25">
      <c r="A12" s="201" t="s">
        <v>13</v>
      </c>
      <c r="B12" s="136"/>
      <c r="C12" s="136"/>
      <c r="D12" s="136"/>
      <c r="E12" s="271"/>
      <c r="F12" s="174"/>
    </row>
    <row r="13" spans="1:6" x14ac:dyDescent="0.25">
      <c r="A13" s="270"/>
      <c r="B13" s="2" t="str">
        <f>'Inputs-Imperial'!B5</f>
        <v>Half-Span</v>
      </c>
      <c r="C13" s="2" t="str">
        <f>'Inputs-Imperial'!C5</f>
        <v>b/2</v>
      </c>
      <c r="D13" s="2" t="str">
        <f>'Inputs-Imperial'!D5</f>
        <v>ft</v>
      </c>
      <c r="E13" s="272">
        <f>'Inputs-Imperial'!E5</f>
        <v>9.8425200000000004</v>
      </c>
      <c r="F13" s="174"/>
    </row>
    <row r="14" spans="1:6" x14ac:dyDescent="0.25">
      <c r="A14" s="270"/>
      <c r="B14" s="2" t="str">
        <f>'Inputs-Imperial'!B6</f>
        <v>Core Zone Split (% Half-Span)</v>
      </c>
      <c r="C14" s="2" t="s">
        <v>581</v>
      </c>
      <c r="D14" s="2" t="s">
        <v>14</v>
      </c>
      <c r="E14" s="272">
        <f>'Inputs-Imperial'!E6</f>
        <v>0.25</v>
      </c>
      <c r="F14" s="174"/>
    </row>
    <row r="15" spans="1:6" x14ac:dyDescent="0.25">
      <c r="A15" s="270"/>
      <c r="B15" s="2" t="str">
        <f>'Inputs-Imperial'!B7</f>
        <v>Core Zone Split (% Half-Span)</v>
      </c>
      <c r="C15" s="2" t="s">
        <v>582</v>
      </c>
      <c r="D15" s="2" t="s">
        <v>14</v>
      </c>
      <c r="E15" s="272">
        <f>'Inputs-Imperial'!E7</f>
        <v>0.5</v>
      </c>
      <c r="F15" s="174"/>
    </row>
    <row r="16" spans="1:6" ht="15.75" thickBot="1" x14ac:dyDescent="0.3">
      <c r="A16" s="270"/>
      <c r="B16" s="2" t="str">
        <f>'Inputs-Imperial'!B8</f>
        <v>Core Zone Split (% Half-Span)</v>
      </c>
      <c r="C16" s="2" t="s">
        <v>583</v>
      </c>
      <c r="D16" s="2" t="s">
        <v>14</v>
      </c>
      <c r="E16" s="272">
        <f>'Inputs-Imperial'!E8</f>
        <v>0.75</v>
      </c>
      <c r="F16" s="174"/>
    </row>
    <row r="17" spans="1:10" x14ac:dyDescent="0.25">
      <c r="A17" s="273" t="str">
        <f>'Inputs-Imperial'!A11</f>
        <v>Main Spar</v>
      </c>
      <c r="B17" s="24" t="str">
        <f>'Inputs-Imperial'!B11</f>
        <v>Spar Height/Chord</v>
      </c>
      <c r="C17" s="24" t="str">
        <f>'Inputs-Imperial'!C11</f>
        <v>Spar_t/c</v>
      </c>
      <c r="D17" s="24" t="str">
        <f>'Inputs-Imperial'!D11</f>
        <v>-</v>
      </c>
      <c r="E17" s="274">
        <f>'Inputs-Imperial'!E11</f>
        <v>0.18</v>
      </c>
      <c r="F17" s="175"/>
      <c r="J17" s="175"/>
    </row>
    <row r="18" spans="1:10" ht="15.75" thickBot="1" x14ac:dyDescent="0.3">
      <c r="A18" s="275"/>
      <c r="B18" s="276" t="str">
        <f>'Inputs-Imperial'!B12</f>
        <v>Spar Location % Chord</v>
      </c>
      <c r="C18" s="29" t="str">
        <f>'Inputs-Imperial'!C12</f>
        <v>Spar_x/c</v>
      </c>
      <c r="D18" s="277" t="str">
        <f>'Inputs-Imperial'!D12</f>
        <v>-</v>
      </c>
      <c r="E18" s="206">
        <f>'Inputs-Imperial'!E12</f>
        <v>0.25</v>
      </c>
      <c r="F18" s="138"/>
      <c r="J18" s="175"/>
    </row>
    <row r="19" spans="1:10" x14ac:dyDescent="0.25">
      <c r="A19" s="156" t="str">
        <f>'Inputs-Imperial'!A14</f>
        <v>Aft Shear Web</v>
      </c>
      <c r="B19" s="2" t="str">
        <f>'Inputs-Imperial'!B14</f>
        <v>Aft Web Height/Chord</v>
      </c>
      <c r="C19" s="2" t="str">
        <f>'Inputs-Imperial'!C14</f>
        <v>AW_t/c</v>
      </c>
      <c r="D19" s="6" t="str">
        <f>'Inputs-Imperial'!D14</f>
        <v>-</v>
      </c>
      <c r="E19" s="17">
        <f>'Inputs-Imperial'!E14</f>
        <v>0.09</v>
      </c>
      <c r="F19" s="138"/>
      <c r="J19" s="2"/>
    </row>
    <row r="20" spans="1:10" x14ac:dyDescent="0.25">
      <c r="A20" s="26"/>
      <c r="B20" s="13" t="str">
        <f>'Inputs-Imperial'!B15</f>
        <v>Aft Web Location % Chord</v>
      </c>
      <c r="C20" s="1" t="str">
        <f>'Inputs-Imperial'!C15</f>
        <v>AW_x/c_tip</v>
      </c>
      <c r="D20" s="10" t="str">
        <f>'Inputs-Imperial'!D15</f>
        <v>-</v>
      </c>
      <c r="E20" s="16">
        <f>'Inputs-Imperial'!E15</f>
        <v>0.75</v>
      </c>
      <c r="F20" s="138"/>
    </row>
    <row r="21" spans="1:10" x14ac:dyDescent="0.25">
      <c r="A21" s="157" t="str">
        <f>'Inputs-Imperial'!A16</f>
        <v>Structural Factors</v>
      </c>
      <c r="B21" s="3" t="str">
        <f>'Inputs-Imperial'!B16</f>
        <v>Factor of Safety, Stress</v>
      </c>
      <c r="C21" s="3" t="str">
        <f>'Inputs-Imperial'!C16</f>
        <v>FS_stress</v>
      </c>
      <c r="D21" s="3" t="str">
        <f>'Inputs-Imperial'!D16</f>
        <v>-</v>
      </c>
      <c r="E21" s="15">
        <f>'Inputs-Imperial'!E16</f>
        <v>1.5</v>
      </c>
      <c r="F21" s="2"/>
    </row>
    <row r="22" spans="1:10" x14ac:dyDescent="0.25">
      <c r="A22" s="26"/>
      <c r="B22" s="1" t="str">
        <f>'Inputs-Imperial'!B17</f>
        <v>Factor of Safety, Buckling/Wrinkling/Crimp</v>
      </c>
      <c r="C22" s="1" t="str">
        <f>'Inputs-Imperial'!C17</f>
        <v>FS_buckling</v>
      </c>
      <c r="D22" s="1" t="str">
        <f>'Inputs-Imperial'!D17</f>
        <v>-</v>
      </c>
      <c r="E22" s="19">
        <f>'Inputs-Imperial'!E17</f>
        <v>1.8</v>
      </c>
      <c r="F22" s="11"/>
      <c r="J22" s="138"/>
    </row>
    <row r="23" spans="1:10" x14ac:dyDescent="0.25">
      <c r="A23" s="157" t="str">
        <f>'Inputs-Imperial'!A18</f>
        <v>Materials - Spar Caps</v>
      </c>
      <c r="B23" s="3" t="str">
        <f>'Inputs-Imperial'!B18</f>
        <v>Spar Cap Compression Ult. Allowable (Uni)</v>
      </c>
      <c r="C23" s="3" t="str">
        <f>'Inputs-Imperial'!C18</f>
        <v>F1_CU_Cap</v>
      </c>
      <c r="D23" s="3" t="str">
        <f>'Inputs-Imperial'!D18</f>
        <v>psi</v>
      </c>
      <c r="E23" s="73">
        <f>'Inputs-Imperial'!E18</f>
        <v>58015.200000000004</v>
      </c>
      <c r="F23" s="116"/>
    </row>
    <row r="24" spans="1:10" x14ac:dyDescent="0.25">
      <c r="A24" s="25"/>
      <c r="B24" s="2" t="str">
        <f>'Inputs-Imperial'!B19</f>
        <v>Spar Cap Tension Ult Allowable (Uni)</v>
      </c>
      <c r="C24" s="2" t="str">
        <f>'Inputs-Imperial'!C19</f>
        <v>F1_TU_Cap</v>
      </c>
      <c r="D24" s="2" t="str">
        <f>'Inputs-Imperial'!D19</f>
        <v>psi</v>
      </c>
      <c r="E24" s="74">
        <f>'Inputs-Imperial'!E19</f>
        <v>58015.200000000004</v>
      </c>
      <c r="F24" s="116"/>
    </row>
    <row r="25" spans="1:10" x14ac:dyDescent="0.25">
      <c r="A25" s="25"/>
      <c r="B25" s="2" t="str">
        <f>'Inputs-Imperial'!B20</f>
        <v>Spar Cap Modulus</v>
      </c>
      <c r="C25" s="2" t="str">
        <f>'Inputs-Imperial'!C20</f>
        <v>E11_Cap</v>
      </c>
      <c r="D25" s="2" t="str">
        <f>'Inputs-Imperial'!D20</f>
        <v>psi</v>
      </c>
      <c r="E25" s="74">
        <f>'Inputs-Imperial'!E20</f>
        <v>15954180</v>
      </c>
      <c r="F25" s="116"/>
    </row>
    <row r="26" spans="1:10" x14ac:dyDescent="0.25">
      <c r="A26" s="26"/>
      <c r="B26" s="1" t="str">
        <f>'Inputs-Imperial'!B22</f>
        <v>Spar Cap Density</v>
      </c>
      <c r="C26" s="1" t="str">
        <f>'Inputs-Imperial'!C22</f>
        <v>rho_Cap</v>
      </c>
      <c r="D26" s="1" t="str">
        <f>'Inputs-Imperial'!D22</f>
        <v>lb/in^3</v>
      </c>
      <c r="E26" s="16">
        <f>'Inputs-Imperial'!E22</f>
        <v>6.141640685118082E-2</v>
      </c>
      <c r="F26" s="138"/>
    </row>
    <row r="27" spans="1:10" x14ac:dyDescent="0.25">
      <c r="A27" s="157" t="str">
        <f>'Inputs-Imperial'!A23</f>
        <v>Material - Skins and Webs</v>
      </c>
      <c r="B27" s="3" t="str">
        <f>'Inputs-Imperial'!B23</f>
        <v>Bias Shear Ult. Allowable</v>
      </c>
      <c r="C27" s="3" t="str">
        <f>'Inputs-Imperial'!C23</f>
        <v>F12_Bias</v>
      </c>
      <c r="D27" s="3" t="str">
        <f>'Inputs-Imperial'!D23</f>
        <v>psi</v>
      </c>
      <c r="E27" s="73">
        <f>'Inputs-Imperial'!E23</f>
        <v>58015.200000000004</v>
      </c>
      <c r="F27" s="116"/>
    </row>
    <row r="28" spans="1:10" x14ac:dyDescent="0.25">
      <c r="A28" s="25"/>
      <c r="B28" s="2" t="str">
        <f>'Inputs-Imperial'!B24</f>
        <v>Bias Shear Modulus</v>
      </c>
      <c r="C28" s="2" t="str">
        <f>'Inputs-Imperial'!C24</f>
        <v>G12_Bias</v>
      </c>
      <c r="D28" s="2" t="str">
        <f>'Inputs-Imperial'!D24</f>
        <v>psi</v>
      </c>
      <c r="E28" s="74">
        <f>'Inputs-Imperial'!E24</f>
        <v>3770988.0000000005</v>
      </c>
      <c r="F28" s="116"/>
      <c r="J28" s="116"/>
    </row>
    <row r="29" spans="1:10" x14ac:dyDescent="0.25">
      <c r="A29" s="25"/>
      <c r="B29" s="2" t="str">
        <f>'Inputs-Imperial'!B25</f>
        <v>Bias Skin Compression Modulus</v>
      </c>
      <c r="C29" s="2" t="str">
        <f>'Inputs-Imperial'!C25</f>
        <v>E11_Bias</v>
      </c>
      <c r="D29" s="2" t="str">
        <f>'Inputs-Imperial'!D25</f>
        <v>psi</v>
      </c>
      <c r="E29" s="74">
        <f>'Inputs-Imperial'!E25</f>
        <v>2175570</v>
      </c>
      <c r="F29" s="116"/>
      <c r="G29" s="116"/>
      <c r="H29" s="116"/>
      <c r="I29" s="116"/>
      <c r="J29" s="116"/>
    </row>
    <row r="30" spans="1:10" x14ac:dyDescent="0.25">
      <c r="A30" s="25"/>
      <c r="B30" s="2" t="str">
        <f>'Inputs-Imperial'!B26</f>
        <v>Warp Fabric Modulus</v>
      </c>
      <c r="C30" s="2" t="str">
        <f>'Inputs-Imperial'!C26</f>
        <v>E11=E22</v>
      </c>
      <c r="D30" s="2" t="str">
        <f>'Inputs-Imperial'!D26</f>
        <v>psi</v>
      </c>
      <c r="E30" s="74">
        <f>'Inputs-Imperial'!E26</f>
        <v>7687014.0000000009</v>
      </c>
      <c r="F30" s="116"/>
      <c r="G30" s="116"/>
      <c r="H30" s="116"/>
      <c r="I30" s="116"/>
      <c r="J30" s="116"/>
    </row>
    <row r="31" spans="1:10" x14ac:dyDescent="0.25">
      <c r="A31" s="25"/>
      <c r="B31" s="2" t="str">
        <f>'Inputs-Imperial'!B27</f>
        <v>Skin Density</v>
      </c>
      <c r="C31" s="2" t="str">
        <f>'Inputs-Imperial'!C27</f>
        <v>rho_Bias</v>
      </c>
      <c r="D31" s="2" t="str">
        <f>'Inputs-Imperial'!D27</f>
        <v>lb/in^3</v>
      </c>
      <c r="E31" s="17">
        <f>'Inputs-Imperial'!E27</f>
        <v>6.141640685118082E-2</v>
      </c>
      <c r="F31" s="138"/>
      <c r="G31" s="138"/>
      <c r="H31" s="138"/>
      <c r="I31" s="138"/>
      <c r="J31" s="138"/>
    </row>
    <row r="32" spans="1:10" x14ac:dyDescent="0.25">
      <c r="A32" s="26"/>
      <c r="B32" s="1" t="str">
        <f>'Inputs-Imperial'!B28</f>
        <v>Skin Cured Ply Thickness</v>
      </c>
      <c r="C32" s="1" t="str">
        <f>'Inputs-Imperial'!C28</f>
        <v>CPT_Bias</v>
      </c>
      <c r="D32" s="1" t="str">
        <f>'Inputs-Imperial'!D28</f>
        <v>in</v>
      </c>
      <c r="E32" s="20">
        <f>'Inputs-Imperial'!E28</f>
        <v>7.8740157480314977E-3</v>
      </c>
      <c r="F32" s="2"/>
      <c r="G32" s="2"/>
      <c r="H32" s="2"/>
      <c r="I32" s="2"/>
      <c r="J32" s="2"/>
    </row>
    <row r="33" spans="1:10" x14ac:dyDescent="0.25">
      <c r="A33" s="157" t="str">
        <f>'Inputs-Imperial'!A29</f>
        <v>Material - Skin and Web Core</v>
      </c>
      <c r="B33" s="3" t="str">
        <f>'Inputs-Imperial'!B29</f>
        <v>Core Modulus (E11=E22=E33)</v>
      </c>
      <c r="C33" s="3" t="str">
        <f>'Inputs-Imperial'!C29</f>
        <v>E_Core</v>
      </c>
      <c r="D33" s="3" t="str">
        <f>'Inputs-Imperial'!D29</f>
        <v>psi</v>
      </c>
      <c r="E33" s="73">
        <f>'Inputs-Imperial'!E29</f>
        <v>8267.1660000000011</v>
      </c>
      <c r="F33" s="116"/>
      <c r="G33" s="116"/>
      <c r="H33" s="116"/>
      <c r="I33" s="116"/>
      <c r="J33" s="116"/>
    </row>
    <row r="34" spans="1:10" x14ac:dyDescent="0.25">
      <c r="B34" s="2" t="str">
        <f>'Inputs-Imperial'!B30</f>
        <v>Core Shear Modulus (G12=G13)</v>
      </c>
      <c r="C34" s="2" t="str">
        <f>'Inputs-Imperial'!C30</f>
        <v>G_Core</v>
      </c>
      <c r="D34" s="2" t="str">
        <f>'Inputs-Imperial'!D30</f>
        <v>psi</v>
      </c>
      <c r="E34" s="74">
        <f>'Inputs-Imperial'!E30</f>
        <v>2610.6840000000002</v>
      </c>
      <c r="F34" s="116"/>
      <c r="G34" s="116"/>
      <c r="H34" s="116"/>
      <c r="I34" s="116"/>
      <c r="J34" s="116"/>
    </row>
    <row r="35" spans="1:10" x14ac:dyDescent="0.25">
      <c r="A35" s="25"/>
      <c r="B35" s="2" t="str">
        <f>'Inputs-Imperial'!B31</f>
        <v>Core Compression Strength</v>
      </c>
      <c r="C35" s="2" t="str">
        <f>'Inputs-Imperial'!C31</f>
        <v>Fc_Core</v>
      </c>
      <c r="D35" s="2" t="str">
        <f>'Inputs-Imperial'!D31</f>
        <v>psi</v>
      </c>
      <c r="E35" s="74">
        <f>'Inputs-Imperial'!E31</f>
        <v>116.03040000000001</v>
      </c>
      <c r="F35" s="116"/>
      <c r="G35" s="116"/>
      <c r="H35" s="116"/>
      <c r="I35" s="116"/>
      <c r="J35" s="116"/>
    </row>
    <row r="36" spans="1:10" x14ac:dyDescent="0.25">
      <c r="A36" s="25"/>
      <c r="B36" s="2" t="str">
        <f>'Inputs-Imperial'!B32</f>
        <v>Core Shear Strength</v>
      </c>
      <c r="C36" s="2" t="str">
        <f>'Inputs-Imperial'!C32</f>
        <v>Fsu_Core</v>
      </c>
      <c r="D36" s="2" t="str">
        <f>'Inputs-Imperial'!D32</f>
        <v>psi</v>
      </c>
      <c r="E36" s="74">
        <f>'Inputs-Imperial'!E32</f>
        <v>101.5266</v>
      </c>
      <c r="F36" s="116"/>
      <c r="G36" s="116"/>
      <c r="H36" s="116"/>
      <c r="I36" s="116"/>
      <c r="J36" s="116"/>
    </row>
    <row r="37" spans="1:10" ht="15.75" thickBot="1" x14ac:dyDescent="0.3">
      <c r="A37" s="26"/>
      <c r="B37" s="1" t="str">
        <f>'Inputs-Imperial'!B33</f>
        <v>Core Density</v>
      </c>
      <c r="C37" s="1" t="str">
        <f>'Inputs-Imperial'!C33</f>
        <v>rho_Core</v>
      </c>
      <c r="D37" s="1" t="str">
        <f>'Inputs-Imperial'!D33</f>
        <v>lb/in^3</v>
      </c>
      <c r="E37" s="18">
        <f>'Inputs-Imperial'!E33</f>
        <v>2.312147081456219E-3</v>
      </c>
      <c r="F37" s="2"/>
      <c r="G37" s="2"/>
      <c r="H37" s="2"/>
      <c r="I37" s="2"/>
      <c r="J37" s="2"/>
    </row>
    <row r="38" spans="1:10" x14ac:dyDescent="0.25">
      <c r="A38" s="157" t="str">
        <f>'Inputs-Imperial'!A34</f>
        <v>Manufacturing Weight Factors</v>
      </c>
      <c r="B38" s="3" t="str">
        <f>'Inputs-Imperial'!B34</f>
        <v>As-Built Sandwich Weight Factor  (W_built/W_laminate)</v>
      </c>
      <c r="C38" s="3" t="str">
        <f>'Inputs-Imperial'!C34</f>
        <v>K_Fab</v>
      </c>
      <c r="D38" s="3" t="str">
        <f>'Inputs-Imperial'!D34</f>
        <v>-</v>
      </c>
      <c r="E38" s="195">
        <f>'Inputs-Imperial'!E34</f>
        <v>1.25</v>
      </c>
      <c r="F38" s="8"/>
      <c r="G38" s="8"/>
      <c r="H38" s="8"/>
      <c r="I38" s="8"/>
      <c r="J38" s="8"/>
    </row>
    <row r="39" spans="1:10" x14ac:dyDescent="0.25">
      <c r="A39" s="25"/>
      <c r="B39" s="2" t="str">
        <f>'Inputs-Imperial'!B35</f>
        <v>Bonded Joint Weight  (W_joints/W_laminate)</v>
      </c>
      <c r="C39" s="2" t="str">
        <f>'Inputs-Imperial'!C35</f>
        <v>K_Fab</v>
      </c>
      <c r="D39" s="2" t="str">
        <f>'Inputs-Imperial'!D35</f>
        <v>-</v>
      </c>
      <c r="E39" s="18">
        <f>'Inputs-Imperial'!E35</f>
        <v>1.05</v>
      </c>
      <c r="F39" s="2"/>
      <c r="G39" s="2"/>
      <c r="H39" s="2"/>
      <c r="I39" s="2"/>
      <c r="J39" s="2"/>
    </row>
    <row r="40" spans="1:10" x14ac:dyDescent="0.25">
      <c r="A40" s="25"/>
      <c r="B40" s="2" t="str">
        <f>'Inputs-Imperial'!B36</f>
        <v>Minimum Number of OML Plies</v>
      </c>
      <c r="C40" s="2" t="str">
        <f>'Inputs-Imperial'!C36</f>
        <v>MG_OML</v>
      </c>
      <c r="D40" s="2" t="str">
        <f>'Inputs-Imperial'!D36</f>
        <v>-</v>
      </c>
      <c r="E40" s="22">
        <f>'Inputs-Imperial'!E36</f>
        <v>3</v>
      </c>
      <c r="F40" s="2"/>
      <c r="G40" s="2"/>
      <c r="H40" s="2"/>
      <c r="I40" s="2"/>
      <c r="J40" s="2"/>
    </row>
    <row r="41" spans="1:10" x14ac:dyDescent="0.25">
      <c r="A41" s="25"/>
      <c r="B41" s="2" t="str">
        <f>'Inputs-Imperial'!B37</f>
        <v>Minimum Number of IML Plies</v>
      </c>
      <c r="C41" s="2" t="str">
        <f>'Inputs-Imperial'!C37</f>
        <v>MG_IML</v>
      </c>
      <c r="D41" s="2" t="str">
        <f>'Inputs-Imperial'!D37</f>
        <v>-</v>
      </c>
      <c r="E41" s="18">
        <f>'Inputs-Imperial'!E37</f>
        <v>2</v>
      </c>
      <c r="F41" s="2"/>
      <c r="G41" s="2"/>
      <c r="H41" s="2"/>
      <c r="I41" s="2"/>
      <c r="J41" s="2"/>
    </row>
    <row r="42" spans="1:10" ht="15.75" thickBot="1" x14ac:dyDescent="0.3">
      <c r="A42" s="28"/>
      <c r="B42" s="29" t="str">
        <f>'Inputs-Imperial'!B38</f>
        <v>Minimum Core Thickness and Increments</v>
      </c>
      <c r="C42" s="29" t="str">
        <f>'Inputs-Imperial'!C38</f>
        <v>MT_Core</v>
      </c>
      <c r="D42" s="29" t="str">
        <f>'Inputs-Imperial'!D38</f>
        <v>in</v>
      </c>
      <c r="E42" s="206">
        <f>'Inputs-Imperial'!E38</f>
        <v>0.25</v>
      </c>
      <c r="F42" s="2"/>
      <c r="G42" s="2"/>
      <c r="H42" s="2"/>
      <c r="I42" s="2"/>
      <c r="J42" s="2"/>
    </row>
    <row r="43" spans="1:10" ht="15.75" thickBot="1" x14ac:dyDescent="0.3">
      <c r="F43" s="2"/>
      <c r="G43" s="2"/>
      <c r="H43" s="2"/>
      <c r="I43" s="2"/>
      <c r="J43" s="2"/>
    </row>
    <row r="44" spans="1:10" ht="15.75" thickBot="1" x14ac:dyDescent="0.3">
      <c r="A44" s="229" t="s">
        <v>259</v>
      </c>
      <c r="B44" s="208"/>
      <c r="C44" s="208"/>
      <c r="D44" s="208"/>
      <c r="E44" s="196"/>
      <c r="F44" s="2"/>
      <c r="G44" s="200" t="s">
        <v>179</v>
      </c>
      <c r="J44" s="2"/>
    </row>
    <row r="45" spans="1:10" ht="15.75" thickBot="1" x14ac:dyDescent="0.3">
      <c r="A45" s="143" t="s">
        <v>208</v>
      </c>
      <c r="B45" s="204" t="s">
        <v>202</v>
      </c>
      <c r="C45" s="2" t="s">
        <v>209</v>
      </c>
      <c r="D45" s="2" t="s">
        <v>5</v>
      </c>
      <c r="E45" s="228">
        <f>0.5*(E30*E34*E33)^(1/3)</f>
        <v>27474.273478342362</v>
      </c>
      <c r="F45" s="2"/>
      <c r="G45" s="198" t="s">
        <v>177</v>
      </c>
      <c r="I45" s="198" t="s">
        <v>181</v>
      </c>
      <c r="J45" s="2"/>
    </row>
    <row r="46" spans="1:10" ht="15.75" thickBot="1" x14ac:dyDescent="0.3">
      <c r="A46" s="225"/>
      <c r="B46" s="204" t="s">
        <v>211</v>
      </c>
      <c r="C46" s="2" t="s">
        <v>210</v>
      </c>
      <c r="D46" s="2" t="s">
        <v>5</v>
      </c>
      <c r="E46" s="265">
        <f>MIN(E45/E22,E27/E21)</f>
        <v>15263.485265745756</v>
      </c>
      <c r="F46" s="2"/>
      <c r="G46" s="198" t="s">
        <v>178</v>
      </c>
      <c r="I46" s="198" t="s">
        <v>181</v>
      </c>
      <c r="J46" s="2"/>
    </row>
    <row r="47" spans="1:10" ht="15.75" thickBot="1" x14ac:dyDescent="0.3">
      <c r="A47" s="143"/>
      <c r="B47" s="204"/>
      <c r="C47" s="2"/>
      <c r="D47" s="2"/>
      <c r="E47" s="134"/>
      <c r="G47" s="199" t="s">
        <v>295</v>
      </c>
      <c r="I47" s="199" t="s">
        <v>182</v>
      </c>
      <c r="J47" s="2"/>
    </row>
    <row r="48" spans="1:10" ht="15.75" thickBot="1" x14ac:dyDescent="0.3">
      <c r="A48" s="229" t="s">
        <v>256</v>
      </c>
      <c r="B48" s="208"/>
      <c r="C48" s="208"/>
      <c r="D48" s="208"/>
      <c r="E48" s="196"/>
      <c r="G48" s="199" t="s">
        <v>180</v>
      </c>
      <c r="I48" s="199" t="s">
        <v>182</v>
      </c>
      <c r="J48" s="2"/>
    </row>
    <row r="49" spans="1:266" x14ac:dyDescent="0.25">
      <c r="A49" s="25" t="s">
        <v>257</v>
      </c>
      <c r="B49" s="204"/>
      <c r="C49" s="2"/>
      <c r="D49" s="2"/>
      <c r="E49" s="226"/>
      <c r="F49" s="2"/>
      <c r="G49" s="5" t="s">
        <v>183</v>
      </c>
      <c r="I49" s="198" t="s">
        <v>181</v>
      </c>
      <c r="J49" s="2"/>
    </row>
    <row r="50" spans="1:266" x14ac:dyDescent="0.25">
      <c r="A50" s="25" t="s">
        <v>258</v>
      </c>
      <c r="B50" s="2"/>
      <c r="C50" s="2"/>
      <c r="D50" s="2"/>
      <c r="E50" s="134"/>
      <c r="F50" s="2"/>
      <c r="G50" s="199" t="s">
        <v>195</v>
      </c>
      <c r="I50" s="199" t="s">
        <v>187</v>
      </c>
      <c r="J50" s="2"/>
    </row>
    <row r="51" spans="1:266" ht="15.75" thickBot="1" x14ac:dyDescent="0.3">
      <c r="A51" s="25" t="s">
        <v>260</v>
      </c>
      <c r="B51" s="2"/>
      <c r="C51" s="2"/>
      <c r="D51" s="2"/>
      <c r="E51" s="134"/>
      <c r="F51" s="2"/>
      <c r="J51" s="2"/>
    </row>
    <row r="52" spans="1:266" ht="15.75" thickBot="1" x14ac:dyDescent="0.3">
      <c r="A52" s="25" t="s">
        <v>346</v>
      </c>
      <c r="B52" s="2"/>
      <c r="C52" s="2"/>
      <c r="D52" s="2"/>
      <c r="E52" s="134"/>
      <c r="F52" s="2"/>
      <c r="G52" s="200" t="s">
        <v>205</v>
      </c>
      <c r="J52" s="2"/>
    </row>
    <row r="53" spans="1:266" x14ac:dyDescent="0.25">
      <c r="A53" s="25"/>
      <c r="B53" s="2"/>
      <c r="C53" s="2"/>
      <c r="D53" s="2"/>
      <c r="E53" s="134"/>
      <c r="F53" s="2"/>
      <c r="G53" s="5" t="s">
        <v>206</v>
      </c>
      <c r="I53" t="s">
        <v>296</v>
      </c>
      <c r="J53" s="2"/>
    </row>
    <row r="54" spans="1:266" x14ac:dyDescent="0.25">
      <c r="A54" s="25"/>
      <c r="B54" s="2"/>
      <c r="C54" s="2"/>
      <c r="D54" s="2"/>
      <c r="E54" s="134"/>
      <c r="F54" s="2"/>
      <c r="G54" s="205" t="s">
        <v>207</v>
      </c>
      <c r="I54" t="s">
        <v>293</v>
      </c>
      <c r="J54" s="2"/>
    </row>
    <row r="55" spans="1:266" ht="15.75" thickBot="1" x14ac:dyDescent="0.3">
      <c r="A55" s="227"/>
      <c r="B55" s="214"/>
      <c r="C55" s="214"/>
      <c r="D55" s="214"/>
      <c r="E55" s="215"/>
      <c r="G55" s="205" t="s">
        <v>220</v>
      </c>
      <c r="H55" s="116"/>
      <c r="I55" s="205" t="s">
        <v>294</v>
      </c>
    </row>
    <row r="56" spans="1:266" ht="15.75" thickBot="1" x14ac:dyDescent="0.3">
      <c r="IW56" t="s">
        <v>586</v>
      </c>
    </row>
    <row r="57" spans="1:266" ht="15.75" thickBot="1" x14ac:dyDescent="0.3">
      <c r="AG57" s="776" t="s">
        <v>277</v>
      </c>
      <c r="AH57" s="777"/>
      <c r="AI57" s="777"/>
      <c r="AJ57" s="777"/>
      <c r="AK57" s="777"/>
      <c r="AL57" s="777"/>
      <c r="AM57" s="777"/>
      <c r="AN57" s="777"/>
      <c r="AO57" s="777"/>
      <c r="AP57" s="777"/>
      <c r="AQ57" s="777"/>
      <c r="AR57" s="777"/>
      <c r="AS57" s="777"/>
      <c r="AT57" s="777"/>
      <c r="AU57" s="777"/>
      <c r="AV57" s="777"/>
      <c r="AW57" s="777"/>
      <c r="AX57" s="777"/>
      <c r="AY57" s="777"/>
      <c r="AZ57" s="777"/>
      <c r="BA57" s="777"/>
      <c r="BB57" s="777"/>
      <c r="BC57" s="777"/>
      <c r="BD57" s="777"/>
      <c r="BE57" s="777"/>
      <c r="BF57" s="777"/>
      <c r="BG57" s="777"/>
      <c r="BH57" s="777"/>
      <c r="BI57" s="777"/>
      <c r="BJ57" s="777"/>
      <c r="BK57" s="777"/>
      <c r="BL57" s="777"/>
      <c r="BM57" s="777"/>
      <c r="BN57" s="777"/>
      <c r="BO57" s="778"/>
      <c r="BP57" s="776" t="s">
        <v>298</v>
      </c>
      <c r="BQ57" s="777"/>
      <c r="BR57" s="777"/>
      <c r="BS57" s="777"/>
      <c r="BT57" s="777"/>
      <c r="BU57" s="777"/>
      <c r="BV57" s="777"/>
      <c r="BW57" s="777"/>
      <c r="BX57" s="777"/>
      <c r="BY57" s="777"/>
      <c r="BZ57" s="777"/>
      <c r="CA57" s="777"/>
      <c r="CB57" s="777"/>
      <c r="CC57" s="777"/>
      <c r="CD57" s="777"/>
      <c r="CE57" s="777"/>
      <c r="CF57" s="777"/>
      <c r="CG57" s="777"/>
      <c r="CH57" s="777"/>
      <c r="CI57" s="777"/>
      <c r="CJ57" s="777"/>
      <c r="CK57" s="777"/>
      <c r="CL57" s="777"/>
      <c r="CM57" s="777"/>
      <c r="CN57" s="777"/>
      <c r="CO57" s="777"/>
      <c r="CP57" s="778"/>
      <c r="CQ57" s="785" t="s">
        <v>276</v>
      </c>
      <c r="CR57" s="786"/>
      <c r="CS57" s="786"/>
      <c r="CT57" s="786"/>
      <c r="CU57" s="786"/>
      <c r="CV57" s="786"/>
      <c r="CW57" s="786"/>
      <c r="CX57" s="786"/>
      <c r="CY57" s="786"/>
      <c r="CZ57" s="786"/>
      <c r="DA57" s="786"/>
      <c r="DB57" s="786"/>
      <c r="DC57" s="786"/>
      <c r="DD57" s="786"/>
      <c r="DE57" s="786"/>
      <c r="DF57" s="786"/>
      <c r="DG57" s="786"/>
      <c r="DH57" s="786"/>
      <c r="DI57" s="786"/>
      <c r="DJ57" s="786"/>
      <c r="DK57" s="786"/>
      <c r="DL57" s="786"/>
      <c r="DM57" s="786"/>
      <c r="DN57" s="786"/>
      <c r="DO57" s="786"/>
      <c r="DP57" s="786"/>
      <c r="DQ57" s="786"/>
      <c r="DR57" s="786"/>
      <c r="DS57" s="786"/>
      <c r="DT57" s="787"/>
      <c r="DU57" s="785" t="s">
        <v>298</v>
      </c>
      <c r="DV57" s="786"/>
      <c r="DW57" s="786"/>
      <c r="DX57" s="786"/>
      <c r="DY57" s="355"/>
      <c r="DZ57"/>
      <c r="EA57" s="791" t="s">
        <v>255</v>
      </c>
      <c r="EB57" s="792"/>
      <c r="EC57" s="792"/>
      <c r="ED57" s="792"/>
      <c r="EE57" s="792"/>
      <c r="EF57" s="792"/>
      <c r="EG57" s="792"/>
      <c r="EH57" s="792"/>
      <c r="EI57" s="792"/>
      <c r="EJ57" s="792"/>
      <c r="EK57" s="792"/>
      <c r="EL57" s="792"/>
      <c r="EM57" s="792"/>
      <c r="EN57" s="792"/>
      <c r="EO57" s="792"/>
      <c r="EP57" s="792"/>
      <c r="EQ57" s="792"/>
      <c r="ER57" s="792"/>
      <c r="ES57" s="792"/>
      <c r="ET57" s="792"/>
      <c r="EU57" s="792"/>
      <c r="EV57" s="792"/>
      <c r="EW57" s="792"/>
      <c r="EX57" s="792"/>
      <c r="EY57" s="792"/>
      <c r="EZ57" s="792"/>
      <c r="FA57" s="792"/>
      <c r="FB57" s="792"/>
      <c r="FC57" s="792"/>
      <c r="FD57" s="792"/>
      <c r="FE57" s="792"/>
      <c r="FF57" s="792"/>
      <c r="FG57" s="792"/>
      <c r="FH57" s="792"/>
      <c r="FI57" s="792"/>
      <c r="FJ57" s="792"/>
      <c r="FK57" s="793"/>
      <c r="FL57" s="788" t="s">
        <v>298</v>
      </c>
      <c r="FM57" s="789"/>
      <c r="FN57" s="789"/>
      <c r="FO57" s="789"/>
      <c r="FP57" s="789"/>
      <c r="FQ57" s="789"/>
      <c r="FR57" s="789"/>
      <c r="FS57" s="789"/>
      <c r="FT57" s="789"/>
      <c r="FU57" s="789"/>
      <c r="FV57" s="789"/>
      <c r="FW57" s="789"/>
      <c r="FX57" s="789"/>
      <c r="FY57" s="789"/>
      <c r="FZ57" s="789"/>
      <c r="GA57" s="789"/>
      <c r="GB57" s="789"/>
      <c r="GC57" s="789"/>
      <c r="GD57" s="789"/>
      <c r="GE57" s="789"/>
      <c r="GF57" s="789"/>
      <c r="GG57" s="789"/>
      <c r="GH57" s="789"/>
      <c r="GI57" s="789"/>
      <c r="GJ57" s="789"/>
      <c r="GK57" s="789"/>
      <c r="GL57" s="790"/>
      <c r="GM57" s="797" t="s">
        <v>283</v>
      </c>
      <c r="GN57" s="798"/>
      <c r="GO57" s="798"/>
      <c r="GP57" s="798"/>
      <c r="GQ57" s="798"/>
      <c r="GR57" s="798"/>
      <c r="GS57" s="798"/>
      <c r="GT57" s="798"/>
      <c r="GU57" s="798"/>
      <c r="GV57" s="798"/>
      <c r="GW57" s="798"/>
      <c r="GX57" s="798"/>
      <c r="GY57" s="798"/>
      <c r="GZ57" s="798"/>
      <c r="HA57" s="798"/>
      <c r="HB57" s="798"/>
      <c r="HC57" s="798"/>
      <c r="HD57" s="798"/>
      <c r="HE57" s="798"/>
      <c r="HF57" s="798"/>
      <c r="HG57" s="798"/>
      <c r="HH57" s="798"/>
      <c r="HI57" s="798"/>
      <c r="HJ57" s="798"/>
      <c r="HK57" s="798"/>
      <c r="HL57" s="798"/>
      <c r="HM57" s="798"/>
      <c r="HN57" s="798"/>
      <c r="HO57" s="798"/>
      <c r="HP57" s="798"/>
      <c r="HQ57" s="798"/>
      <c r="HR57" s="798"/>
      <c r="HS57" s="798"/>
      <c r="HT57" s="798"/>
      <c r="HU57" s="799"/>
      <c r="HV57" s="797" t="s">
        <v>298</v>
      </c>
      <c r="HW57" s="798"/>
      <c r="HX57" s="798"/>
      <c r="HY57" s="798"/>
      <c r="HZ57" s="798"/>
      <c r="IA57" s="798"/>
      <c r="IB57" s="798"/>
      <c r="IC57" s="798"/>
      <c r="ID57" s="798"/>
      <c r="IE57" s="798"/>
      <c r="IF57" s="798"/>
      <c r="IG57" s="798"/>
      <c r="IH57" s="798"/>
      <c r="II57" s="798"/>
      <c r="IJ57" s="798"/>
      <c r="IK57" s="798"/>
      <c r="IL57" s="798"/>
      <c r="IM57" s="798"/>
      <c r="IN57" s="798"/>
      <c r="IO57" s="798"/>
      <c r="IP57" s="798"/>
      <c r="IQ57" s="798"/>
      <c r="IR57" s="798"/>
      <c r="IS57" s="798"/>
      <c r="IT57" s="798"/>
      <c r="IU57" s="798"/>
      <c r="IV57" s="799"/>
      <c r="IW57" s="794" t="s">
        <v>289</v>
      </c>
      <c r="IX57" s="795"/>
      <c r="IY57" s="795"/>
      <c r="IZ57" s="795"/>
      <c r="JA57" s="795"/>
      <c r="JB57" s="796"/>
      <c r="JC57" s="304"/>
      <c r="JD57" s="305"/>
      <c r="JE57" s="14"/>
      <c r="JF57" s="14"/>
    </row>
    <row r="58" spans="1:266" ht="58.5" customHeight="1" thickBot="1" x14ac:dyDescent="0.3">
      <c r="A58" s="770" t="s">
        <v>155</v>
      </c>
      <c r="B58" s="771"/>
      <c r="C58" s="771"/>
      <c r="D58" s="771"/>
      <c r="E58" s="771"/>
      <c r="F58" s="771"/>
      <c r="G58" s="771"/>
      <c r="H58" s="771"/>
      <c r="I58" s="771"/>
      <c r="J58" s="772"/>
      <c r="K58" s="758" t="s">
        <v>13</v>
      </c>
      <c r="L58" s="759"/>
      <c r="M58" s="759"/>
      <c r="N58" s="759"/>
      <c r="O58" s="760"/>
      <c r="P58" s="773" t="s">
        <v>26</v>
      </c>
      <c r="Q58" s="774"/>
      <c r="R58" s="774"/>
      <c r="S58" s="774"/>
      <c r="T58" s="775"/>
      <c r="U58" s="782" t="s">
        <v>262</v>
      </c>
      <c r="V58" s="783"/>
      <c r="W58" s="784"/>
      <c r="X58" s="782" t="s">
        <v>157</v>
      </c>
      <c r="Y58" s="783"/>
      <c r="Z58" s="783"/>
      <c r="AA58" s="784"/>
      <c r="AB58" s="758" t="s">
        <v>158</v>
      </c>
      <c r="AC58" s="759"/>
      <c r="AD58" s="760"/>
      <c r="AE58" s="244" t="s">
        <v>450</v>
      </c>
      <c r="AF58" s="245"/>
      <c r="AG58" s="254" t="s">
        <v>251</v>
      </c>
      <c r="AH58" s="145"/>
      <c r="AI58" s="145"/>
      <c r="AJ58" s="146"/>
      <c r="AK58" s="255" t="s">
        <v>249</v>
      </c>
      <c r="AL58" s="145"/>
      <c r="AM58" s="145"/>
      <c r="AN58" s="146"/>
      <c r="AO58" s="779" t="s">
        <v>243</v>
      </c>
      <c r="AP58" s="780"/>
      <c r="AQ58" s="780"/>
      <c r="AR58" s="780"/>
      <c r="AS58" s="780"/>
      <c r="AT58" s="780"/>
      <c r="AU58" s="780"/>
      <c r="AV58" s="781"/>
      <c r="AW58" s="779" t="s">
        <v>253</v>
      </c>
      <c r="AX58" s="780"/>
      <c r="AY58" s="780"/>
      <c r="AZ58" s="780"/>
      <c r="BA58" s="780"/>
      <c r="BB58" s="780"/>
      <c r="BC58" s="780"/>
      <c r="BD58" s="781"/>
      <c r="BE58" s="779" t="s">
        <v>254</v>
      </c>
      <c r="BF58" s="780"/>
      <c r="BG58" s="780"/>
      <c r="BH58" s="780"/>
      <c r="BI58" s="780"/>
      <c r="BJ58" s="780"/>
      <c r="BK58" s="780"/>
      <c r="BL58" s="780"/>
      <c r="BM58" s="235"/>
      <c r="BN58" s="236"/>
      <c r="BO58" s="237"/>
      <c r="BP58" s="235"/>
      <c r="BQ58" s="236"/>
      <c r="BR58" s="236"/>
      <c r="BS58" s="237"/>
      <c r="BT58" s="235"/>
      <c r="BU58" s="236"/>
      <c r="BV58" s="236"/>
      <c r="BW58" s="237"/>
      <c r="BX58" s="235"/>
      <c r="BY58" s="236"/>
      <c r="BZ58" s="236"/>
      <c r="CA58" s="237"/>
      <c r="CB58" s="235"/>
      <c r="CC58" s="236"/>
      <c r="CD58" s="236"/>
      <c r="CE58" s="237"/>
      <c r="CF58" s="235"/>
      <c r="CG58" s="236"/>
      <c r="CH58" s="236"/>
      <c r="CI58" s="237"/>
      <c r="CJ58" s="235"/>
      <c r="CK58" s="236"/>
      <c r="CL58" s="236"/>
      <c r="CM58" s="237"/>
      <c r="CN58" s="235"/>
      <c r="CO58" s="236"/>
      <c r="CP58" s="237"/>
      <c r="CQ58" s="269"/>
      <c r="CR58" s="758" t="s">
        <v>263</v>
      </c>
      <c r="CS58" s="759"/>
      <c r="CT58" s="759"/>
      <c r="CU58" s="759"/>
      <c r="CV58" s="760"/>
      <c r="CW58" s="758" t="s">
        <v>271</v>
      </c>
      <c r="CX58" s="759"/>
      <c r="CY58" s="759"/>
      <c r="CZ58" s="759"/>
      <c r="DA58" s="759"/>
      <c r="DB58" s="760"/>
      <c r="DC58" s="758" t="s">
        <v>272</v>
      </c>
      <c r="DD58" s="759"/>
      <c r="DE58" s="759"/>
      <c r="DF58" s="759"/>
      <c r="DG58" s="759"/>
      <c r="DH58" s="760"/>
      <c r="DI58" s="758" t="s">
        <v>274</v>
      </c>
      <c r="DJ58" s="759"/>
      <c r="DK58" s="759"/>
      <c r="DL58" s="759"/>
      <c r="DM58" s="759"/>
      <c r="DN58" s="760"/>
      <c r="DO58" s="785" t="s">
        <v>275</v>
      </c>
      <c r="DP58" s="786"/>
      <c r="DQ58" s="786"/>
      <c r="DR58" s="786"/>
      <c r="DS58" s="786"/>
      <c r="DT58" s="787"/>
      <c r="DU58" s="264"/>
      <c r="DV58" s="264"/>
      <c r="DW58" s="264"/>
      <c r="DX58" s="264"/>
      <c r="DY58" s="355"/>
      <c r="DZ58" s="357" t="s">
        <v>451</v>
      </c>
      <c r="EA58" s="124" t="s">
        <v>459</v>
      </c>
      <c r="EB58" s="255"/>
      <c r="EC58" s="255"/>
      <c r="ED58" s="145"/>
      <c r="EE58" s="145"/>
      <c r="EF58" s="146"/>
      <c r="EG58" s="254" t="s">
        <v>249</v>
      </c>
      <c r="EH58" s="145"/>
      <c r="EI58" s="145"/>
      <c r="EJ58" s="146"/>
      <c r="EK58" s="779" t="s">
        <v>243</v>
      </c>
      <c r="EL58" s="780"/>
      <c r="EM58" s="780"/>
      <c r="EN58" s="780"/>
      <c r="EO58" s="780"/>
      <c r="EP58" s="780"/>
      <c r="EQ58" s="780"/>
      <c r="ER58" s="780"/>
      <c r="ES58" s="779" t="s">
        <v>253</v>
      </c>
      <c r="ET58" s="780"/>
      <c r="EU58" s="780"/>
      <c r="EV58" s="780"/>
      <c r="EW58" s="780"/>
      <c r="EX58" s="780"/>
      <c r="EY58" s="780"/>
      <c r="EZ58" s="781"/>
      <c r="FA58" s="779" t="s">
        <v>254</v>
      </c>
      <c r="FB58" s="780"/>
      <c r="FC58" s="780"/>
      <c r="FD58" s="780"/>
      <c r="FE58" s="780"/>
      <c r="FF58" s="780"/>
      <c r="FG58" s="780"/>
      <c r="FH58" s="780"/>
      <c r="FI58" s="230"/>
      <c r="FJ58" s="231"/>
      <c r="FK58" s="232"/>
      <c r="FL58" s="283"/>
      <c r="FM58" s="284"/>
      <c r="FN58" s="284"/>
      <c r="FO58" s="285"/>
      <c r="FP58" s="283"/>
      <c r="FQ58" s="284"/>
      <c r="FR58" s="284"/>
      <c r="FS58" s="285"/>
      <c r="FT58" s="283"/>
      <c r="FU58" s="284"/>
      <c r="FV58" s="284"/>
      <c r="FW58" s="285"/>
      <c r="FX58" s="283"/>
      <c r="FY58" s="284"/>
      <c r="FZ58" s="284"/>
      <c r="GA58" s="285"/>
      <c r="GB58" s="283"/>
      <c r="GC58" s="284"/>
      <c r="GD58" s="284"/>
      <c r="GE58" s="285"/>
      <c r="GF58" s="283"/>
      <c r="GG58" s="284"/>
      <c r="GH58" s="284"/>
      <c r="GI58" s="285"/>
      <c r="GJ58" s="283"/>
      <c r="GK58" s="284"/>
      <c r="GL58" s="285"/>
      <c r="GM58" s="254" t="s">
        <v>280</v>
      </c>
      <c r="GN58" s="145"/>
      <c r="GO58" s="145"/>
      <c r="GP58" s="146"/>
      <c r="GQ58" s="254" t="s">
        <v>249</v>
      </c>
      <c r="GR58" s="145"/>
      <c r="GS58" s="145"/>
      <c r="GT58" s="146"/>
      <c r="GU58" s="779" t="s">
        <v>243</v>
      </c>
      <c r="GV58" s="780"/>
      <c r="GW58" s="780"/>
      <c r="GX58" s="780"/>
      <c r="GY58" s="780"/>
      <c r="GZ58" s="780"/>
      <c r="HA58" s="780"/>
      <c r="HB58" s="780"/>
      <c r="HC58" s="779" t="s">
        <v>253</v>
      </c>
      <c r="HD58" s="780"/>
      <c r="HE58" s="780"/>
      <c r="HF58" s="780"/>
      <c r="HG58" s="780"/>
      <c r="HH58" s="780"/>
      <c r="HI58" s="780"/>
      <c r="HJ58" s="781"/>
      <c r="HK58" s="779" t="s">
        <v>254</v>
      </c>
      <c r="HL58" s="780"/>
      <c r="HM58" s="780"/>
      <c r="HN58" s="780"/>
      <c r="HO58" s="780"/>
      <c r="HP58" s="780"/>
      <c r="HQ58" s="780"/>
      <c r="HR58" s="780"/>
      <c r="HS58" s="246"/>
      <c r="HT58" s="247"/>
      <c r="HU58" s="248"/>
      <c r="HV58" s="294"/>
      <c r="HW58" s="295"/>
      <c r="HX58" s="295"/>
      <c r="HY58" s="296"/>
      <c r="HZ58" s="294"/>
      <c r="IA58" s="295"/>
      <c r="IB58" s="295"/>
      <c r="IC58" s="296"/>
      <c r="ID58" s="294"/>
      <c r="IE58" s="295"/>
      <c r="IF58" s="295"/>
      <c r="IG58" s="296"/>
      <c r="IH58" s="294"/>
      <c r="II58" s="295"/>
      <c r="IJ58" s="295"/>
      <c r="IK58" s="296"/>
      <c r="IL58" s="294"/>
      <c r="IM58" s="295"/>
      <c r="IN58" s="295"/>
      <c r="IO58" s="296"/>
      <c r="IP58" s="294"/>
      <c r="IQ58" s="295"/>
      <c r="IR58" s="295"/>
      <c r="IS58" s="296"/>
      <c r="IT58" s="294"/>
      <c r="IU58" s="295"/>
      <c r="IV58" s="296"/>
      <c r="IW58" s="254" t="s">
        <v>292</v>
      </c>
      <c r="IX58" s="255"/>
      <c r="IY58" s="255"/>
      <c r="IZ58" s="260"/>
      <c r="JA58" s="258"/>
      <c r="JB58" s="259"/>
      <c r="JC58" s="258"/>
      <c r="JD58" s="259"/>
    </row>
    <row r="59" spans="1:266" ht="105.75" thickBot="1" x14ac:dyDescent="0.3">
      <c r="A59" s="176" t="s">
        <v>130</v>
      </c>
      <c r="B59" s="177" t="s">
        <v>132</v>
      </c>
      <c r="C59" s="177" t="s">
        <v>131</v>
      </c>
      <c r="D59" s="178" t="s">
        <v>145</v>
      </c>
      <c r="E59" s="178" t="s">
        <v>153</v>
      </c>
      <c r="F59" s="424" t="str">
        <f>Loads!P19</f>
        <v>Lead-Lag Shear [lbs] -
 Vx</v>
      </c>
      <c r="G59" s="178" t="str">
        <f>Loads!M19</f>
        <v>Shear [lbs] -
 OB Edge - Vz</v>
      </c>
      <c r="H59" s="178" t="str">
        <f>Loads!N19</f>
        <v>Moment [ft-lbs] -
 OB Edge - Mx</v>
      </c>
      <c r="I59" s="178" t="str">
        <f>Loads!V19</f>
        <v>Wing Torsion
[ft-lbs] -
 My</v>
      </c>
      <c r="J59" s="179" t="str">
        <f>Loads!Q19</f>
        <v>Lead-Lag Moment
[ft-lbs] -
Mz</v>
      </c>
      <c r="K59" s="163" t="s">
        <v>176</v>
      </c>
      <c r="L59" s="125" t="s">
        <v>173</v>
      </c>
      <c r="M59" s="125" t="s">
        <v>174</v>
      </c>
      <c r="N59" s="125" t="s">
        <v>175</v>
      </c>
      <c r="O59" s="154" t="s">
        <v>156</v>
      </c>
      <c r="P59" s="124" t="s">
        <v>150</v>
      </c>
      <c r="Q59" s="125" t="s">
        <v>151</v>
      </c>
      <c r="R59" s="125" t="s">
        <v>169</v>
      </c>
      <c r="S59" s="125" t="s">
        <v>170</v>
      </c>
      <c r="T59" s="154" t="s">
        <v>172</v>
      </c>
      <c r="U59" s="125" t="s">
        <v>264</v>
      </c>
      <c r="V59" s="125" t="s">
        <v>190</v>
      </c>
      <c r="W59" s="154" t="s">
        <v>163</v>
      </c>
      <c r="X59" s="124" t="s">
        <v>189</v>
      </c>
      <c r="Y59" s="125" t="s">
        <v>162</v>
      </c>
      <c r="Z59" s="125" t="s">
        <v>188</v>
      </c>
      <c r="AA59" s="154" t="s">
        <v>580</v>
      </c>
      <c r="AB59" s="203" t="s">
        <v>159</v>
      </c>
      <c r="AC59" s="203" t="s">
        <v>161</v>
      </c>
      <c r="AD59" s="135" t="s">
        <v>160</v>
      </c>
      <c r="AE59" s="124" t="s">
        <v>192</v>
      </c>
      <c r="AF59" s="125" t="s">
        <v>193</v>
      </c>
      <c r="AG59" s="124" t="s">
        <v>198</v>
      </c>
      <c r="AH59" s="125" t="s">
        <v>217</v>
      </c>
      <c r="AI59" s="125" t="s">
        <v>218</v>
      </c>
      <c r="AJ59" s="154" t="s">
        <v>252</v>
      </c>
      <c r="AK59" s="125" t="s">
        <v>221</v>
      </c>
      <c r="AL59" s="125" t="s">
        <v>238</v>
      </c>
      <c r="AM59" s="125" t="s">
        <v>250</v>
      </c>
      <c r="AN59" s="154" t="s">
        <v>239</v>
      </c>
      <c r="AO59" s="210" t="s">
        <v>240</v>
      </c>
      <c r="AP59" s="213" t="s">
        <v>242</v>
      </c>
      <c r="AQ59" s="213" t="s">
        <v>241</v>
      </c>
      <c r="AR59" s="213" t="s">
        <v>245</v>
      </c>
      <c r="AS59" s="213" t="s">
        <v>246</v>
      </c>
      <c r="AT59" s="213" t="s">
        <v>247</v>
      </c>
      <c r="AU59" s="213" t="s">
        <v>248</v>
      </c>
      <c r="AV59" s="212" t="s">
        <v>231</v>
      </c>
      <c r="AW59" s="210" t="s">
        <v>240</v>
      </c>
      <c r="AX59" s="213" t="s">
        <v>242</v>
      </c>
      <c r="AY59" s="213" t="s">
        <v>241</v>
      </c>
      <c r="AZ59" s="213" t="s">
        <v>245</v>
      </c>
      <c r="BA59" s="213" t="s">
        <v>246</v>
      </c>
      <c r="BB59" s="213" t="s">
        <v>247</v>
      </c>
      <c r="BC59" s="213" t="s">
        <v>248</v>
      </c>
      <c r="BD59" s="212" t="s">
        <v>231</v>
      </c>
      <c r="BE59" s="210" t="s">
        <v>240</v>
      </c>
      <c r="BF59" s="213" t="s">
        <v>242</v>
      </c>
      <c r="BG59" s="213" t="s">
        <v>241</v>
      </c>
      <c r="BH59" s="213" t="s">
        <v>245</v>
      </c>
      <c r="BI59" s="213" t="s">
        <v>246</v>
      </c>
      <c r="BJ59" s="213" t="s">
        <v>247</v>
      </c>
      <c r="BK59" s="213" t="s">
        <v>248</v>
      </c>
      <c r="BL59" s="211" t="s">
        <v>231</v>
      </c>
      <c r="BM59" s="243" t="s">
        <v>297</v>
      </c>
      <c r="BN59" s="239" t="s">
        <v>267</v>
      </c>
      <c r="BO59" s="268" t="s">
        <v>268</v>
      </c>
      <c r="BP59" s="281" t="s">
        <v>299</v>
      </c>
      <c r="BQ59" s="282" t="s">
        <v>300</v>
      </c>
      <c r="BR59" s="282" t="s">
        <v>301</v>
      </c>
      <c r="BS59" s="280" t="s">
        <v>302</v>
      </c>
      <c r="BT59" s="278" t="s">
        <v>303</v>
      </c>
      <c r="BU59" s="239" t="s">
        <v>304</v>
      </c>
      <c r="BV59" s="239" t="s">
        <v>305</v>
      </c>
      <c r="BW59" s="268" t="s">
        <v>306</v>
      </c>
      <c r="BX59" s="281" t="s">
        <v>308</v>
      </c>
      <c r="BY59" s="282" t="s">
        <v>309</v>
      </c>
      <c r="BZ59" s="282" t="s">
        <v>310</v>
      </c>
      <c r="CA59" s="280" t="s">
        <v>311</v>
      </c>
      <c r="CB59" s="278" t="s">
        <v>312</v>
      </c>
      <c r="CC59" s="239" t="s">
        <v>313</v>
      </c>
      <c r="CD59" s="239" t="s">
        <v>314</v>
      </c>
      <c r="CE59" s="268" t="s">
        <v>315</v>
      </c>
      <c r="CF59" s="281" t="s">
        <v>316</v>
      </c>
      <c r="CG59" s="282" t="s">
        <v>317</v>
      </c>
      <c r="CH59" s="282" t="s">
        <v>318</v>
      </c>
      <c r="CI59" s="280" t="s">
        <v>319</v>
      </c>
      <c r="CJ59" s="278" t="s">
        <v>320</v>
      </c>
      <c r="CK59" s="239" t="s">
        <v>321</v>
      </c>
      <c r="CL59" s="239" t="s">
        <v>322</v>
      </c>
      <c r="CM59" s="268" t="s">
        <v>323</v>
      </c>
      <c r="CN59" s="243" t="s">
        <v>307</v>
      </c>
      <c r="CO59" s="239" t="s">
        <v>324</v>
      </c>
      <c r="CP59" s="268" t="s">
        <v>325</v>
      </c>
      <c r="CQ59" s="120" t="s">
        <v>261</v>
      </c>
      <c r="CR59" s="125" t="s">
        <v>279</v>
      </c>
      <c r="CS59" s="125" t="s">
        <v>196</v>
      </c>
      <c r="CT59" s="125" t="s">
        <v>269</v>
      </c>
      <c r="CU59" s="125" t="s">
        <v>197</v>
      </c>
      <c r="CV59" s="125" t="s">
        <v>270</v>
      </c>
      <c r="CW59" s="261" t="s">
        <v>273</v>
      </c>
      <c r="CX59" s="125" t="s">
        <v>278</v>
      </c>
      <c r="CY59" s="125" t="s">
        <v>196</v>
      </c>
      <c r="CZ59" s="125" t="s">
        <v>269</v>
      </c>
      <c r="DA59" s="125" t="s">
        <v>197</v>
      </c>
      <c r="DB59" s="125" t="s">
        <v>270</v>
      </c>
      <c r="DC59" s="261" t="s">
        <v>273</v>
      </c>
      <c r="DD59" s="125" t="s">
        <v>278</v>
      </c>
      <c r="DE59" s="125" t="s">
        <v>196</v>
      </c>
      <c r="DF59" s="125" t="s">
        <v>269</v>
      </c>
      <c r="DG59" s="125" t="s">
        <v>197</v>
      </c>
      <c r="DH59" s="125" t="s">
        <v>270</v>
      </c>
      <c r="DI59" s="261" t="s">
        <v>273</v>
      </c>
      <c r="DJ59" s="125" t="s">
        <v>278</v>
      </c>
      <c r="DK59" s="125" t="s">
        <v>196</v>
      </c>
      <c r="DL59" s="125" t="s">
        <v>269</v>
      </c>
      <c r="DM59" s="125" t="s">
        <v>197</v>
      </c>
      <c r="DN59" s="125" t="s">
        <v>270</v>
      </c>
      <c r="DO59" s="261" t="s">
        <v>273</v>
      </c>
      <c r="DP59" s="125" t="s">
        <v>278</v>
      </c>
      <c r="DQ59" s="292" t="s">
        <v>196</v>
      </c>
      <c r="DR59" s="262" t="s">
        <v>269</v>
      </c>
      <c r="DS59" s="262" t="s">
        <v>197</v>
      </c>
      <c r="DT59" s="263" t="s">
        <v>270</v>
      </c>
      <c r="DU59" s="292" t="s">
        <v>347</v>
      </c>
      <c r="DV59" s="262" t="s">
        <v>349</v>
      </c>
      <c r="DW59" s="262" t="s">
        <v>348</v>
      </c>
      <c r="DX59" s="262" t="s">
        <v>350</v>
      </c>
      <c r="DY59" s="351" t="s">
        <v>445</v>
      </c>
      <c r="DZ59" s="119" t="s">
        <v>191</v>
      </c>
      <c r="EA59" s="124" t="s">
        <v>244</v>
      </c>
      <c r="EB59" s="125" t="s">
        <v>452</v>
      </c>
      <c r="EC59" s="326" t="s">
        <v>453</v>
      </c>
      <c r="ED59" s="125" t="s">
        <v>199</v>
      </c>
      <c r="EE59" s="125" t="s">
        <v>200</v>
      </c>
      <c r="EF59" s="154" t="s">
        <v>201</v>
      </c>
      <c r="EG59" s="125" t="s">
        <v>221</v>
      </c>
      <c r="EH59" s="125" t="s">
        <v>238</v>
      </c>
      <c r="EI59" s="125" t="s">
        <v>250</v>
      </c>
      <c r="EJ59" s="154" t="s">
        <v>239</v>
      </c>
      <c r="EK59" s="210" t="s">
        <v>240</v>
      </c>
      <c r="EL59" s="213" t="s">
        <v>242</v>
      </c>
      <c r="EM59" s="213" t="s">
        <v>241</v>
      </c>
      <c r="EN59" s="213" t="s">
        <v>245</v>
      </c>
      <c r="EO59" s="213" t="s">
        <v>246</v>
      </c>
      <c r="EP59" s="213" t="s">
        <v>247</v>
      </c>
      <c r="EQ59" s="213" t="s">
        <v>248</v>
      </c>
      <c r="ER59" s="211" t="s">
        <v>231</v>
      </c>
      <c r="ES59" s="210" t="s">
        <v>240</v>
      </c>
      <c r="ET59" s="213" t="s">
        <v>242</v>
      </c>
      <c r="EU59" s="213" t="s">
        <v>241</v>
      </c>
      <c r="EV59" s="213" t="s">
        <v>245</v>
      </c>
      <c r="EW59" s="213" t="s">
        <v>246</v>
      </c>
      <c r="EX59" s="213" t="s">
        <v>247</v>
      </c>
      <c r="EY59" s="213" t="s">
        <v>248</v>
      </c>
      <c r="EZ59" s="212" t="s">
        <v>231</v>
      </c>
      <c r="FA59" s="210" t="s">
        <v>240</v>
      </c>
      <c r="FB59" s="213" t="s">
        <v>242</v>
      </c>
      <c r="FC59" s="213" t="s">
        <v>241</v>
      </c>
      <c r="FD59" s="213" t="s">
        <v>245</v>
      </c>
      <c r="FE59" s="213" t="s">
        <v>245</v>
      </c>
      <c r="FF59" s="213" t="s">
        <v>247</v>
      </c>
      <c r="FG59" s="213" t="s">
        <v>248</v>
      </c>
      <c r="FH59" s="211" t="s">
        <v>231</v>
      </c>
      <c r="FI59" s="242" t="s">
        <v>290</v>
      </c>
      <c r="FJ59" s="233" t="s">
        <v>265</v>
      </c>
      <c r="FK59" s="234" t="s">
        <v>266</v>
      </c>
      <c r="FL59" s="286" t="s">
        <v>299</v>
      </c>
      <c r="FM59" s="287" t="s">
        <v>300</v>
      </c>
      <c r="FN59" s="287" t="s">
        <v>301</v>
      </c>
      <c r="FO59" s="288" t="s">
        <v>302</v>
      </c>
      <c r="FP59" s="289" t="s">
        <v>303</v>
      </c>
      <c r="FQ59" s="290" t="s">
        <v>304</v>
      </c>
      <c r="FR59" s="290" t="s">
        <v>305</v>
      </c>
      <c r="FS59" s="291" t="s">
        <v>306</v>
      </c>
      <c r="FT59" s="286" t="s">
        <v>326</v>
      </c>
      <c r="FU59" s="287" t="s">
        <v>327</v>
      </c>
      <c r="FV59" s="287" t="s">
        <v>328</v>
      </c>
      <c r="FW59" s="288" t="s">
        <v>329</v>
      </c>
      <c r="FX59" s="289" t="s">
        <v>330</v>
      </c>
      <c r="FY59" s="290" t="s">
        <v>331</v>
      </c>
      <c r="FZ59" s="290" t="s">
        <v>332</v>
      </c>
      <c r="GA59" s="291" t="s">
        <v>333</v>
      </c>
      <c r="GB59" s="286" t="s">
        <v>334</v>
      </c>
      <c r="GC59" s="287" t="s">
        <v>335</v>
      </c>
      <c r="GD59" s="287" t="s">
        <v>336</v>
      </c>
      <c r="GE59" s="288" t="s">
        <v>337</v>
      </c>
      <c r="GF59" s="289" t="s">
        <v>338</v>
      </c>
      <c r="GG59" s="290" t="s">
        <v>339</v>
      </c>
      <c r="GH59" s="290" t="s">
        <v>340</v>
      </c>
      <c r="GI59" s="291" t="s">
        <v>341</v>
      </c>
      <c r="GJ59" s="289" t="s">
        <v>352</v>
      </c>
      <c r="GK59" s="290" t="s">
        <v>345</v>
      </c>
      <c r="GL59" s="291" t="s">
        <v>344</v>
      </c>
      <c r="GM59" s="124" t="s">
        <v>281</v>
      </c>
      <c r="GN59" s="125" t="s">
        <v>282</v>
      </c>
      <c r="GO59" s="125" t="s">
        <v>200</v>
      </c>
      <c r="GP59" s="154" t="s">
        <v>201</v>
      </c>
      <c r="GQ59" s="124" t="s">
        <v>221</v>
      </c>
      <c r="GR59" s="125" t="s">
        <v>238</v>
      </c>
      <c r="GS59" s="125" t="s">
        <v>250</v>
      </c>
      <c r="GT59" s="154" t="s">
        <v>239</v>
      </c>
      <c r="GU59" s="210" t="s">
        <v>240</v>
      </c>
      <c r="GV59" s="213" t="s">
        <v>242</v>
      </c>
      <c r="GW59" s="213" t="s">
        <v>241</v>
      </c>
      <c r="GX59" s="213" t="s">
        <v>245</v>
      </c>
      <c r="GY59" s="213" t="s">
        <v>246</v>
      </c>
      <c r="GZ59" s="213" t="s">
        <v>247</v>
      </c>
      <c r="HA59" s="213" t="s">
        <v>248</v>
      </c>
      <c r="HB59" s="211" t="s">
        <v>231</v>
      </c>
      <c r="HC59" s="210" t="s">
        <v>240</v>
      </c>
      <c r="HD59" s="213" t="s">
        <v>242</v>
      </c>
      <c r="HE59" s="213" t="s">
        <v>241</v>
      </c>
      <c r="HF59" s="213" t="s">
        <v>245</v>
      </c>
      <c r="HG59" s="213" t="s">
        <v>246</v>
      </c>
      <c r="HH59" s="213" t="s">
        <v>247</v>
      </c>
      <c r="HI59" s="213" t="s">
        <v>248</v>
      </c>
      <c r="HJ59" s="212" t="s">
        <v>231</v>
      </c>
      <c r="HK59" s="210" t="s">
        <v>240</v>
      </c>
      <c r="HL59" s="213" t="s">
        <v>242</v>
      </c>
      <c r="HM59" s="213" t="s">
        <v>241</v>
      </c>
      <c r="HN59" s="213" t="s">
        <v>245</v>
      </c>
      <c r="HO59" s="213" t="s">
        <v>245</v>
      </c>
      <c r="HP59" s="213" t="s">
        <v>247</v>
      </c>
      <c r="HQ59" s="213" t="s">
        <v>248</v>
      </c>
      <c r="HR59" s="211" t="s">
        <v>231</v>
      </c>
      <c r="HS59" s="249" t="s">
        <v>291</v>
      </c>
      <c r="HT59" s="250" t="s">
        <v>284</v>
      </c>
      <c r="HU59" s="251" t="s">
        <v>285</v>
      </c>
      <c r="HV59" s="297" t="s">
        <v>299</v>
      </c>
      <c r="HW59" s="298" t="s">
        <v>300</v>
      </c>
      <c r="HX59" s="298" t="s">
        <v>301</v>
      </c>
      <c r="HY59" s="299" t="s">
        <v>302</v>
      </c>
      <c r="HZ59" s="300" t="s">
        <v>303</v>
      </c>
      <c r="IA59" s="301" t="s">
        <v>304</v>
      </c>
      <c r="IB59" s="301" t="s">
        <v>305</v>
      </c>
      <c r="IC59" s="302" t="s">
        <v>306</v>
      </c>
      <c r="ID59" s="297" t="s">
        <v>326</v>
      </c>
      <c r="IE59" s="298" t="s">
        <v>327</v>
      </c>
      <c r="IF59" s="298" t="s">
        <v>328</v>
      </c>
      <c r="IG59" s="299" t="s">
        <v>329</v>
      </c>
      <c r="IH59" s="300" t="s">
        <v>330</v>
      </c>
      <c r="II59" s="301" t="s">
        <v>331</v>
      </c>
      <c r="IJ59" s="301" t="s">
        <v>332</v>
      </c>
      <c r="IK59" s="302" t="s">
        <v>333</v>
      </c>
      <c r="IL59" s="297" t="s">
        <v>334</v>
      </c>
      <c r="IM59" s="298" t="s">
        <v>335</v>
      </c>
      <c r="IN59" s="298" t="s">
        <v>336</v>
      </c>
      <c r="IO59" s="299" t="s">
        <v>337</v>
      </c>
      <c r="IP59" s="300" t="s">
        <v>338</v>
      </c>
      <c r="IQ59" s="301" t="s">
        <v>339</v>
      </c>
      <c r="IR59" s="301" t="s">
        <v>340</v>
      </c>
      <c r="IS59" s="302" t="s">
        <v>341</v>
      </c>
      <c r="IT59" s="300" t="s">
        <v>353</v>
      </c>
      <c r="IU59" s="301" t="s">
        <v>342</v>
      </c>
      <c r="IV59" s="302" t="s">
        <v>343</v>
      </c>
      <c r="IW59" s="161" t="s">
        <v>585</v>
      </c>
      <c r="IX59" s="252" t="s">
        <v>194</v>
      </c>
      <c r="IY59" s="252" t="s">
        <v>286</v>
      </c>
      <c r="IZ59" s="252" t="s">
        <v>287</v>
      </c>
      <c r="JA59" s="256" t="s">
        <v>589</v>
      </c>
      <c r="JB59" s="257" t="s">
        <v>288</v>
      </c>
      <c r="JC59" s="256" t="s">
        <v>588</v>
      </c>
      <c r="JD59" s="257" t="s">
        <v>351</v>
      </c>
      <c r="JE59" s="136"/>
      <c r="JF59" s="136"/>
    </row>
    <row r="60" spans="1:266" x14ac:dyDescent="0.25">
      <c r="A60" s="180">
        <v>0</v>
      </c>
      <c r="B60" s="181">
        <f>A60/100*'Inputs-Imperial'!$E$5</f>
        <v>0</v>
      </c>
      <c r="C60" s="182">
        <f>'Inputs-Imperial'!$E$10+('Inputs-Imperial'!$E$9-'Inputs-Imperial'!$E$10)*(100-A60)/100</f>
        <v>2.1325460000000001</v>
      </c>
      <c r="D60" s="183">
        <v>0</v>
      </c>
      <c r="E60" s="183">
        <v>0</v>
      </c>
      <c r="F60" s="423">
        <f>Loads!P20</f>
        <v>121.20459691555001</v>
      </c>
      <c r="G60" s="423">
        <f>Loads!M20</f>
        <v>1212.0459691554993</v>
      </c>
      <c r="H60" s="423">
        <f>Loads!N20</f>
        <v>5274.2445856614158</v>
      </c>
      <c r="I60" s="423">
        <f>Loads!V20</f>
        <v>-1144.4473362741128</v>
      </c>
      <c r="J60" s="423">
        <f>Loads!Q20</f>
        <v>527.42445856614165</v>
      </c>
      <c r="K60" s="24">
        <v>0</v>
      </c>
      <c r="L60" s="166">
        <f>B60*12</f>
        <v>0</v>
      </c>
      <c r="M60" s="173">
        <f>C60*12</f>
        <v>25.590552000000002</v>
      </c>
      <c r="N60" s="173">
        <f>D60*12</f>
        <v>0</v>
      </c>
      <c r="O60" s="167">
        <f>E60*12*12</f>
        <v>0</v>
      </c>
      <c r="P60" s="151">
        <f>F60</f>
        <v>121.20459691555001</v>
      </c>
      <c r="Q60" s="12">
        <f>G60</f>
        <v>1212.0459691554993</v>
      </c>
      <c r="R60" s="12">
        <f>ABS(H60*12)</f>
        <v>63290.93502793699</v>
      </c>
      <c r="S60" s="12">
        <f>I60*12</f>
        <v>-13733.368035289353</v>
      </c>
      <c r="T60" s="152">
        <f>J60*12</f>
        <v>6329.0935027936994</v>
      </c>
      <c r="U60" s="130">
        <f t="shared" ref="U60:U91" si="0">M60*$E$17</f>
        <v>4.6062993600000004</v>
      </c>
      <c r="V60" s="130">
        <f t="shared" ref="V60:V91" si="1">M60*$E$17</f>
        <v>4.6062993600000004</v>
      </c>
      <c r="W60" s="133">
        <f t="shared" ref="W60:W91" si="2">M60*$E$19</f>
        <v>2.3031496800000002</v>
      </c>
      <c r="X60" s="311">
        <f t="shared" ref="X60:X91" si="3">M60*$E$18</f>
        <v>6.3976380000000006</v>
      </c>
      <c r="Y60" s="11">
        <f t="shared" ref="Y60:Y91" si="4">M60*$E$20</f>
        <v>19.192914000000002</v>
      </c>
      <c r="Z60" s="11">
        <f t="shared" ref="Z60:Z91" si="5">Y60-X60</f>
        <v>12.795276000000001</v>
      </c>
      <c r="AA60" s="316">
        <f>Y60</f>
        <v>19.192914000000002</v>
      </c>
      <c r="AB60" s="202">
        <f>AVERAGE(W60,V60)</f>
        <v>3.4547245200000001</v>
      </c>
      <c r="AC60" s="173">
        <f>AA60</f>
        <v>19.192914000000002</v>
      </c>
      <c r="AD60" s="167">
        <f>PI()*AB60/2*AC60/2</f>
        <v>52.076791739800356</v>
      </c>
      <c r="AE60" s="151">
        <f t="shared" ref="AE60:AE91" si="6">ABS(P60)/AA60</f>
        <v>6.315070078235645</v>
      </c>
      <c r="AF60" s="12">
        <f>ABS(S60)/2/AD60</f>
        <v>131.85689417953768</v>
      </c>
      <c r="AG60" s="216">
        <f t="shared" ref="AG60:AG91" si="7">((AE60+AF60)/$E$46)</f>
        <v>9.0524517731122786E-3</v>
      </c>
      <c r="AH60" s="2">
        <f>ROUNDUP(AG60/$E$32,0)</f>
        <v>2</v>
      </c>
      <c r="AI60" s="2">
        <f>IF(AH60&lt;$E$40,$E$40,MAX($E$40,ROUNDUP(AH60/2,0)))</f>
        <v>3</v>
      </c>
      <c r="AJ60" s="127">
        <f>IF(AH60&lt;$E$41,$E$41,MAX($E$41,ROUNDUP(AH60/2,0)))</f>
        <v>2</v>
      </c>
      <c r="AK60" s="2">
        <f>MIN(AI60*$E$32,AJ60*$E$32)</f>
        <v>1.5748031496062995E-2</v>
      </c>
      <c r="AL60" s="8">
        <f t="shared" ref="AL60:AL91" si="8">$E$22*(AE60+AF60)/$E$34</f>
        <v>9.5266043559462554E-2</v>
      </c>
      <c r="AM60" s="138">
        <f>IF(ROUNDUP(AL60/$E$42,0)*$E$42&gt;$E$42,ROUNDUP(AL60/$E$42,0)*$E$42,$E$42)</f>
        <v>0.25</v>
      </c>
      <c r="AN60" s="12">
        <f t="shared" ref="AN60:AN91" si="9">$E$22*(AE60+AF60)/(2*AK60)</f>
        <v>7896.5277573317435</v>
      </c>
      <c r="AO60" s="138">
        <f>AM60</f>
        <v>0.25</v>
      </c>
      <c r="AP60" s="116">
        <f>$E$29</f>
        <v>2175570</v>
      </c>
      <c r="AQ60" s="2">
        <f>$AK60</f>
        <v>1.5748031496062995E-2</v>
      </c>
      <c r="AR60" s="8">
        <f>MAX($X60,$Z60)</f>
        <v>12.795276000000001</v>
      </c>
      <c r="AS60" s="116">
        <f>$E$34</f>
        <v>2610.6840000000002</v>
      </c>
      <c r="AT60" s="217">
        <f>(PI()^2)*AO60*AP60*AQ60/(2*AS60*AR60^2)</f>
        <v>9.8890704435361576E-2</v>
      </c>
      <c r="AU60" s="207">
        <f>IF((-50.995*AT60^3+45.565*AT60^2-18.064*AT60+5.2989)&gt;2,(-50.995*AT60^3+45.565*AT60^2-18.064*AT60+5.2989),2)</f>
        <v>3.9088186740657953</v>
      </c>
      <c r="AV60" s="144">
        <f>(PI()^2)*AU60*(AO60^2)*AP60/(4*AR60^2)</f>
        <v>8010.120341178761</v>
      </c>
      <c r="AW60" s="138">
        <f>IF(AV60&gt;AN60,AO60,ROUNDUP(AO60*AN60/AV60/$E$42,0)*$E$42)</f>
        <v>0.25</v>
      </c>
      <c r="AX60" s="116">
        <f>$E$29</f>
        <v>2175570</v>
      </c>
      <c r="AY60" s="2">
        <f>$AK60</f>
        <v>1.5748031496062995E-2</v>
      </c>
      <c r="AZ60" s="8">
        <f>MAX($X60,$Z60)</f>
        <v>12.795276000000001</v>
      </c>
      <c r="BA60" s="116">
        <f>$E$34</f>
        <v>2610.6840000000002</v>
      </c>
      <c r="BB60" s="217">
        <f>(PI()^2)*AW60*AX60*AY60/(2*BA60*AZ60^2)</f>
        <v>9.8890704435361576E-2</v>
      </c>
      <c r="BC60" s="207">
        <f>IF((-50.995*BB60^3+45.565*BB60^2-18.064*BB60+5.2989)&gt;2,(-50.995*BB60^3+45.565*BB60^2-18.064*BB60+5.2989),2)</f>
        <v>3.9088186740657953</v>
      </c>
      <c r="BD60" s="144">
        <f>(PI()^2)*BC60*(AW60^2)*AX60/(4*AZ60^2)</f>
        <v>8010.120341178761</v>
      </c>
      <c r="BE60" s="138">
        <f>IF(BD60&gt;AN60,AW60,ROUNDUP(AW60*AN60/BD60/$E$42,0)*$E$42)</f>
        <v>0.25</v>
      </c>
      <c r="BF60" s="116">
        <f>$E$29</f>
        <v>2175570</v>
      </c>
      <c r="BG60" s="2">
        <f>$AK60</f>
        <v>1.5748031496062995E-2</v>
      </c>
      <c r="BH60" s="8">
        <f>MAX($X60,$Z60)</f>
        <v>12.795276000000001</v>
      </c>
      <c r="BI60" s="116">
        <f>$E$34</f>
        <v>2610.6840000000002</v>
      </c>
      <c r="BJ60" s="217">
        <f>(PI()^2)*BE60*BF60*BG60/(2*BI60*BH60^2)</f>
        <v>9.8890704435361576E-2</v>
      </c>
      <c r="BK60" s="207">
        <f>IF((-50.995*BJ60^3+45.565*BJ60^2-18.064*BJ60+5.2989)&gt;2,(-50.995*BJ60^3+45.565*BJ60^2-18.064*BJ60+5.2989),2)</f>
        <v>3.9088186740657953</v>
      </c>
      <c r="BL60" s="144">
        <f>(PI()^2)*BK60*(BE60^2)*BF60/(4*BH60^2)</f>
        <v>8010.120341178761</v>
      </c>
      <c r="BM60" s="240">
        <f>IF(BL60&gt;AN60,BE60,ROUNDUP(BE60*AN60/BL60/$E$42,0)*$E$42)</f>
        <v>0.25</v>
      </c>
      <c r="BN60" s="240">
        <f>AI60*$E$32</f>
        <v>2.3622047244094495E-2</v>
      </c>
      <c r="BO60" s="241">
        <f>AJ60*$E$32</f>
        <v>1.5748031496062995E-2</v>
      </c>
      <c r="BP60" s="240">
        <f>IF($B60&lt;$E$13*$E$14,$BM60,0)</f>
        <v>0.25</v>
      </c>
      <c r="BQ60" s="279">
        <f>IF($B60&lt;$E$13*$E$15,IF($B60&lt;$E$13*$E$14,0,$BM60),0)</f>
        <v>0</v>
      </c>
      <c r="BR60" s="279">
        <f>IF($B60&lt;$E$13*$E$16,IF($B60&lt;$E$13*$E$15,0,$BM60),0)</f>
        <v>0</v>
      </c>
      <c r="BS60" s="241">
        <f>IF($B60&lt;=$E$13*1,IF($B60&lt;$E$13*$E$16,0,$BM60),0)</f>
        <v>0</v>
      </c>
      <c r="BT60" s="279">
        <f>IF(BP60&gt;0,MAX(BP$60:BP$160),0)</f>
        <v>0.25</v>
      </c>
      <c r="BU60" s="279">
        <f>IF(BQ60&gt;0,MAX(BQ$60:BQ$160),0)</f>
        <v>0</v>
      </c>
      <c r="BV60" s="279">
        <f>IF(BR60&gt;0,MAX(BR$60:BR$160),0)</f>
        <v>0</v>
      </c>
      <c r="BW60" s="241">
        <f>IF(BS60&gt;0,MAX(BS$60:BS$160),0)</f>
        <v>0</v>
      </c>
      <c r="BX60" s="240">
        <f>IF($B60&lt;$E$13*$E$14,$BN60,0)</f>
        <v>2.3622047244094495E-2</v>
      </c>
      <c r="BY60" s="279">
        <f>IF($B60&lt;$E$13*$E$15,IF($B60&lt;$E$13*$E$14,0,$BN60),0)</f>
        <v>0</v>
      </c>
      <c r="BZ60" s="279">
        <f>IF($B60&lt;$E$13*$E$16,IF($B60&lt;$E$13*$E$15,0,$BN60),0)</f>
        <v>0</v>
      </c>
      <c r="CA60" s="241">
        <f>IF($B60&lt;=$E$13*1,IF($B60&lt;$E$13*$E$16,0,$BN60),0)</f>
        <v>0</v>
      </c>
      <c r="CB60" s="279">
        <f>IF(BX60&gt;0,MAX(BX$60:BX$160),0)</f>
        <v>2.3622047244094495E-2</v>
      </c>
      <c r="CC60" s="279">
        <f>IF(BY60&gt;0,MAX(BY$60:BY$160),0)</f>
        <v>0</v>
      </c>
      <c r="CD60" s="279">
        <f>IF(BZ60&gt;0,MAX(BZ$60:BZ$160),0)</f>
        <v>0</v>
      </c>
      <c r="CE60" s="241">
        <f>IF(CA60&gt;0,MAX(CA$60:CA$160),0)</f>
        <v>0</v>
      </c>
      <c r="CF60" s="240">
        <f>IF($B60&lt;$E$13*$E$14,$BO60,0)</f>
        <v>1.5748031496062995E-2</v>
      </c>
      <c r="CG60" s="279">
        <f>IF($B60&lt;$E$13*$E$15,IF($B60&lt;$E$13*$E$14,0,$BO60),0)</f>
        <v>0</v>
      </c>
      <c r="CH60" s="279">
        <f>IF($B60&lt;$E$13*$E$16,IF($B60&lt;$E$13*$E$15,0,$BO60),0)</f>
        <v>0</v>
      </c>
      <c r="CI60" s="241">
        <f>IF($B60&lt;=$E$13*1,IF($B60&lt;$E$13*$E$16,0,$BO60),0)</f>
        <v>0</v>
      </c>
      <c r="CJ60" s="279">
        <f>IF(CF60&gt;0,MAX(CF$60:CF$160),0)</f>
        <v>1.5748031496062995E-2</v>
      </c>
      <c r="CK60" s="279">
        <f>IF(CG60&gt;0,MAX(CG$60:CG$160),0)</f>
        <v>0</v>
      </c>
      <c r="CL60" s="279">
        <f>IF(CH60&gt;0,MAX(CH$60:CH$160),0)</f>
        <v>0</v>
      </c>
      <c r="CM60" s="241">
        <f>IF(CI60&gt;0,MAX(CI$60:CI$160),0)</f>
        <v>0</v>
      </c>
      <c r="CN60" s="293">
        <f>MAX(BT60:BW60)</f>
        <v>0.25</v>
      </c>
      <c r="CO60" s="293">
        <f>MAX(CB60:CE60)</f>
        <v>2.3622047244094495E-2</v>
      </c>
      <c r="CP60" s="293">
        <f>MAX(CJ60:CM60)</f>
        <v>1.5748031496062995E-2</v>
      </c>
      <c r="CQ60" s="17">
        <f>$U60-IF('Inputs-Imperial'!$E$13,0,2)*($CO60+$CN60+$CP60)</f>
        <v>4.6062993600000004</v>
      </c>
      <c r="CR60" s="116">
        <f>$R60/CQ60</f>
        <v>13740.082891168624</v>
      </c>
      <c r="CS60" s="8">
        <f t="shared" ref="CS60:CS123" si="10">CR60/($E$23/$E$21)</f>
        <v>0.35525387030903854</v>
      </c>
      <c r="CT60" s="8">
        <f>SQRT(CS60)</f>
        <v>0.59603176954675707</v>
      </c>
      <c r="CU60" s="8">
        <f t="shared" ref="CU60:CU91" si="11">CR60/($E$24/$E$21)</f>
        <v>0.35525387030903854</v>
      </c>
      <c r="CV60" s="8">
        <f>SQRT(CU60)</f>
        <v>0.59603176954675707</v>
      </c>
      <c r="CW60" s="216">
        <f>$CQ60-CT60/2-CV60/2</f>
        <v>4.0102675904532434</v>
      </c>
      <c r="CX60" s="116">
        <f>$R60/CW60</f>
        <v>15782.222407952533</v>
      </c>
      <c r="CY60" s="8">
        <f>CX60/($E$23/$E$21)</f>
        <v>0.40805398605759868</v>
      </c>
      <c r="CZ60" s="8">
        <f>SQRT(CY60)</f>
        <v>0.63879103473483301</v>
      </c>
      <c r="DA60" s="8">
        <f>CX60/($E$24/$E$21)</f>
        <v>0.40805398605759868</v>
      </c>
      <c r="DB60" s="8">
        <f>SQRT(DA60)</f>
        <v>0.63879103473483301</v>
      </c>
      <c r="DC60" s="216">
        <f>$CQ60-CZ60/2-DB60/2</f>
        <v>3.9675083252651673</v>
      </c>
      <c r="DD60" s="116">
        <f>$R60/DC60</f>
        <v>15952.313099105333</v>
      </c>
      <c r="DE60" s="8">
        <f>DD60/($E$23/$E$21)</f>
        <v>0.41245173073018793</v>
      </c>
      <c r="DF60" s="8">
        <f>SQRT(DE60)</f>
        <v>0.64222405025830975</v>
      </c>
      <c r="DG60" s="8">
        <f>DD60/($E$24/$E$21)</f>
        <v>0.41245173073018793</v>
      </c>
      <c r="DH60" s="8">
        <f>SQRT(DG60)</f>
        <v>0.64222405025830975</v>
      </c>
      <c r="DI60" s="216">
        <f>$CQ60-DF60/2-DH60/2</f>
        <v>3.9640753097416903</v>
      </c>
      <c r="DJ60" s="116">
        <f>$R60/DI60</f>
        <v>15966.128310529297</v>
      </c>
      <c r="DK60" s="8">
        <f>DJ60/($E$23/$E$21)</f>
        <v>0.41280892707073219</v>
      </c>
      <c r="DL60" s="8">
        <f>SQRT(DK60)</f>
        <v>0.64250208332014935</v>
      </c>
      <c r="DM60" s="8">
        <f>DJ60/($E$24/$E$21)</f>
        <v>0.41280892707073219</v>
      </c>
      <c r="DN60" s="8">
        <f>SQRT(DM60)</f>
        <v>0.64250208332014935</v>
      </c>
      <c r="DO60" s="216">
        <f>$CQ60-DL60/2-DN60/2</f>
        <v>3.963797276679851</v>
      </c>
      <c r="DP60" s="116">
        <f>$R60/DO60</f>
        <v>15967.248224397246</v>
      </c>
      <c r="DQ60" s="170">
        <f>DP60/($E$23/$E$21)</f>
        <v>0.41283788277202987</v>
      </c>
      <c r="DR60" s="8">
        <f>SQRT(DQ60)</f>
        <v>0.64252461647164139</v>
      </c>
      <c r="DS60" s="8">
        <f>DP60/($E$24/$E$21)</f>
        <v>0.41283788277202987</v>
      </c>
      <c r="DT60" s="134">
        <f>SQRT(DS60)</f>
        <v>0.64252461647164139</v>
      </c>
      <c r="DU60" s="202">
        <f>MAX(DQ$60:DQ$69)</f>
        <v>0.41283788277202987</v>
      </c>
      <c r="DV60" s="202">
        <f>MAX(DR$60:DR$69)</f>
        <v>0.64252461647164139</v>
      </c>
      <c r="DW60" s="202">
        <f>MAX(DS$60:DS$69)</f>
        <v>0.41283788277202987</v>
      </c>
      <c r="DX60" s="195">
        <f>MAX(DT$60:DT$69)</f>
        <v>0.64252461647164139</v>
      </c>
      <c r="DY60" s="272">
        <f>CQ60-DV60-DX60</f>
        <v>3.3212501270567172</v>
      </c>
      <c r="DZ60" s="22">
        <f t="shared" ref="DZ60:DZ91" si="12">ABS(Q60)/CQ60</f>
        <v>263.12791992648499</v>
      </c>
      <c r="EA60" s="216">
        <f t="shared" ref="EA60:EA91" si="13">(DZ60/$E$46)</f>
        <v>1.7239045692728872E-2</v>
      </c>
      <c r="EB60" s="12">
        <f>ROUNDUP(EA60/$E$32,0)</f>
        <v>3</v>
      </c>
      <c r="EC60" s="7">
        <f>ROUND(MAX(DV60,DX60)/'Inputs-Imperial'!$E$21,0)</f>
        <v>5</v>
      </c>
      <c r="ED60" s="12">
        <f>MAX(EB60:EC60)</f>
        <v>5</v>
      </c>
      <c r="EE60" s="2">
        <f>IF(ED60&lt;$E$41,$E$41,MAX($E$41,ROUNDUP(ED60/2,0)))</f>
        <v>3</v>
      </c>
      <c r="EF60" s="127">
        <f>IF(ED60&lt;$E$41,$E$41,MAX($E$41,ROUNDUP(ED60/2,0)))</f>
        <v>3</v>
      </c>
      <c r="EG60" s="2">
        <f>MIN(EE60*$E$32,EF60*$E$32)</f>
        <v>2.3622047244094495E-2</v>
      </c>
      <c r="EH60" s="8">
        <f t="shared" ref="EH60:EH91" si="14">$E$22*DZ60/$E$34</f>
        <v>0.18141998643561341</v>
      </c>
      <c r="EI60" s="138">
        <f>IF(ROUNDUP(EH60/$E$42,0)*$E$42&gt;$E$42,ROUNDUP(EH60/$E$42,0)*$E$42,$E$42)</f>
        <v>0.25</v>
      </c>
      <c r="EJ60" s="12">
        <f t="shared" ref="EJ60:EJ91" si="15">$E$22*DZ60/(2*EG60)</f>
        <v>10025.173749199075</v>
      </c>
      <c r="EK60" s="138">
        <f>EI60</f>
        <v>0.25</v>
      </c>
      <c r="EL60" s="116">
        <f>$E$29</f>
        <v>2175570</v>
      </c>
      <c r="EM60" s="2">
        <f t="shared" ref="EM60:EM91" si="16">$EG60</f>
        <v>2.3622047244094495E-2</v>
      </c>
      <c r="EN60" s="8">
        <f>$U60</f>
        <v>4.6062993600000004</v>
      </c>
      <c r="EO60" s="116">
        <f>$E$34</f>
        <v>2610.6840000000002</v>
      </c>
      <c r="EP60" s="217">
        <f>(PI()^2)*EK60*EL60*EM60/(2*EO60*EN60^2)</f>
        <v>1.1445683383722403</v>
      </c>
      <c r="EQ60" s="207">
        <f>IF((-50.995*EP60^3+45.565*EP60^2-18.064*EP60+5.2989)&gt;2,(-50.995*EP60^3+45.565*EP60^2-18.064*EP60+5.2989),2)</f>
        <v>2</v>
      </c>
      <c r="ER60" s="144">
        <f>(PI()^2)*EQ60*(EK60^2)*EL60/(4*EN60^2)</f>
        <v>31624.124456888683</v>
      </c>
      <c r="ES60" s="138">
        <f t="shared" ref="ES60:ES91" si="17">IF(ER60&gt;$EJ60,EK60,ROUNDUP(EK60*$EJ60/ER60/$E$42,0)*$E$42)</f>
        <v>0.25</v>
      </c>
      <c r="ET60" s="116">
        <f>$E$29</f>
        <v>2175570</v>
      </c>
      <c r="EU60" s="2">
        <f t="shared" ref="EU60:EU91" si="18">$EG60</f>
        <v>2.3622047244094495E-2</v>
      </c>
      <c r="EV60" s="8">
        <f>$U60</f>
        <v>4.6062993600000004</v>
      </c>
      <c r="EW60" s="116">
        <f>$E$34</f>
        <v>2610.6840000000002</v>
      </c>
      <c r="EX60" s="217">
        <f>(PI()^2)*ES60*ET60*EU60/(2*EW60*EV60^2)</f>
        <v>1.1445683383722403</v>
      </c>
      <c r="EY60" s="207">
        <f>IF((-50.995*EX60^3+45.565*EX60^2-18.064*EX60+5.2989)&gt;2,(-50.995*EX60^3+45.565*EX60^2-18.064*EX60+5.2989),2)</f>
        <v>2</v>
      </c>
      <c r="EZ60" s="144">
        <f>(PI()^2)*EY60*(ES60^2)*ET60/(4*EV60^2)</f>
        <v>31624.124456888683</v>
      </c>
      <c r="FA60" s="138">
        <f t="shared" ref="FA60:FA91" si="19">IF(EZ60&gt;$EJ60,ES60,ROUNDUP(ES60*$EJ60/EZ60/$E$42,0)*$E$42)</f>
        <v>0.25</v>
      </c>
      <c r="FB60" s="116">
        <f>$E$29</f>
        <v>2175570</v>
      </c>
      <c r="FC60" s="2">
        <f t="shared" ref="FC60:FC91" si="20">$EG60</f>
        <v>2.3622047244094495E-2</v>
      </c>
      <c r="FD60" s="8">
        <f>$U60</f>
        <v>4.6062993600000004</v>
      </c>
      <c r="FE60" s="116">
        <f>$E$34</f>
        <v>2610.6840000000002</v>
      </c>
      <c r="FF60" s="217">
        <f>(PI()^2)*FA60*FB60*FC60/(2*FE60*FD60^2)</f>
        <v>1.1445683383722403</v>
      </c>
      <c r="FG60" s="207">
        <f>IF((-50.995*FF60^3+45.565*FF60^2-18.064*FF60+5.2989)&gt;2,(-50.995*FF60^3+45.565*FF60^2-18.064*FF60+5.2989),2)</f>
        <v>2</v>
      </c>
      <c r="FH60" s="144">
        <f>(PI()^2)*FG60*(FA60^2)*FB60/(4*FD60^2)</f>
        <v>31624.124456888683</v>
      </c>
      <c r="FI60" s="128">
        <f>IF(FH60&gt;EJ60,FA60,ROUNDUP(FA60*(EJ60/FH60)/$E$42,0)*$E$42)</f>
        <v>0.25</v>
      </c>
      <c r="FJ60" s="2">
        <f>EE60*$E$32</f>
        <v>2.3622047244094495E-2</v>
      </c>
      <c r="FK60" s="127">
        <f>EF60*$E$32</f>
        <v>2.3622047244094495E-2</v>
      </c>
      <c r="FL60" s="240">
        <f>IF($B60&lt;$E$13*$E$14,$FI60,0)</f>
        <v>0.25</v>
      </c>
      <c r="FM60" s="279">
        <f>IF($B60&lt;$E$13*$E$15,IF($B60&lt;$E$13*$E$14,0,$FI60),0)</f>
        <v>0</v>
      </c>
      <c r="FN60" s="279">
        <f>IF($B60&lt;$E$13*$E$16,IF($B60&lt;$E$13*$E$15,0,$FI60),0)</f>
        <v>0</v>
      </c>
      <c r="FO60" s="241">
        <f>IF($B60&lt;=$E$13*1,IF($B60&lt;$E$13*$E$16,0,$FI60),0)</f>
        <v>0</v>
      </c>
      <c r="FP60" s="240">
        <f t="shared" ref="FP60:FP91" si="21">IF(FL60&gt;0,MAX(FL$60:FL$160),0)</f>
        <v>0.25</v>
      </c>
      <c r="FQ60" s="279">
        <f t="shared" ref="FQ60:FQ91" si="22">IF(FM60&gt;0,MAX(FM$60:FM$160),0)</f>
        <v>0</v>
      </c>
      <c r="FR60" s="279">
        <f t="shared" ref="FR60:FR91" si="23">IF(FN60&gt;0,MAX(FN$60:FN$160),0)</f>
        <v>0</v>
      </c>
      <c r="FS60" s="241">
        <f t="shared" ref="FS60:FS91" si="24">IF(FO60&gt;0,MAX(FO$60:FO$160),0)</f>
        <v>0</v>
      </c>
      <c r="FT60" s="240">
        <f>IF($B60&lt;$E$13*$E$14,$FJ60,0)</f>
        <v>2.3622047244094495E-2</v>
      </c>
      <c r="FU60" s="279">
        <f>IF($B60&lt;$E$13*$E$15,IF($B60&lt;$E$13*$E$14,0,$FJ60),0)</f>
        <v>0</v>
      </c>
      <c r="FV60" s="279">
        <f>IF($B60&lt;$E$13*$E$16,IF($B60&lt;$E$13*$E$15,0,$FJ60),0)</f>
        <v>0</v>
      </c>
      <c r="FW60" s="241">
        <f>IF($B60&lt;=$E$13*1,IF($B60&lt;$E$13*$E$16,0,$FJ60),0)</f>
        <v>0</v>
      </c>
      <c r="FX60" s="240">
        <f t="shared" ref="FX60:FX91" si="25">IF(FT60&gt;0,MAX(FT$60:FT$160),0)</f>
        <v>2.3622047244094495E-2</v>
      </c>
      <c r="FY60" s="279">
        <f t="shared" ref="FY60:FY91" si="26">IF(FU60&gt;0,MAX(FU$60:FU$160),0)</f>
        <v>0</v>
      </c>
      <c r="FZ60" s="279">
        <f t="shared" ref="FZ60:FZ91" si="27">IF(FV60&gt;0,MAX(FV$60:FV$160),0)</f>
        <v>0</v>
      </c>
      <c r="GA60" s="241">
        <f t="shared" ref="GA60:GA91" si="28">IF(FW60&gt;0,MAX(FW$60:FW$160),0)</f>
        <v>0</v>
      </c>
      <c r="GB60" s="240">
        <f>IF($B60&lt;$E$13*$E$14,$FK60,0)</f>
        <v>2.3622047244094495E-2</v>
      </c>
      <c r="GC60" s="279">
        <f>IF($B60&lt;$E$13*$E$15,IF($B60&lt;$E$13*$E$14,0,$FK60),0)</f>
        <v>0</v>
      </c>
      <c r="GD60" s="279">
        <f>IF($B60&lt;$E$13*$E$16,IF($B60&lt;$E$13*$E$15,0,$FK60),0)</f>
        <v>0</v>
      </c>
      <c r="GE60" s="241">
        <f>IF($B60&lt;=$E$13*1,IF($B60&lt;$E$13*$E$16,0,$FK60),0)</f>
        <v>0</v>
      </c>
      <c r="GF60" s="240">
        <f t="shared" ref="GF60:GF91" si="29">IF(GB60&gt;0,MAX(GB$60:GB$160),0)</f>
        <v>2.3622047244094495E-2</v>
      </c>
      <c r="GG60" s="279">
        <f t="shared" ref="GG60:GG91" si="30">IF(GC60&gt;0,MAX(GC$60:GC$160),0)</f>
        <v>0</v>
      </c>
      <c r="GH60" s="279">
        <f t="shared" ref="GH60:GH91" si="31">IF(GD60&gt;0,MAX(GD$60:GD$160),0)</f>
        <v>0</v>
      </c>
      <c r="GI60" s="241">
        <f t="shared" ref="GI60:GI91" si="32">IF(GE60&gt;0,MAX(GE$60:GE$160),0)</f>
        <v>0</v>
      </c>
      <c r="GJ60" s="240">
        <f>MAX(FP60:FS60)</f>
        <v>0.25</v>
      </c>
      <c r="GK60" s="240">
        <f>MAX(FX60:GA60)</f>
        <v>2.3622047244094495E-2</v>
      </c>
      <c r="GL60" s="293">
        <f>MAX(GF60:GI60)</f>
        <v>2.3622047244094495E-2</v>
      </c>
      <c r="GM60" s="216">
        <f>(AF60/$E$46)</f>
        <v>8.6387146764867855E-3</v>
      </c>
      <c r="GN60" s="2">
        <f>ROUNDUP(GM60/$E$32,0)</f>
        <v>2</v>
      </c>
      <c r="GO60" s="2">
        <f>IF(GN60&lt;$E$41,$E$41,MAX($E$41,ROUNDUP(GN60/2,0)))</f>
        <v>2</v>
      </c>
      <c r="GP60" s="142">
        <f>IF(GN60&lt;$E$41,$E$41,MAX($E$41,ROUNDUP(GN60/2,0)))</f>
        <v>2</v>
      </c>
      <c r="GQ60" s="2">
        <f>MIN(GO60*$E$32,GP60*$E$32)</f>
        <v>1.5748031496062995E-2</v>
      </c>
      <c r="GR60" s="8">
        <f t="shared" ref="GR60:GR91" si="33">$E$22*AF60/$E$34</f>
        <v>9.0911963885007843E-2</v>
      </c>
      <c r="GS60" s="138">
        <f>IF(ROUNDUP(GR60/$E$42,0)*$E$42&gt;$E$42,ROUNDUP(GR60/$E$42,0)*$E$42,$E$42)</f>
        <v>0.25</v>
      </c>
      <c r="GT60" s="12">
        <f t="shared" ref="GT60:GT91" si="34">$E$22*AF60/(2*GQ60)</f>
        <v>7535.6215023605764</v>
      </c>
      <c r="GU60" s="138">
        <f>GS60</f>
        <v>0.25</v>
      </c>
      <c r="GV60" s="116">
        <f>$E$29</f>
        <v>2175570</v>
      </c>
      <c r="GW60" s="2">
        <f t="shared" ref="GW60:GW91" si="35">$EG60</f>
        <v>2.3622047244094495E-2</v>
      </c>
      <c r="GX60" s="8">
        <f t="shared" ref="GX60:GX91" si="36">W60</f>
        <v>2.3031496800000002</v>
      </c>
      <c r="GY60" s="116">
        <f>$E$34</f>
        <v>2610.6840000000002</v>
      </c>
      <c r="GZ60" s="217">
        <f>(PI()^2)*GU60*GV60*GW60/(2*GY60*GX60^2)</f>
        <v>4.578273353488961</v>
      </c>
      <c r="HA60" s="207">
        <f>IF((-50.995*GZ60^3+45.565*GZ60^2-18.064*GZ60+5.2989)&gt;2,(-50.995*GZ60^3+45.565*GZ60^2-18.064*GZ60+5.2989),2)</f>
        <v>2</v>
      </c>
      <c r="HB60" s="144">
        <f>(PI()^2)*HA60*(GU60^2)*GV60/(4*GX60^2)</f>
        <v>126496.49782755473</v>
      </c>
      <c r="HC60" s="138">
        <f t="shared" ref="HC60:HC91" si="37">IF(HB60&gt;$GT60,GU60,ROUNDUP(GU60*$GT60/HB60/$E$42,0)*$E$42)</f>
        <v>0.25</v>
      </c>
      <c r="HD60" s="116">
        <f>$E$29</f>
        <v>2175570</v>
      </c>
      <c r="HE60" s="2">
        <f t="shared" ref="HE60:HE91" si="38">$EG60</f>
        <v>2.3622047244094495E-2</v>
      </c>
      <c r="HF60" s="8">
        <f>GX60</f>
        <v>2.3031496800000002</v>
      </c>
      <c r="HG60" s="116">
        <f>$E$34</f>
        <v>2610.6840000000002</v>
      </c>
      <c r="HH60" s="217">
        <f>(PI()^2)*HC60*HD60*HE60/(2*HG60*HF60^2)</f>
        <v>4.578273353488961</v>
      </c>
      <c r="HI60" s="207">
        <f>IF((-50.995*HH60^3+45.565*HH60^2-18.064*HH60+5.2989)&gt;2,(-50.995*HH60^3+45.565*HH60^2-18.064*HH60+5.2989),2)</f>
        <v>2</v>
      </c>
      <c r="HJ60" s="144">
        <f>(PI()^2)*HI60*(HC60^2)*HD60/(4*HF60^2)</f>
        <v>126496.49782755473</v>
      </c>
      <c r="HK60" s="138">
        <f t="shared" ref="HK60:HK91" si="39">IF(HJ60&gt;$GT60,HC60,ROUNDUP(HC60*$GT60/HJ60/$E$42,0)*$E$42)</f>
        <v>0.25</v>
      </c>
      <c r="HL60" s="116">
        <f>$E$29</f>
        <v>2175570</v>
      </c>
      <c r="HM60" s="2">
        <f t="shared" ref="HM60:HM91" si="40">$EG60</f>
        <v>2.3622047244094495E-2</v>
      </c>
      <c r="HN60" s="8">
        <f>GX60</f>
        <v>2.3031496800000002</v>
      </c>
      <c r="HO60" s="116">
        <f>$E$34</f>
        <v>2610.6840000000002</v>
      </c>
      <c r="HP60" s="217">
        <f>(PI()^2)*HK60*HL60*HM60/(2*HO60*HN60^2)</f>
        <v>4.578273353488961</v>
      </c>
      <c r="HQ60" s="207">
        <f>IF((-50.995*HP60^3+45.565*HP60^2-18.064*HP60+5.2989)&gt;2,(-50.995*HP60^3+45.565*HP60^2-18.064*HP60+5.2989),2)</f>
        <v>2</v>
      </c>
      <c r="HR60" s="144">
        <f>(PI()^2)*HQ60*(HK60^2)*HL60/(4*HN60^2)</f>
        <v>126496.49782755473</v>
      </c>
      <c r="HS60" s="128">
        <f>IF(HR60&gt;GT60,HK60,ROUNDUP(HK60*(GT60/HR60)/$E$42,0)*$E$42)</f>
        <v>0.25</v>
      </c>
      <c r="HT60" s="2">
        <f>GO60*$E$32</f>
        <v>1.5748031496062995E-2</v>
      </c>
      <c r="HU60" s="127">
        <f>GP60*$E$32</f>
        <v>1.5748031496062995E-2</v>
      </c>
      <c r="HV60" s="240">
        <f>IF($B60&lt;$E$13*$E$14,$HS60,0)</f>
        <v>0.25</v>
      </c>
      <c r="HW60" s="279">
        <f>IF($B60&lt;$E$13*$E$15,IF($B60&lt;$E$13*$E$14,0,$HS60),0)</f>
        <v>0</v>
      </c>
      <c r="HX60" s="279">
        <f>IF($B60&lt;$E$13*$E$16,IF($B60&lt;$E$13*$E$15,0,$HS60),0)</f>
        <v>0</v>
      </c>
      <c r="HY60" s="241">
        <f>IF($B60&lt;=$E$13*1,IF($B60&lt;$E$13*$E$16,0,$HS60),0)</f>
        <v>0</v>
      </c>
      <c r="HZ60" s="279">
        <f>IF(HV60&gt;0,MAX(HV$60:HV$160),0)</f>
        <v>0.25</v>
      </c>
      <c r="IA60" s="279">
        <f>IF(HW60&gt;0,MAX(HW$60:HW$160),0)</f>
        <v>0</v>
      </c>
      <c r="IB60" s="279">
        <f>IF(HX60&gt;0,MAX(HX$60:HX$160),0)</f>
        <v>0</v>
      </c>
      <c r="IC60" s="279">
        <f>IF(HY60&gt;0,MAX(HY$60:HY$160),0)</f>
        <v>0</v>
      </c>
      <c r="ID60" s="240">
        <f>IF($B60&lt;$E$13*$E$14,$HT60,0)</f>
        <v>1.5748031496062995E-2</v>
      </c>
      <c r="IE60" s="279">
        <f>IF($B60&lt;$E$13*$E$15,IF($B60&lt;$E$13*$E$14,0,$HT60),0)</f>
        <v>0</v>
      </c>
      <c r="IF60" s="279">
        <f>IF($B60&lt;$E$13*$E$16,IF($B60&lt;$E$13*$E$15,0,$HT60),0)</f>
        <v>0</v>
      </c>
      <c r="IG60" s="241">
        <f>IF($B60&lt;=$E$13*1,IF($B60&lt;$E$13*$E$16,0,$HT60),0)</f>
        <v>0</v>
      </c>
      <c r="IH60" s="279">
        <f>IF(ID60&gt;0,MAX(ID$60:ID$160),0)</f>
        <v>1.5748031496062995E-2</v>
      </c>
      <c r="II60" s="279">
        <f>IF(IE60&gt;0,MAX(IE$60:IE$160),0)</f>
        <v>0</v>
      </c>
      <c r="IJ60" s="279">
        <f>IF(IF60&gt;0,MAX(IF$60:IF$160),0)</f>
        <v>0</v>
      </c>
      <c r="IK60" s="279">
        <f>IF(IG60&gt;0,MAX(IG$60:IG$160),0)</f>
        <v>0</v>
      </c>
      <c r="IL60" s="240">
        <f>IF($B60&lt;$E$13*$E$14,$HU60,0)</f>
        <v>1.5748031496062995E-2</v>
      </c>
      <c r="IM60" s="279">
        <f>IF($B60&lt;$E$13*$E$15,IF($B60&lt;$E$13*$E$14,0,$HU60),0)</f>
        <v>0</v>
      </c>
      <c r="IN60" s="279">
        <f>IF($B60&lt;$E$13*$E$16,IF($B60&lt;$E$13*$E$15,0,$HU60),0)</f>
        <v>0</v>
      </c>
      <c r="IO60" s="241">
        <f>IF($B60&lt;=$E$13*1,IF($B60&lt;$E$13*$E$16,0,$HU60),0)</f>
        <v>0</v>
      </c>
      <c r="IP60" s="279">
        <f>IF(IL60&gt;0,MAX(IL$60:IL$160),0)</f>
        <v>1.5748031496062995E-2</v>
      </c>
      <c r="IQ60" s="279">
        <f>IF(IM60&gt;0,MAX(IM$60:IM$160),0)</f>
        <v>0</v>
      </c>
      <c r="IR60" s="279">
        <f>IF(IN60&gt;0,MAX(IN$60:IN$160),0)</f>
        <v>0</v>
      </c>
      <c r="IS60" s="279">
        <f>IF(IO60&gt;0,MAX(IO$60:IO$160),0)</f>
        <v>0</v>
      </c>
      <c r="IT60" s="293">
        <f>MAX(HZ60:IC60)</f>
        <v>0.25</v>
      </c>
      <c r="IU60" s="293">
        <f>MAX(IH60:IK60)</f>
        <v>1.5748031496062995E-2</v>
      </c>
      <c r="IV60" s="293">
        <f>MAX(IP60:IS60)</f>
        <v>1.5748031496062995E-2</v>
      </c>
      <c r="IW60" s="253">
        <f>Z60</f>
        <v>12.795276000000001</v>
      </c>
      <c r="IX60" s="116">
        <f>$T60/IW60</f>
        <v>494.64298408207048</v>
      </c>
      <c r="IY60" s="8">
        <f>IX60/($E$23/$E$21)</f>
        <v>1.2789139331125389E-2</v>
      </c>
      <c r="IZ60" s="8">
        <f>IX60/($E$24/$E$21)</f>
        <v>1.2789139331125389E-2</v>
      </c>
      <c r="JA60" s="8">
        <f>MAX(IY60:IZ60)/2</f>
        <v>6.3945696655626945E-3</v>
      </c>
      <c r="JB60" s="134">
        <f>SQRT(JA60)</f>
        <v>7.9966053207362275E-2</v>
      </c>
      <c r="JC60" s="202">
        <f>MAX(JA$60:JA$69)</f>
        <v>6.3945696655626945E-3</v>
      </c>
      <c r="JD60" s="195">
        <f>MAX(JB$60:JB$69)</f>
        <v>7.9966053207362275E-2</v>
      </c>
      <c r="JE60" s="8"/>
      <c r="JF60" s="8"/>
    </row>
    <row r="61" spans="1:266" x14ac:dyDescent="0.25">
      <c r="A61" s="186">
        <v>1</v>
      </c>
      <c r="B61" s="187">
        <f>A61/100*'Inputs-Imperial'!$E$5</f>
        <v>9.8425200000000004E-2</v>
      </c>
      <c r="C61" s="188">
        <f>'Inputs-Imperial'!$E$10+('Inputs-Imperial'!$E$9-'Inputs-Imperial'!$E$10)*(100-A61)/100</f>
        <v>2.1227034800000002</v>
      </c>
      <c r="D61" s="187">
        <f>B61-B60</f>
        <v>9.8425200000000004E-2</v>
      </c>
      <c r="E61" s="188">
        <f>D61*AVERAGE(C60:C61)</f>
        <v>0.20941189055944801</v>
      </c>
      <c r="F61" s="423">
        <f>Loads!P21</f>
        <v>119.6467004745565</v>
      </c>
      <c r="G61" s="423">
        <f>Loads!M21</f>
        <v>1196.4670047455641</v>
      </c>
      <c r="H61" s="423">
        <f>Loads!N21</f>
        <v>5154.9487187380919</v>
      </c>
      <c r="I61" s="423">
        <f>Loads!V21</f>
        <v>-1126.4054492731311</v>
      </c>
      <c r="J61" s="423">
        <f>Loads!Q21</f>
        <v>515.4948718738093</v>
      </c>
      <c r="K61" s="2">
        <v>1</v>
      </c>
      <c r="L61" s="12">
        <f t="shared" ref="L61:L124" si="41">B61*12</f>
        <v>1.1811024000000001</v>
      </c>
      <c r="M61" s="11">
        <f t="shared" ref="M61:M124" si="42">C61*12</f>
        <v>25.472441760000002</v>
      </c>
      <c r="N61" s="11">
        <f t="shared" ref="N61:N124" si="43">D61*12</f>
        <v>1.1811024000000001</v>
      </c>
      <c r="O61" s="152">
        <f t="shared" ref="O61:O124" si="44">E61*12*12</f>
        <v>30.155312240560512</v>
      </c>
      <c r="P61" s="151">
        <f t="shared" ref="P61:P124" si="45">F61</f>
        <v>119.6467004745565</v>
      </c>
      <c r="Q61" s="12">
        <f t="shared" ref="Q61:Q124" si="46">G61</f>
        <v>1196.4670047455641</v>
      </c>
      <c r="R61" s="12">
        <f t="shared" ref="R61:R124" si="47">ABS(H61*12)</f>
        <v>61859.384624857106</v>
      </c>
      <c r="S61" s="12">
        <f t="shared" ref="S61:S124" si="48">I61*12</f>
        <v>-13516.865391277574</v>
      </c>
      <c r="T61" s="152">
        <f t="shared" ref="T61:T124" si="49">J61*12</f>
        <v>6185.9384624857121</v>
      </c>
      <c r="U61" s="8">
        <f t="shared" si="0"/>
        <v>4.5850395168000002</v>
      </c>
      <c r="V61" s="8">
        <f t="shared" si="1"/>
        <v>4.5850395168000002</v>
      </c>
      <c r="W61" s="134">
        <f t="shared" si="2"/>
        <v>2.2925197584000001</v>
      </c>
      <c r="X61" s="311">
        <f t="shared" si="3"/>
        <v>6.3681104400000006</v>
      </c>
      <c r="Y61" s="11">
        <f t="shared" si="4"/>
        <v>19.10433132</v>
      </c>
      <c r="Z61" s="11">
        <f t="shared" si="5"/>
        <v>12.736220879999999</v>
      </c>
      <c r="AA61" s="316">
        <f t="shared" ref="AA61:AA124" si="50">Y61</f>
        <v>19.10433132</v>
      </c>
      <c r="AB61" s="170">
        <f t="shared" ref="AB61:AB124" si="51">AVERAGE(W61,V61)</f>
        <v>3.4387796376000002</v>
      </c>
      <c r="AC61" s="11">
        <f t="shared" ref="AC61:AC124" si="52">AA61</f>
        <v>19.10433132</v>
      </c>
      <c r="AD61" s="152">
        <f t="shared" ref="AD61:AD124" si="53">PI()*AB61/2*AC61/2</f>
        <v>51.597192221079496</v>
      </c>
      <c r="AE61" s="151">
        <f t="shared" si="6"/>
        <v>6.2628049351981456</v>
      </c>
      <c r="AF61" s="12">
        <f t="shared" ref="AF61:AF91" si="54">ABS(S61)/2/AD61</f>
        <v>130.98450525526269</v>
      </c>
      <c r="AG61" s="216">
        <f t="shared" si="7"/>
        <v>8.9918722887275711E-3</v>
      </c>
      <c r="AH61" s="2">
        <f t="shared" ref="AH61:AH124" si="55">ROUNDUP(AG61/$E$32,0)</f>
        <v>2</v>
      </c>
      <c r="AI61" s="2">
        <f t="shared" ref="AI61:AI124" si="56">IF(AH61&lt;$E$40,$E$40,MAX($E$40,ROUNDUP(AH61/2,0)))</f>
        <v>3</v>
      </c>
      <c r="AJ61" s="127">
        <f t="shared" ref="AJ61:AJ124" si="57">IF(AH61&lt;$E$41,$E$41,MAX($E$41,ROUNDUP(AH61/2,0)))</f>
        <v>2</v>
      </c>
      <c r="AK61" s="2">
        <f t="shared" ref="AK61:AK124" si="58">MIN(AI61*$E$32,AJ61*$E$32)</f>
        <v>1.5748031496062995E-2</v>
      </c>
      <c r="AL61" s="8">
        <f t="shared" si="8"/>
        <v>9.4628518174865089E-2</v>
      </c>
      <c r="AM61" s="138">
        <f t="shared" ref="AM61:AM124" si="59">IF(ROUNDUP(AL61/$E$42,0)*$E$42&gt;$E$42,ROUNDUP(AL61/$E$42,0)*$E$42,$E$42)</f>
        <v>0.25</v>
      </c>
      <c r="AN61" s="12">
        <f t="shared" si="9"/>
        <v>7843.6837773848356</v>
      </c>
      <c r="AO61" s="138">
        <f t="shared" ref="AO61:AO124" si="60">AM61</f>
        <v>0.25</v>
      </c>
      <c r="AP61" s="116">
        <f t="shared" ref="AP61:AP124" si="61">$E$29</f>
        <v>2175570</v>
      </c>
      <c r="AQ61" s="2">
        <f t="shared" ref="AQ61:AQ124" si="62">$AK61</f>
        <v>1.5748031496062995E-2</v>
      </c>
      <c r="AR61" s="8">
        <f t="shared" ref="AR61:AR124" si="63">MAX($X61,$Z61)</f>
        <v>12.736220879999999</v>
      </c>
      <c r="AS61" s="116">
        <f t="shared" ref="AS61:AS124" si="64">$E$34</f>
        <v>2610.6840000000002</v>
      </c>
      <c r="AT61" s="217">
        <f t="shared" ref="AT61:AT124" si="65">(PI()^2)*AO61*AP61*AQ61/(2*AS61*AR61^2)</f>
        <v>9.9809900465446938E-2</v>
      </c>
      <c r="AU61" s="207">
        <f t="shared" ref="AU61:AU124" si="66">IF((-50.995*AT61^3+45.565*AT61^2-18.064*AT61+5.2989)&gt;2,(-50.995*AT61^3+45.565*AT61^2-18.064*AT61+5.2989),2)</f>
        <v>3.8991484988227683</v>
      </c>
      <c r="AV61" s="144">
        <f t="shared" ref="AV61:AV124" si="67">(PI()^2)*AU61*(AO61^2)*AP61/(4*AR61^2)</f>
        <v>8064.5742336406474</v>
      </c>
      <c r="AW61" s="138">
        <f t="shared" ref="AW61:AW124" si="68">IF(AV61&gt;AN61,AO61,ROUNDUP(AO61*AN61/AV61/$E$42,0)*$E$42)</f>
        <v>0.25</v>
      </c>
      <c r="AX61" s="116">
        <f t="shared" ref="AX61:AX124" si="69">$E$29</f>
        <v>2175570</v>
      </c>
      <c r="AY61" s="2">
        <f t="shared" ref="AY61:AY124" si="70">$AK61</f>
        <v>1.5748031496062995E-2</v>
      </c>
      <c r="AZ61" s="8">
        <f t="shared" ref="AZ61:AZ124" si="71">MAX($X61,$Z61)</f>
        <v>12.736220879999999</v>
      </c>
      <c r="BA61" s="116">
        <f t="shared" ref="BA61:BA124" si="72">$E$34</f>
        <v>2610.6840000000002</v>
      </c>
      <c r="BB61" s="217">
        <f t="shared" ref="BB61:BB124" si="73">(PI()^2)*AW61*AX61*AY61/(2*BA61*AZ61^2)</f>
        <v>9.9809900465446938E-2</v>
      </c>
      <c r="BC61" s="207">
        <f t="shared" ref="BC61:BC124" si="74">IF((-50.995*BB61^3+45.565*BB61^2-18.064*BB61+5.2989)&gt;2,(-50.995*BB61^3+45.565*BB61^2-18.064*BB61+5.2989),2)</f>
        <v>3.8991484988227683</v>
      </c>
      <c r="BD61" s="144">
        <f t="shared" ref="BD61:BD124" si="75">(PI()^2)*BC61*(AW61^2)*AX61/(4*AZ61^2)</f>
        <v>8064.5742336406474</v>
      </c>
      <c r="BE61" s="138">
        <f t="shared" ref="BE61:BE124" si="76">IF(BD61&gt;AN61,AW61,ROUNDUP(AW61*AN61/BD61/$E$42,0)*$E$42)</f>
        <v>0.25</v>
      </c>
      <c r="BF61" s="116">
        <f t="shared" ref="BF61:BF124" si="77">$E$29</f>
        <v>2175570</v>
      </c>
      <c r="BG61" s="2">
        <f t="shared" ref="BG61:BG124" si="78">$AK61</f>
        <v>1.5748031496062995E-2</v>
      </c>
      <c r="BH61" s="8">
        <f t="shared" ref="BH61:BH124" si="79">MAX($X61,$Z61)</f>
        <v>12.736220879999999</v>
      </c>
      <c r="BI61" s="116">
        <f t="shared" ref="BI61:BI124" si="80">$E$34</f>
        <v>2610.6840000000002</v>
      </c>
      <c r="BJ61" s="217">
        <f t="shared" ref="BJ61:BJ124" si="81">(PI()^2)*BE61*BF61*BG61/(2*BI61*BH61^2)</f>
        <v>9.9809900465446938E-2</v>
      </c>
      <c r="BK61" s="207">
        <f t="shared" ref="BK61:BK124" si="82">IF((-50.995*BJ61^3+45.565*BJ61^2-18.064*BJ61+5.2989)&gt;2,(-50.995*BJ61^3+45.565*BJ61^2-18.064*BJ61+5.2989),2)</f>
        <v>3.8991484988227683</v>
      </c>
      <c r="BL61" s="144">
        <f t="shared" ref="BL61:BL124" si="83">(PI()^2)*BK61*(BE61^2)*BF61/(4*BH61^2)</f>
        <v>8064.5742336406474</v>
      </c>
      <c r="BM61" s="216">
        <f t="shared" ref="BM61:BM124" si="84">IF(BL61&gt;AN61,BE61,ROUNDUP(BE61*AN61/BL61/$E$42,0)*$E$42)</f>
        <v>0.25</v>
      </c>
      <c r="BN61" s="216">
        <f t="shared" ref="BN61:BN124" si="85">AI61*$E$32</f>
        <v>2.3622047244094495E-2</v>
      </c>
      <c r="BO61" s="238">
        <f t="shared" ref="BO61:BO124" si="86">AJ61*$E$32</f>
        <v>1.5748031496062995E-2</v>
      </c>
      <c r="BP61" s="216">
        <f t="shared" ref="BP61:BP124" si="87">IF($B61&lt;$E$13*$E$14,$BM61,0)</f>
        <v>0.25</v>
      </c>
      <c r="BQ61" s="138">
        <f t="shared" ref="BQ61:BQ124" si="88">IF($B61&lt;$E$13*$E$15,IF($B61&lt;$E$13*$E$14,0,$BM61),0)</f>
        <v>0</v>
      </c>
      <c r="BR61" s="138">
        <f t="shared" ref="BR61:BR124" si="89">IF($B61&lt;$E$13*$E$16,IF($B61&lt;$E$13*$E$15,0,$BM61),0)</f>
        <v>0</v>
      </c>
      <c r="BS61" s="238">
        <f t="shared" ref="BS61:BS124" si="90">IF($B61&lt;=$E$13*1,IF($B61&lt;$E$13*$E$16,0,$BM61),0)</f>
        <v>0</v>
      </c>
      <c r="BT61" s="138">
        <f t="shared" ref="BT61:BT124" si="91">IF(BP61&gt;0,MAX(BP$60:BP$160),0)</f>
        <v>0.25</v>
      </c>
      <c r="BU61" s="138">
        <f t="shared" ref="BU61:BU124" si="92">IF(BQ61&gt;0,MAX(BQ$60:BQ$160),0)</f>
        <v>0</v>
      </c>
      <c r="BV61" s="138">
        <f t="shared" ref="BV61:BV124" si="93">IF(BR61&gt;0,MAX(BR$60:BR$160),0)</f>
        <v>0</v>
      </c>
      <c r="BW61" s="238">
        <f t="shared" ref="BW61:BW124" si="94">IF(BS61&gt;0,MAX(BS$60:BS$160),0)</f>
        <v>0</v>
      </c>
      <c r="BX61" s="216">
        <f t="shared" ref="BX61:BX124" si="95">IF($B61&lt;$E$13*$E$14,$BN61,0)</f>
        <v>2.3622047244094495E-2</v>
      </c>
      <c r="BY61" s="138">
        <f t="shared" ref="BY61:BY124" si="96">IF($B61&lt;$E$13*$E$15,IF($B61&lt;$E$13*$E$14,0,$BN61),0)</f>
        <v>0</v>
      </c>
      <c r="BZ61" s="138">
        <f t="shared" ref="BZ61:BZ124" si="97">IF($B61&lt;$E$13*$E$16,IF($B61&lt;$E$13*$E$15,0,$BN61),0)</f>
        <v>0</v>
      </c>
      <c r="CA61" s="238">
        <f t="shared" ref="CA61:CA124" si="98">IF($B61&lt;=$E$13*1,IF($B61&lt;$E$13*$E$16,0,$BN61),0)</f>
        <v>0</v>
      </c>
      <c r="CB61" s="138">
        <f t="shared" ref="CB61:CB124" si="99">IF(BX61&gt;0,MAX(BX$60:BX$160),0)</f>
        <v>2.3622047244094495E-2</v>
      </c>
      <c r="CC61" s="138">
        <f t="shared" ref="CC61:CC124" si="100">IF(BY61&gt;0,MAX(BY$60:BY$160),0)</f>
        <v>0</v>
      </c>
      <c r="CD61" s="138">
        <f t="shared" ref="CD61:CD124" si="101">IF(BZ61&gt;0,MAX(BZ$60:BZ$160),0)</f>
        <v>0</v>
      </c>
      <c r="CE61" s="238">
        <f t="shared" ref="CE61:CE124" si="102">IF(CA61&gt;0,MAX(CA$60:CA$160),0)</f>
        <v>0</v>
      </c>
      <c r="CF61" s="216">
        <f t="shared" ref="CF61:CF124" si="103">IF($B61&lt;$E$13*$E$14,$BO61,0)</f>
        <v>1.5748031496062995E-2</v>
      </c>
      <c r="CG61" s="138">
        <f t="shared" ref="CG61:CG124" si="104">IF($B61&lt;$E$13*$E$15,IF($B61&lt;$E$13*$E$14,0,$BO61),0)</f>
        <v>0</v>
      </c>
      <c r="CH61" s="138">
        <f t="shared" ref="CH61:CH124" si="105">IF($B61&lt;$E$13*$E$16,IF($B61&lt;$E$13*$E$15,0,$BO61),0)</f>
        <v>0</v>
      </c>
      <c r="CI61" s="238">
        <f t="shared" ref="CI61:CI124" si="106">IF($B61&lt;=$E$13*1,IF($B61&lt;$E$13*$E$16,0,$BO61),0)</f>
        <v>0</v>
      </c>
      <c r="CJ61" s="138">
        <f t="shared" ref="CJ61:CJ124" si="107">IF(CF61&gt;0,MAX(CF$60:CF$160),0)</f>
        <v>1.5748031496062995E-2</v>
      </c>
      <c r="CK61" s="138">
        <f t="shared" ref="CK61:CK124" si="108">IF(CG61&gt;0,MAX(CG$60:CG$160),0)</f>
        <v>0</v>
      </c>
      <c r="CL61" s="138">
        <f t="shared" ref="CL61:CL124" si="109">IF(CH61&gt;0,MAX(CH$60:CH$160),0)</f>
        <v>0</v>
      </c>
      <c r="CM61" s="238">
        <f t="shared" ref="CM61:CM124" si="110">IF(CI61&gt;0,MAX(CI$60:CI$160),0)</f>
        <v>0</v>
      </c>
      <c r="CN61" s="17">
        <f t="shared" ref="CN61:CN124" si="111">MAX(BT61:BW61)</f>
        <v>0.25</v>
      </c>
      <c r="CO61" s="17">
        <f t="shared" ref="CO61:CO124" si="112">MAX(CB61:CE61)</f>
        <v>2.3622047244094495E-2</v>
      </c>
      <c r="CP61" s="17">
        <f t="shared" ref="CP61:CP124" si="113">MAX(CJ61:CM61)</f>
        <v>1.5748031496062995E-2</v>
      </c>
      <c r="CQ61" s="17">
        <f>$U61-IF('Inputs-Imperial'!$E$13,0,2)*($CO61+$CN61+$CP61)</f>
        <v>4.5850395168000002</v>
      </c>
      <c r="CR61" s="116">
        <f t="shared" ref="CR61:CR124" si="114">$R61/CQ61</f>
        <v>13491.570661103076</v>
      </c>
      <c r="CS61" s="8">
        <f t="shared" si="10"/>
        <v>0.34882851376285201</v>
      </c>
      <c r="CT61" s="8">
        <f t="shared" ref="CT61:CT124" si="115">SQRT(CS61)</f>
        <v>0.59061706186229668</v>
      </c>
      <c r="CU61" s="8">
        <f t="shared" si="11"/>
        <v>0.34882851376285201</v>
      </c>
      <c r="CV61" s="8">
        <f t="shared" ref="CV61:CV124" si="116">SQRT(CU61)</f>
        <v>0.59061706186229668</v>
      </c>
      <c r="CW61" s="216">
        <f t="shared" ref="CW61:CW124" si="117">$CQ61-CT61/2-CV61/2</f>
        <v>3.9944224549377036</v>
      </c>
      <c r="CX61" s="116">
        <f t="shared" ref="CX61:CX124" si="118">$R61/CW61</f>
        <v>15486.440235781685</v>
      </c>
      <c r="CY61" s="8">
        <f t="shared" ref="CY61:CY124" si="119">CX61/($E$23/$E$21)</f>
        <v>0.40040645130366742</v>
      </c>
      <c r="CZ61" s="8">
        <f t="shared" ref="CZ61:CZ124" si="120">SQRT(CY61)</f>
        <v>0.6327767784168975</v>
      </c>
      <c r="DA61" s="8">
        <f t="shared" ref="DA61:DA124" si="121">CX61/($E$24/$E$21)</f>
        <v>0.40040645130366742</v>
      </c>
      <c r="DB61" s="8">
        <f t="shared" ref="DB61:DB124" si="122">SQRT(DA61)</f>
        <v>0.6327767784168975</v>
      </c>
      <c r="DC61" s="216">
        <f t="shared" ref="DC61:DC124" si="123">$CQ61-CZ61/2-DB61/2</f>
        <v>3.9522627383831028</v>
      </c>
      <c r="DD61" s="116">
        <f t="shared" ref="DD61:DD124" si="124">$R61/DC61</f>
        <v>15651.637737567062</v>
      </c>
      <c r="DE61" s="8">
        <f t="shared" ref="DE61:DE124" si="125">DD61/($E$23/$E$21)</f>
        <v>0.40467768113098967</v>
      </c>
      <c r="DF61" s="8">
        <f t="shared" ref="DF61:DF124" si="126">SQRT(DE61)</f>
        <v>0.63614281504312353</v>
      </c>
      <c r="DG61" s="8">
        <f t="shared" ref="DG61:DG124" si="127">DD61/($E$24/$E$21)</f>
        <v>0.40467768113098967</v>
      </c>
      <c r="DH61" s="8">
        <f t="shared" ref="DH61:DH124" si="128">SQRT(DG61)</f>
        <v>0.63614281504312353</v>
      </c>
      <c r="DI61" s="216">
        <f t="shared" ref="DI61:DI124" si="129">$CQ61-DF61/2-DH61/2</f>
        <v>3.9488967017568766</v>
      </c>
      <c r="DJ61" s="116">
        <f t="shared" ref="DJ61:DJ124" si="130">$R61/DI61</f>
        <v>15664.979181991686</v>
      </c>
      <c r="DK61" s="8">
        <f t="shared" ref="DK61:DK124" si="131">DJ61/($E$23/$E$21)</f>
        <v>0.40502262808690703</v>
      </c>
      <c r="DL61" s="8">
        <f t="shared" ref="DL61:DL124" si="132">SQRT(DK61)</f>
        <v>0.63641388112368125</v>
      </c>
      <c r="DM61" s="8">
        <f t="shared" ref="DM61:DM124" si="133">DJ61/($E$24/$E$21)</f>
        <v>0.40502262808690703</v>
      </c>
      <c r="DN61" s="8">
        <f t="shared" ref="DN61:DN124" si="134">SQRT(DM61)</f>
        <v>0.63641388112368125</v>
      </c>
      <c r="DO61" s="216">
        <f t="shared" ref="DO61:DO124" si="135">$CQ61-DL61/2-DN61/2</f>
        <v>3.9486256356763185</v>
      </c>
      <c r="DP61" s="116">
        <f t="shared" ref="DP61:DP124" si="136">$R61/DO61</f>
        <v>15666.054554767095</v>
      </c>
      <c r="DQ61" s="170">
        <f t="shared" ref="DQ61:DQ124" si="137">DP61/($E$23/$E$21)</f>
        <v>0.40505043216520226</v>
      </c>
      <c r="DR61" s="8">
        <f t="shared" ref="DR61:DR124" si="138">SQRT(DQ61)</f>
        <v>0.63643572508557555</v>
      </c>
      <c r="DS61" s="8">
        <f t="shared" ref="DS61:DS124" si="139">DP61/($E$24/$E$21)</f>
        <v>0.40505043216520226</v>
      </c>
      <c r="DT61" s="134">
        <f t="shared" ref="DT61:DT124" si="140">SQRT(DS61)</f>
        <v>0.63643572508557555</v>
      </c>
      <c r="DU61" s="170">
        <f t="shared" ref="DU61:DX69" si="141">MAX(DQ$60:DQ$69)</f>
        <v>0.41283788277202987</v>
      </c>
      <c r="DV61" s="170">
        <f t="shared" si="141"/>
        <v>0.64252461647164139</v>
      </c>
      <c r="DW61" s="170">
        <f t="shared" si="141"/>
        <v>0.41283788277202987</v>
      </c>
      <c r="DX61" s="272">
        <f t="shared" si="141"/>
        <v>0.64252461647164139</v>
      </c>
      <c r="DY61" s="272">
        <f t="shared" ref="DY61:DY124" si="142">CQ61-DV61-DX61</f>
        <v>3.299990283856717</v>
      </c>
      <c r="DZ61" s="22">
        <f t="shared" si="12"/>
        <v>260.95020563325585</v>
      </c>
      <c r="EA61" s="216">
        <f t="shared" si="13"/>
        <v>1.7096370919876282E-2</v>
      </c>
      <c r="EB61" s="12">
        <f t="shared" ref="EB61:EB124" si="143">ROUNDUP(EA61/$E$32,0)</f>
        <v>3</v>
      </c>
      <c r="EC61" s="7">
        <f>ROUND(MAX(DV61,DX61)/'Inputs-Imperial'!$E$21,0)</f>
        <v>5</v>
      </c>
      <c r="ED61" s="12">
        <f t="shared" ref="ED61:ED124" si="144">MAX(EB61:EC61)</f>
        <v>5</v>
      </c>
      <c r="EE61" s="2">
        <f t="shared" ref="EE61:EE124" si="145">IF(ED61&lt;$E$41,$E$41,MAX($E$41,ROUNDUP(ED61/2,0)))</f>
        <v>3</v>
      </c>
      <c r="EF61" s="127">
        <f t="shared" ref="EF61:EF124" si="146">IF(ED61&lt;$E$41,$E$41,MAX($E$41,ROUNDUP(ED61/2,0)))</f>
        <v>3</v>
      </c>
      <c r="EG61" s="2">
        <f t="shared" ref="EG61:EG124" si="147">MIN(EE61*$E$32,EF61*$E$32)</f>
        <v>2.3622047244094495E-2</v>
      </c>
      <c r="EH61" s="8">
        <f t="shared" si="14"/>
        <v>0.1799185080001488</v>
      </c>
      <c r="EI61" s="138">
        <f t="shared" ref="EI61:EI124" si="148">IF(ROUNDUP(EH61/$E$42,0)*$E$42&gt;$E$42,ROUNDUP(EH61/$E$42,0)*$E$42,$E$42)</f>
        <v>0.25</v>
      </c>
      <c r="EJ61" s="12">
        <f t="shared" si="15"/>
        <v>9942.2028346270454</v>
      </c>
      <c r="EK61" s="138">
        <f t="shared" ref="EK61:EK124" si="149">EI61</f>
        <v>0.25</v>
      </c>
      <c r="EL61" s="116">
        <f t="shared" ref="EL61:EL124" si="150">$E$29</f>
        <v>2175570</v>
      </c>
      <c r="EM61" s="2">
        <f t="shared" si="16"/>
        <v>2.3622047244094495E-2</v>
      </c>
      <c r="EN61" s="8">
        <f t="shared" ref="EN61:EN124" si="151">$U61</f>
        <v>4.5850395168000002</v>
      </c>
      <c r="EO61" s="116">
        <f t="shared" ref="EO61:EO124" si="152">$E$34</f>
        <v>2610.6840000000002</v>
      </c>
      <c r="EP61" s="217">
        <f t="shared" ref="EP61:EP124" si="153">(PI()^2)*EK61*EL61*EM61/(2*EO61*EN61^2)</f>
        <v>1.1552071813130429</v>
      </c>
      <c r="EQ61" s="207">
        <f t="shared" ref="EQ61:EQ124" si="154">IF((-50.995*EP61^3+45.565*EP61^2-18.064*EP61+5.2989)&gt;2,(-50.995*EP61^3+45.565*EP61^2-18.064*EP61+5.2989),2)</f>
        <v>2</v>
      </c>
      <c r="ER61" s="144">
        <f t="shared" ref="ER61:ER124" si="155">(PI()^2)*EQ61*(EK61^2)*EL61/(4*EN61^2)</f>
        <v>31918.072910605046</v>
      </c>
      <c r="ES61" s="138">
        <f t="shared" si="17"/>
        <v>0.25</v>
      </c>
      <c r="ET61" s="116">
        <f t="shared" ref="ET61:ET124" si="156">$E$29</f>
        <v>2175570</v>
      </c>
      <c r="EU61" s="2">
        <f t="shared" si="18"/>
        <v>2.3622047244094495E-2</v>
      </c>
      <c r="EV61" s="8">
        <f t="shared" ref="EV61:EV124" si="157">$U61</f>
        <v>4.5850395168000002</v>
      </c>
      <c r="EW61" s="116">
        <f t="shared" ref="EW61:EW124" si="158">$E$34</f>
        <v>2610.6840000000002</v>
      </c>
      <c r="EX61" s="217">
        <f t="shared" ref="EX61:EX124" si="159">(PI()^2)*ES61*ET61*EU61/(2*EW61*EV61^2)</f>
        <v>1.1552071813130429</v>
      </c>
      <c r="EY61" s="207">
        <f t="shared" ref="EY61:EY124" si="160">IF((-50.995*EX61^3+45.565*EX61^2-18.064*EX61+5.2989)&gt;2,(-50.995*EX61^3+45.565*EX61^2-18.064*EX61+5.2989),2)</f>
        <v>2</v>
      </c>
      <c r="EZ61" s="144">
        <f t="shared" ref="EZ61:EZ124" si="161">(PI()^2)*EY61*(ES61^2)*ET61/(4*EV61^2)</f>
        <v>31918.072910605046</v>
      </c>
      <c r="FA61" s="138">
        <f t="shared" si="19"/>
        <v>0.25</v>
      </c>
      <c r="FB61" s="116">
        <f t="shared" ref="FB61:FB124" si="162">$E$29</f>
        <v>2175570</v>
      </c>
      <c r="FC61" s="2">
        <f t="shared" si="20"/>
        <v>2.3622047244094495E-2</v>
      </c>
      <c r="FD61" s="8">
        <f t="shared" ref="FD61:FD124" si="163">$U61</f>
        <v>4.5850395168000002</v>
      </c>
      <c r="FE61" s="116">
        <f t="shared" ref="FE61:FE124" si="164">$E$34</f>
        <v>2610.6840000000002</v>
      </c>
      <c r="FF61" s="217">
        <f t="shared" ref="FF61:FF124" si="165">(PI()^2)*FA61*FB61*FC61/(2*FE61*FD61^2)</f>
        <v>1.1552071813130429</v>
      </c>
      <c r="FG61" s="207">
        <f t="shared" ref="FG61:FG124" si="166">IF((-50.995*FF61^3+45.565*FF61^2-18.064*FF61+5.2989)&gt;2,(-50.995*FF61^3+45.565*FF61^2-18.064*FF61+5.2989),2)</f>
        <v>2</v>
      </c>
      <c r="FH61" s="144">
        <f t="shared" ref="FH61:FH124" si="167">(PI()^2)*FG61*(FA61^2)*FB61/(4*FD61^2)</f>
        <v>31918.072910605046</v>
      </c>
      <c r="FI61" s="128">
        <f t="shared" ref="FI61:FI124" si="168">IF(FH61&gt;EJ61,FA61,ROUNDUP(FA61*(EJ61/FH61)/$E$42,0)*$E$42)</f>
        <v>0.25</v>
      </c>
      <c r="FJ61" s="2">
        <f t="shared" ref="FJ61:FJ124" si="169">EE61*$E$32</f>
        <v>2.3622047244094495E-2</v>
      </c>
      <c r="FK61" s="127">
        <f t="shared" ref="FK61:FK124" si="170">EF61*$E$32</f>
        <v>2.3622047244094495E-2</v>
      </c>
      <c r="FL61" s="216">
        <f t="shared" ref="FL61:FL124" si="171">IF($B61&lt;$E$13*$E$14,$FI61,0)</f>
        <v>0.25</v>
      </c>
      <c r="FM61" s="138">
        <f t="shared" ref="FM61:FM124" si="172">IF($B61&lt;$E$13*$E$15,IF($B61&lt;$E$13*$E$14,0,$FI61),0)</f>
        <v>0</v>
      </c>
      <c r="FN61" s="138">
        <f t="shared" ref="FN61:FN124" si="173">IF($B61&lt;$E$13*$E$16,IF($B61&lt;$E$13*$E$15,0,$FI61),0)</f>
        <v>0</v>
      </c>
      <c r="FO61" s="238">
        <f t="shared" ref="FO61:FO124" si="174">IF($B61&lt;=$E$13*1,IF($B61&lt;$E$13*$E$16,0,$FI61),0)</f>
        <v>0</v>
      </c>
      <c r="FP61" s="216">
        <f t="shared" si="21"/>
        <v>0.25</v>
      </c>
      <c r="FQ61" s="138">
        <f t="shared" si="22"/>
        <v>0</v>
      </c>
      <c r="FR61" s="138">
        <f t="shared" si="23"/>
        <v>0</v>
      </c>
      <c r="FS61" s="238">
        <f t="shared" si="24"/>
        <v>0</v>
      </c>
      <c r="FT61" s="216">
        <f t="shared" ref="FT61:FT124" si="175">IF($B61&lt;$E$13*$E$14,$FJ61,0)</f>
        <v>2.3622047244094495E-2</v>
      </c>
      <c r="FU61" s="138">
        <f t="shared" ref="FU61:FU124" si="176">IF($B61&lt;$E$13*$E$15,IF($B61&lt;$E$13*$E$14,0,$FJ61),0)</f>
        <v>0</v>
      </c>
      <c r="FV61" s="138">
        <f t="shared" ref="FV61:FV124" si="177">IF($B61&lt;$E$13*$E$16,IF($B61&lt;$E$13*$E$15,0,$FJ61),0)</f>
        <v>0</v>
      </c>
      <c r="FW61" s="238">
        <f t="shared" ref="FW61:FW124" si="178">IF($B61&lt;=$E$13*1,IF($B61&lt;$E$13*$E$16,0,$FJ61),0)</f>
        <v>0</v>
      </c>
      <c r="FX61" s="216">
        <f t="shared" si="25"/>
        <v>2.3622047244094495E-2</v>
      </c>
      <c r="FY61" s="138">
        <f t="shared" si="26"/>
        <v>0</v>
      </c>
      <c r="FZ61" s="138">
        <f t="shared" si="27"/>
        <v>0</v>
      </c>
      <c r="GA61" s="238">
        <f t="shared" si="28"/>
        <v>0</v>
      </c>
      <c r="GB61" s="216">
        <f t="shared" ref="GB61:GB124" si="179">IF($B61&lt;$E$13*$E$14,$FK61,0)</f>
        <v>2.3622047244094495E-2</v>
      </c>
      <c r="GC61" s="138">
        <f t="shared" ref="GC61:GC124" si="180">IF($B61&lt;$E$13*$E$15,IF($B61&lt;$E$13*$E$14,0,$FK61),0)</f>
        <v>0</v>
      </c>
      <c r="GD61" s="138">
        <f t="shared" ref="GD61:GD124" si="181">IF($B61&lt;$E$13*$E$16,IF($B61&lt;$E$13*$E$15,0,$FK61),0)</f>
        <v>0</v>
      </c>
      <c r="GE61" s="238">
        <f t="shared" ref="GE61:GE124" si="182">IF($B61&lt;=$E$13*1,IF($B61&lt;$E$13*$E$16,0,$FK61),0)</f>
        <v>0</v>
      </c>
      <c r="GF61" s="216">
        <f t="shared" si="29"/>
        <v>2.3622047244094495E-2</v>
      </c>
      <c r="GG61" s="138">
        <f t="shared" si="30"/>
        <v>0</v>
      </c>
      <c r="GH61" s="138">
        <f t="shared" si="31"/>
        <v>0</v>
      </c>
      <c r="GI61" s="238">
        <f t="shared" si="32"/>
        <v>0</v>
      </c>
      <c r="GJ61" s="216">
        <f t="shared" ref="GJ61:GJ124" si="183">MAX(FP61:FS61)</f>
        <v>0.25</v>
      </c>
      <c r="GK61" s="216">
        <f t="shared" ref="GK61:GK124" si="184">MAX(FX61:GA61)</f>
        <v>2.3622047244094495E-2</v>
      </c>
      <c r="GL61" s="17">
        <f t="shared" ref="GL61:GL124" si="185">MAX(GF61:GI61)</f>
        <v>2.3622047244094495E-2</v>
      </c>
      <c r="GM61" s="216">
        <f t="shared" ref="GM61:GM91" si="186">(AF61/$E$46)</f>
        <v>8.5815593866505387E-3</v>
      </c>
      <c r="GN61" s="2">
        <f t="shared" ref="GN61:GN124" si="187">ROUNDUP(GM61/$E$32,0)</f>
        <v>2</v>
      </c>
      <c r="GO61" s="2">
        <f t="shared" ref="GO61:GO124" si="188">IF(GN61&lt;$E$41,$E$41,MAX($E$41,ROUNDUP(GN61/2,0)))</f>
        <v>2</v>
      </c>
      <c r="GP61" s="142">
        <f t="shared" ref="GP61:GP124" si="189">IF(GN61&lt;$E$41,$E$41,MAX($E$41,ROUNDUP(GN61/2,0)))</f>
        <v>2</v>
      </c>
      <c r="GQ61" s="2">
        <f t="shared" ref="GQ61:GQ124" si="190">MIN(GO61*$E$32,GP61*$E$32)</f>
        <v>1.5748031496062995E-2</v>
      </c>
      <c r="GR61" s="8">
        <f t="shared" si="33"/>
        <v>9.0310473982861517E-2</v>
      </c>
      <c r="GS61" s="138">
        <f t="shared" ref="GS61:GS124" si="191">IF(ROUNDUP(GR61/$E$42,0)*$E$42&gt;$E$42,ROUNDUP(GR61/$E$42,0)*$E$42,$E$42)</f>
        <v>0.25</v>
      </c>
      <c r="GT61" s="12">
        <f t="shared" si="34"/>
        <v>7485.7644753382619</v>
      </c>
      <c r="GU61" s="138">
        <f t="shared" ref="GU61:GU124" si="192">GS61</f>
        <v>0.25</v>
      </c>
      <c r="GV61" s="116">
        <f t="shared" ref="GV61:GV124" si="193">$E$29</f>
        <v>2175570</v>
      </c>
      <c r="GW61" s="2">
        <f t="shared" si="35"/>
        <v>2.3622047244094495E-2</v>
      </c>
      <c r="GX61" s="8">
        <f t="shared" si="36"/>
        <v>2.2925197584000001</v>
      </c>
      <c r="GY61" s="116">
        <f t="shared" ref="GY61:GY124" si="194">$E$34</f>
        <v>2610.6840000000002</v>
      </c>
      <c r="GZ61" s="217">
        <f t="shared" ref="GZ61:GZ124" si="195">(PI()^2)*GU61*GV61*GW61/(2*GY61*GX61^2)</f>
        <v>4.6208287252521716</v>
      </c>
      <c r="HA61" s="207">
        <f t="shared" ref="HA61:HA124" si="196">IF((-50.995*GZ61^3+45.565*GZ61^2-18.064*GZ61+5.2989)&gt;2,(-50.995*GZ61^3+45.565*GZ61^2-18.064*GZ61+5.2989),2)</f>
        <v>2</v>
      </c>
      <c r="HB61" s="144">
        <f t="shared" ref="HB61:HB124" si="197">(PI()^2)*HA61*(GU61^2)*GV61/(4*GX61^2)</f>
        <v>127672.29164242018</v>
      </c>
      <c r="HC61" s="138">
        <f t="shared" si="37"/>
        <v>0.25</v>
      </c>
      <c r="HD61" s="116">
        <f t="shared" ref="HD61:HD124" si="198">$E$29</f>
        <v>2175570</v>
      </c>
      <c r="HE61" s="2">
        <f t="shared" si="38"/>
        <v>2.3622047244094495E-2</v>
      </c>
      <c r="HF61" s="8">
        <f t="shared" ref="HF61:HF124" si="199">GX61</f>
        <v>2.2925197584000001</v>
      </c>
      <c r="HG61" s="116">
        <f t="shared" ref="HG61:HG124" si="200">$E$34</f>
        <v>2610.6840000000002</v>
      </c>
      <c r="HH61" s="217">
        <f t="shared" ref="HH61:HH124" si="201">(PI()^2)*HC61*HD61*HE61/(2*HG61*HF61^2)</f>
        <v>4.6208287252521716</v>
      </c>
      <c r="HI61" s="207">
        <f t="shared" ref="HI61:HI124" si="202">IF((-50.995*HH61^3+45.565*HH61^2-18.064*HH61+5.2989)&gt;2,(-50.995*HH61^3+45.565*HH61^2-18.064*HH61+5.2989),2)</f>
        <v>2</v>
      </c>
      <c r="HJ61" s="144">
        <f t="shared" ref="HJ61:HJ124" si="203">(PI()^2)*HI61*(HC61^2)*HD61/(4*HF61^2)</f>
        <v>127672.29164242018</v>
      </c>
      <c r="HK61" s="138">
        <f t="shared" si="39"/>
        <v>0.25</v>
      </c>
      <c r="HL61" s="116">
        <f t="shared" ref="HL61:HL124" si="204">$E$29</f>
        <v>2175570</v>
      </c>
      <c r="HM61" s="2">
        <f t="shared" si="40"/>
        <v>2.3622047244094495E-2</v>
      </c>
      <c r="HN61" s="8">
        <f t="shared" ref="HN61:HN124" si="205">GX61</f>
        <v>2.2925197584000001</v>
      </c>
      <c r="HO61" s="116">
        <f t="shared" ref="HO61:HO124" si="206">$E$34</f>
        <v>2610.6840000000002</v>
      </c>
      <c r="HP61" s="217">
        <f t="shared" ref="HP61:HP124" si="207">(PI()^2)*HK61*HL61*HM61/(2*HO61*HN61^2)</f>
        <v>4.6208287252521716</v>
      </c>
      <c r="HQ61" s="207">
        <f t="shared" ref="HQ61:HQ124" si="208">IF((-50.995*HP61^3+45.565*HP61^2-18.064*HP61+5.2989)&gt;2,(-50.995*HP61^3+45.565*HP61^2-18.064*HP61+5.2989),2)</f>
        <v>2</v>
      </c>
      <c r="HR61" s="144">
        <f t="shared" ref="HR61:HR124" si="209">(PI()^2)*HQ61*(HK61^2)*HL61/(4*HN61^2)</f>
        <v>127672.29164242018</v>
      </c>
      <c r="HS61" s="128">
        <f t="shared" ref="HS61:HS124" si="210">IF(HR61&gt;GT61,HK61,ROUNDUP(HK61*(GT61/HR61)/$E$42,0)*$E$42)</f>
        <v>0.25</v>
      </c>
      <c r="HT61" s="2">
        <f t="shared" ref="HT61:HT124" si="211">GO61*$E$32</f>
        <v>1.5748031496062995E-2</v>
      </c>
      <c r="HU61" s="127">
        <f t="shared" ref="HU61:HU124" si="212">GP61*$E$32</f>
        <v>1.5748031496062995E-2</v>
      </c>
      <c r="HV61" s="216">
        <f t="shared" ref="HV61:HV124" si="213">IF($B61&lt;$E$13*$E$14,$HS61,0)</f>
        <v>0.25</v>
      </c>
      <c r="HW61" s="138">
        <f t="shared" ref="HW61:HW124" si="214">IF($B61&lt;$E$13*$E$15,IF($B61&lt;$E$13*$E$14,0,$HS61),0)</f>
        <v>0</v>
      </c>
      <c r="HX61" s="138">
        <f t="shared" ref="HX61:HX124" si="215">IF($B61&lt;$E$13*$E$16,IF($B61&lt;$E$13*$E$15,0,$HS61),0)</f>
        <v>0</v>
      </c>
      <c r="HY61" s="238">
        <f t="shared" ref="HY61:HY124" si="216">IF($B61&lt;=$E$13*1,IF($B61&lt;$E$13*$E$16,0,$HS61),0)</f>
        <v>0</v>
      </c>
      <c r="HZ61" s="138">
        <f t="shared" ref="HZ61:HZ124" si="217">IF(HV61&gt;0,MAX(HV$60:HV$160),0)</f>
        <v>0.25</v>
      </c>
      <c r="IA61" s="138">
        <f t="shared" ref="IA61:IA124" si="218">IF(HW61&gt;0,MAX(HW$60:HW$160),0)</f>
        <v>0</v>
      </c>
      <c r="IB61" s="138">
        <f t="shared" ref="IB61:IB124" si="219">IF(HX61&gt;0,MAX(HX$60:HX$160),0)</f>
        <v>0</v>
      </c>
      <c r="IC61" s="138">
        <f t="shared" ref="IC61:IC124" si="220">IF(HY61&gt;0,MAX(HY$60:HY$160),0)</f>
        <v>0</v>
      </c>
      <c r="ID61" s="216">
        <f t="shared" ref="ID61:ID124" si="221">IF($B61&lt;$E$13*$E$14,$HT61,0)</f>
        <v>1.5748031496062995E-2</v>
      </c>
      <c r="IE61" s="138">
        <f t="shared" ref="IE61:IE124" si="222">IF($B61&lt;$E$13*$E$15,IF($B61&lt;$E$13*$E$14,0,$HT61),0)</f>
        <v>0</v>
      </c>
      <c r="IF61" s="138">
        <f t="shared" ref="IF61:IF124" si="223">IF($B61&lt;$E$13*$E$16,IF($B61&lt;$E$13*$E$15,0,$HT61),0)</f>
        <v>0</v>
      </c>
      <c r="IG61" s="238">
        <f t="shared" ref="IG61:IG124" si="224">IF($B61&lt;=$E$13*1,IF($B61&lt;$E$13*$E$16,0,$HT61),0)</f>
        <v>0</v>
      </c>
      <c r="IH61" s="138">
        <f t="shared" ref="IH61:IH124" si="225">IF(ID61&gt;0,MAX(ID$60:ID$160),0)</f>
        <v>1.5748031496062995E-2</v>
      </c>
      <c r="II61" s="138">
        <f t="shared" ref="II61:II124" si="226">IF(IE61&gt;0,MAX(IE$60:IE$160),0)</f>
        <v>0</v>
      </c>
      <c r="IJ61" s="138">
        <f t="shared" ref="IJ61:IJ124" si="227">IF(IF61&gt;0,MAX(IF$60:IF$160),0)</f>
        <v>0</v>
      </c>
      <c r="IK61" s="138">
        <f t="shared" ref="IK61:IK124" si="228">IF(IG61&gt;0,MAX(IG$60:IG$160),0)</f>
        <v>0</v>
      </c>
      <c r="IL61" s="216">
        <f t="shared" ref="IL61:IL124" si="229">IF($B61&lt;$E$13*$E$14,$HU61,0)</f>
        <v>1.5748031496062995E-2</v>
      </c>
      <c r="IM61" s="138">
        <f t="shared" ref="IM61:IM124" si="230">IF($B61&lt;$E$13*$E$15,IF($B61&lt;$E$13*$E$14,0,$HU61),0)</f>
        <v>0</v>
      </c>
      <c r="IN61" s="138">
        <f t="shared" ref="IN61:IN124" si="231">IF($B61&lt;$E$13*$E$16,IF($B61&lt;$E$13*$E$15,0,$HU61),0)</f>
        <v>0</v>
      </c>
      <c r="IO61" s="238">
        <f t="shared" ref="IO61:IO124" si="232">IF($B61&lt;=$E$13*1,IF($B61&lt;$E$13*$E$16,0,$HU61),0)</f>
        <v>0</v>
      </c>
      <c r="IP61" s="138">
        <f t="shared" ref="IP61:IP124" si="233">IF(IL61&gt;0,MAX(IL$60:IL$160),0)</f>
        <v>1.5748031496062995E-2</v>
      </c>
      <c r="IQ61" s="138">
        <f t="shared" ref="IQ61:IQ124" si="234">IF(IM61&gt;0,MAX(IM$60:IM$160),0)</f>
        <v>0</v>
      </c>
      <c r="IR61" s="138">
        <f t="shared" ref="IR61:IR124" si="235">IF(IN61&gt;0,MAX(IN$60:IN$160),0)</f>
        <v>0</v>
      </c>
      <c r="IS61" s="138">
        <f t="shared" ref="IS61:IS124" si="236">IF(IO61&gt;0,MAX(IO$60:IO$160),0)</f>
        <v>0</v>
      </c>
      <c r="IT61" s="17">
        <f t="shared" ref="IT61:IT124" si="237">MAX(HZ61:IC61)</f>
        <v>0.25</v>
      </c>
      <c r="IU61" s="17">
        <f t="shared" ref="IU61:IU124" si="238">MAX(IH61:IK61)</f>
        <v>1.5748031496062995E-2</v>
      </c>
      <c r="IV61" s="17">
        <f t="shared" ref="IV61:IV124" si="239">MAX(IP61:IS61)</f>
        <v>1.5748031496062995E-2</v>
      </c>
      <c r="IW61" s="253">
        <f t="shared" ref="IW61:IW124" si="240">Z61</f>
        <v>12.736220879999999</v>
      </c>
      <c r="IX61" s="116">
        <f t="shared" ref="IX61:IX91" si="241">$T61/IW61</f>
        <v>485.69654379971087</v>
      </c>
      <c r="IY61" s="8">
        <f t="shared" ref="IY61:IY123" si="242">IX61/($E$23/$E$21)</f>
        <v>1.2557826495462675E-2</v>
      </c>
      <c r="IZ61" s="8">
        <f t="shared" ref="IZ61:IZ124" si="243">IX61/($E$24/$E$21)</f>
        <v>1.2557826495462675E-2</v>
      </c>
      <c r="JA61" s="8">
        <f t="shared" ref="JA61:JA124" si="244">MAX(IY61:IZ61)/2</f>
        <v>6.2789132477313377E-3</v>
      </c>
      <c r="JB61" s="134">
        <f t="shared" ref="JB61:JB124" si="245">SQRT(JA61)</f>
        <v>7.9239593939717648E-2</v>
      </c>
      <c r="JC61" s="170">
        <f t="shared" ref="JC61:JC69" si="246">MAX(JA$60:JA$69)</f>
        <v>6.3945696655626945E-3</v>
      </c>
      <c r="JD61" s="272">
        <f t="shared" ref="JD61:JD69" si="247">MAX(JB$60:JB$69)</f>
        <v>7.9966053207362275E-2</v>
      </c>
      <c r="JE61" s="8"/>
      <c r="JF61" s="8"/>
    </row>
    <row r="62" spans="1:266" x14ac:dyDescent="0.25">
      <c r="A62" s="186">
        <v>2</v>
      </c>
      <c r="B62" s="187">
        <f>A62/100*'Inputs-Imperial'!$E$5</f>
        <v>0.19685040000000001</v>
      </c>
      <c r="C62" s="188">
        <f>'Inputs-Imperial'!$E$10+('Inputs-Imperial'!$E$9-'Inputs-Imperial'!$E$10)*(100-A62)/100</f>
        <v>2.1128609599999999</v>
      </c>
      <c r="D62" s="187">
        <f t="shared" ref="D62:D125" si="248">B62-B61</f>
        <v>9.8425200000000004E-2</v>
      </c>
      <c r="E62" s="188">
        <f t="shared" ref="E62:E125" si="249">D62*AVERAGE(C61:C62)</f>
        <v>0.20844313855994401</v>
      </c>
      <c r="F62" s="423">
        <f>Loads!P22</f>
        <v>118.0925180353431</v>
      </c>
      <c r="G62" s="423">
        <f>Loads!M22</f>
        <v>1180.9251803534303</v>
      </c>
      <c r="H62" s="423">
        <f>Loads!N22</f>
        <v>5037.1862145026089</v>
      </c>
      <c r="I62" s="423">
        <f>Loads!V22</f>
        <v>-1108.4499800077406</v>
      </c>
      <c r="J62" s="423">
        <f>Loads!Q22</f>
        <v>503.71862145026103</v>
      </c>
      <c r="K62" s="2">
        <v>2</v>
      </c>
      <c r="L62" s="12">
        <f t="shared" si="41"/>
        <v>2.3622048000000002</v>
      </c>
      <c r="M62" s="11">
        <f t="shared" si="42"/>
        <v>25.354331519999999</v>
      </c>
      <c r="N62" s="11">
        <f t="shared" si="43"/>
        <v>1.1811024000000001</v>
      </c>
      <c r="O62" s="152">
        <f t="shared" si="44"/>
        <v>30.015811952631935</v>
      </c>
      <c r="P62" s="151">
        <f t="shared" si="45"/>
        <v>118.0925180353431</v>
      </c>
      <c r="Q62" s="12">
        <f t="shared" si="46"/>
        <v>1180.9251803534303</v>
      </c>
      <c r="R62" s="12">
        <f t="shared" si="47"/>
        <v>60446.234574031303</v>
      </c>
      <c r="S62" s="12">
        <f t="shared" si="48"/>
        <v>-13301.399760092887</v>
      </c>
      <c r="T62" s="152">
        <f t="shared" si="49"/>
        <v>6044.6234574031323</v>
      </c>
      <c r="U62" s="8">
        <f t="shared" si="0"/>
        <v>4.5637796736</v>
      </c>
      <c r="V62" s="8">
        <f t="shared" si="1"/>
        <v>4.5637796736</v>
      </c>
      <c r="W62" s="134">
        <f t="shared" si="2"/>
        <v>2.2818898368</v>
      </c>
      <c r="X62" s="311">
        <f t="shared" si="3"/>
        <v>6.3385828799999997</v>
      </c>
      <c r="Y62" s="11">
        <f t="shared" si="4"/>
        <v>19.015748639999998</v>
      </c>
      <c r="Z62" s="11">
        <f t="shared" si="5"/>
        <v>12.677165759999998</v>
      </c>
      <c r="AA62" s="316">
        <f t="shared" si="50"/>
        <v>19.015748639999998</v>
      </c>
      <c r="AB62" s="170">
        <f t="shared" si="51"/>
        <v>3.4228347552000002</v>
      </c>
      <c r="AC62" s="11">
        <f t="shared" si="52"/>
        <v>19.015748639999998</v>
      </c>
      <c r="AD62" s="152">
        <f t="shared" si="53"/>
        <v>51.119811358574758</v>
      </c>
      <c r="AE62" s="151">
        <f t="shared" si="6"/>
        <v>6.2102481617228147</v>
      </c>
      <c r="AF62" s="12">
        <f t="shared" si="54"/>
        <v>130.10024300355454</v>
      </c>
      <c r="AG62" s="216">
        <f t="shared" si="7"/>
        <v>8.9304958069560125E-3</v>
      </c>
      <c r="AH62" s="2">
        <f t="shared" si="55"/>
        <v>2</v>
      </c>
      <c r="AI62" s="2">
        <f t="shared" si="56"/>
        <v>3</v>
      </c>
      <c r="AJ62" s="127">
        <f t="shared" si="57"/>
        <v>2</v>
      </c>
      <c r="AK62" s="2">
        <f t="shared" si="58"/>
        <v>1.5748031496062995E-2</v>
      </c>
      <c r="AL62" s="8">
        <f t="shared" si="8"/>
        <v>9.3982605362234267E-2</v>
      </c>
      <c r="AM62" s="138">
        <f t="shared" si="59"/>
        <v>0.25</v>
      </c>
      <c r="AN62" s="12">
        <f t="shared" si="9"/>
        <v>7790.1445700955983</v>
      </c>
      <c r="AO62" s="138">
        <f t="shared" si="60"/>
        <v>0.25</v>
      </c>
      <c r="AP62" s="116">
        <f t="shared" si="61"/>
        <v>2175570</v>
      </c>
      <c r="AQ62" s="2">
        <f t="shared" si="62"/>
        <v>1.5748031496062995E-2</v>
      </c>
      <c r="AR62" s="8">
        <f t="shared" si="63"/>
        <v>12.677165759999998</v>
      </c>
      <c r="AS62" s="116">
        <f t="shared" si="64"/>
        <v>2610.6840000000002</v>
      </c>
      <c r="AT62" s="217">
        <f t="shared" si="65"/>
        <v>0.10074197230030739</v>
      </c>
      <c r="AU62" s="207">
        <f t="shared" si="66"/>
        <v>3.8893951411874399</v>
      </c>
      <c r="AV62" s="144">
        <f t="shared" si="67"/>
        <v>8119.5238581597041</v>
      </c>
      <c r="AW62" s="138">
        <f t="shared" si="68"/>
        <v>0.25</v>
      </c>
      <c r="AX62" s="116">
        <f t="shared" si="69"/>
        <v>2175570</v>
      </c>
      <c r="AY62" s="2">
        <f t="shared" si="70"/>
        <v>1.5748031496062995E-2</v>
      </c>
      <c r="AZ62" s="8">
        <f t="shared" si="71"/>
        <v>12.677165759999998</v>
      </c>
      <c r="BA62" s="116">
        <f t="shared" si="72"/>
        <v>2610.6840000000002</v>
      </c>
      <c r="BB62" s="217">
        <f t="shared" si="73"/>
        <v>0.10074197230030739</v>
      </c>
      <c r="BC62" s="207">
        <f t="shared" si="74"/>
        <v>3.8893951411874399</v>
      </c>
      <c r="BD62" s="144">
        <f t="shared" si="75"/>
        <v>8119.5238581597041</v>
      </c>
      <c r="BE62" s="138">
        <f t="shared" si="76"/>
        <v>0.25</v>
      </c>
      <c r="BF62" s="116">
        <f t="shared" si="77"/>
        <v>2175570</v>
      </c>
      <c r="BG62" s="2">
        <f t="shared" si="78"/>
        <v>1.5748031496062995E-2</v>
      </c>
      <c r="BH62" s="8">
        <f t="shared" si="79"/>
        <v>12.677165759999998</v>
      </c>
      <c r="BI62" s="116">
        <f t="shared" si="80"/>
        <v>2610.6840000000002</v>
      </c>
      <c r="BJ62" s="217">
        <f t="shared" si="81"/>
        <v>0.10074197230030739</v>
      </c>
      <c r="BK62" s="207">
        <f t="shared" si="82"/>
        <v>3.8893951411874399</v>
      </c>
      <c r="BL62" s="144">
        <f t="shared" si="83"/>
        <v>8119.5238581597041</v>
      </c>
      <c r="BM62" s="216">
        <f t="shared" si="84"/>
        <v>0.25</v>
      </c>
      <c r="BN62" s="216">
        <f t="shared" si="85"/>
        <v>2.3622047244094495E-2</v>
      </c>
      <c r="BO62" s="238">
        <f t="shared" si="86"/>
        <v>1.5748031496062995E-2</v>
      </c>
      <c r="BP62" s="216">
        <f t="shared" si="87"/>
        <v>0.25</v>
      </c>
      <c r="BQ62" s="138">
        <f t="shared" si="88"/>
        <v>0</v>
      </c>
      <c r="BR62" s="138">
        <f t="shared" si="89"/>
        <v>0</v>
      </c>
      <c r="BS62" s="238">
        <f t="shared" si="90"/>
        <v>0</v>
      </c>
      <c r="BT62" s="138">
        <f t="shared" si="91"/>
        <v>0.25</v>
      </c>
      <c r="BU62" s="138">
        <f t="shared" si="92"/>
        <v>0</v>
      </c>
      <c r="BV62" s="138">
        <f t="shared" si="93"/>
        <v>0</v>
      </c>
      <c r="BW62" s="238">
        <f t="shared" si="94"/>
        <v>0</v>
      </c>
      <c r="BX62" s="216">
        <f t="shared" si="95"/>
        <v>2.3622047244094495E-2</v>
      </c>
      <c r="BY62" s="138">
        <f t="shared" si="96"/>
        <v>0</v>
      </c>
      <c r="BZ62" s="138">
        <f t="shared" si="97"/>
        <v>0</v>
      </c>
      <c r="CA62" s="238">
        <f t="shared" si="98"/>
        <v>0</v>
      </c>
      <c r="CB62" s="138">
        <f t="shared" si="99"/>
        <v>2.3622047244094495E-2</v>
      </c>
      <c r="CC62" s="138">
        <f t="shared" si="100"/>
        <v>0</v>
      </c>
      <c r="CD62" s="138">
        <f t="shared" si="101"/>
        <v>0</v>
      </c>
      <c r="CE62" s="238">
        <f t="shared" si="102"/>
        <v>0</v>
      </c>
      <c r="CF62" s="216">
        <f t="shared" si="103"/>
        <v>1.5748031496062995E-2</v>
      </c>
      <c r="CG62" s="138">
        <f t="shared" si="104"/>
        <v>0</v>
      </c>
      <c r="CH62" s="138">
        <f t="shared" si="105"/>
        <v>0</v>
      </c>
      <c r="CI62" s="238">
        <f t="shared" si="106"/>
        <v>0</v>
      </c>
      <c r="CJ62" s="138">
        <f t="shared" si="107"/>
        <v>1.5748031496062995E-2</v>
      </c>
      <c r="CK62" s="138">
        <f t="shared" si="108"/>
        <v>0</v>
      </c>
      <c r="CL62" s="138">
        <f t="shared" si="109"/>
        <v>0</v>
      </c>
      <c r="CM62" s="238">
        <f t="shared" si="110"/>
        <v>0</v>
      </c>
      <c r="CN62" s="17">
        <f t="shared" si="111"/>
        <v>0.25</v>
      </c>
      <c r="CO62" s="17">
        <f t="shared" si="112"/>
        <v>2.3622047244094495E-2</v>
      </c>
      <c r="CP62" s="17">
        <f t="shared" si="113"/>
        <v>1.5748031496062995E-2</v>
      </c>
      <c r="CQ62" s="17">
        <f>$U62-IF('Inputs-Imperial'!$E$13,0,2)*($CO62+$CN62+$CP62)</f>
        <v>4.5637796736</v>
      </c>
      <c r="CR62" s="116">
        <f t="shared" si="114"/>
        <v>13244.774922788969</v>
      </c>
      <c r="CS62" s="8">
        <f t="shared" si="10"/>
        <v>0.34244753761399516</v>
      </c>
      <c r="CT62" s="8">
        <f t="shared" si="115"/>
        <v>0.58519017217823743</v>
      </c>
      <c r="CU62" s="8">
        <f t="shared" si="11"/>
        <v>0.34244753761399516</v>
      </c>
      <c r="CV62" s="8">
        <f t="shared" si="116"/>
        <v>0.58519017217823743</v>
      </c>
      <c r="CW62" s="216">
        <f t="shared" si="117"/>
        <v>3.9785895014217627</v>
      </c>
      <c r="CX62" s="116">
        <f t="shared" si="118"/>
        <v>15192.880429717776</v>
      </c>
      <c r="CY62" s="8">
        <f t="shared" si="119"/>
        <v>0.39281637647679679</v>
      </c>
      <c r="CZ62" s="8">
        <f t="shared" si="120"/>
        <v>0.62675064936288405</v>
      </c>
      <c r="DA62" s="8">
        <f t="shared" si="121"/>
        <v>0.39281637647679679</v>
      </c>
      <c r="DB62" s="8">
        <f t="shared" si="122"/>
        <v>0.62675064936288405</v>
      </c>
      <c r="DC62" s="216">
        <f t="shared" si="123"/>
        <v>3.9370290242371158</v>
      </c>
      <c r="DD62" s="116">
        <f t="shared" si="124"/>
        <v>15353.261101686712</v>
      </c>
      <c r="DE62" s="8">
        <f t="shared" si="125"/>
        <v>0.39696306575742335</v>
      </c>
      <c r="DF62" s="8">
        <f t="shared" si="126"/>
        <v>0.63005005020031812</v>
      </c>
      <c r="DG62" s="8">
        <f t="shared" si="127"/>
        <v>0.39696306575742335</v>
      </c>
      <c r="DH62" s="8">
        <f t="shared" si="128"/>
        <v>0.63005005020031812</v>
      </c>
      <c r="DI62" s="216">
        <f t="shared" si="129"/>
        <v>3.9337296233996821</v>
      </c>
      <c r="DJ62" s="116">
        <f t="shared" si="130"/>
        <v>15366.138591343071</v>
      </c>
      <c r="DK62" s="8">
        <f t="shared" si="131"/>
        <v>0.3972960170268241</v>
      </c>
      <c r="DL62" s="8">
        <f t="shared" si="132"/>
        <v>0.63031422086672306</v>
      </c>
      <c r="DM62" s="8">
        <f t="shared" si="133"/>
        <v>0.3972960170268241</v>
      </c>
      <c r="DN62" s="8">
        <f t="shared" si="134"/>
        <v>0.63031422086672306</v>
      </c>
      <c r="DO62" s="216">
        <f t="shared" si="135"/>
        <v>3.9334654527332771</v>
      </c>
      <c r="DP62" s="116">
        <f t="shared" si="136"/>
        <v>15367.170577798915</v>
      </c>
      <c r="DQ62" s="170">
        <f t="shared" si="137"/>
        <v>0.39732269933911063</v>
      </c>
      <c r="DR62" s="8">
        <f t="shared" si="138"/>
        <v>0.63033538639291908</v>
      </c>
      <c r="DS62" s="8">
        <f t="shared" si="139"/>
        <v>0.39732269933911063</v>
      </c>
      <c r="DT62" s="134">
        <f t="shared" si="140"/>
        <v>0.63033538639291908</v>
      </c>
      <c r="DU62" s="170">
        <f t="shared" si="141"/>
        <v>0.41283788277202987</v>
      </c>
      <c r="DV62" s="170">
        <f t="shared" si="141"/>
        <v>0.64252461647164139</v>
      </c>
      <c r="DW62" s="170">
        <f t="shared" si="141"/>
        <v>0.41283788277202987</v>
      </c>
      <c r="DX62" s="272">
        <f t="shared" si="141"/>
        <v>0.64252461647164139</v>
      </c>
      <c r="DY62" s="272">
        <f t="shared" si="142"/>
        <v>3.2787304406567168</v>
      </c>
      <c r="DZ62" s="22">
        <f t="shared" si="12"/>
        <v>258.76034007178373</v>
      </c>
      <c r="EA62" s="216">
        <f t="shared" si="13"/>
        <v>1.695290004652427E-2</v>
      </c>
      <c r="EB62" s="12">
        <f t="shared" si="143"/>
        <v>3</v>
      </c>
      <c r="EC62" s="7">
        <f>ROUND(MAX(DV62,DX62)/'Inputs-Imperial'!$E$21,0)</f>
        <v>5</v>
      </c>
      <c r="ED62" s="12">
        <f t="shared" si="144"/>
        <v>5</v>
      </c>
      <c r="EE62" s="2">
        <f t="shared" si="145"/>
        <v>3</v>
      </c>
      <c r="EF62" s="127">
        <f t="shared" si="146"/>
        <v>3</v>
      </c>
      <c r="EG62" s="2">
        <f t="shared" si="147"/>
        <v>2.3622047244094495E-2</v>
      </c>
      <c r="EH62" s="8">
        <f t="shared" si="14"/>
        <v>0.17840865157530009</v>
      </c>
      <c r="EI62" s="138">
        <f t="shared" si="148"/>
        <v>0.25</v>
      </c>
      <c r="EJ62" s="12">
        <f t="shared" si="15"/>
        <v>9858.7689567349571</v>
      </c>
      <c r="EK62" s="138">
        <f t="shared" si="149"/>
        <v>0.25</v>
      </c>
      <c r="EL62" s="116">
        <f t="shared" si="150"/>
        <v>2175570</v>
      </c>
      <c r="EM62" s="2">
        <f t="shared" si="16"/>
        <v>2.3622047244094495E-2</v>
      </c>
      <c r="EN62" s="8">
        <f t="shared" si="151"/>
        <v>4.5637796736</v>
      </c>
      <c r="EO62" s="116">
        <f t="shared" si="152"/>
        <v>2610.6840000000002</v>
      </c>
      <c r="EP62" s="217">
        <f t="shared" si="153"/>
        <v>1.1659950497720757</v>
      </c>
      <c r="EQ62" s="207">
        <f t="shared" si="154"/>
        <v>2</v>
      </c>
      <c r="ER62" s="144">
        <f t="shared" si="155"/>
        <v>32216.138900494454</v>
      </c>
      <c r="ES62" s="138">
        <f t="shared" si="17"/>
        <v>0.25</v>
      </c>
      <c r="ET62" s="116">
        <f t="shared" si="156"/>
        <v>2175570</v>
      </c>
      <c r="EU62" s="2">
        <f t="shared" si="18"/>
        <v>2.3622047244094495E-2</v>
      </c>
      <c r="EV62" s="8">
        <f t="shared" si="157"/>
        <v>4.5637796736</v>
      </c>
      <c r="EW62" s="116">
        <f t="shared" si="158"/>
        <v>2610.6840000000002</v>
      </c>
      <c r="EX62" s="217">
        <f t="shared" si="159"/>
        <v>1.1659950497720757</v>
      </c>
      <c r="EY62" s="207">
        <f t="shared" si="160"/>
        <v>2</v>
      </c>
      <c r="EZ62" s="144">
        <f t="shared" si="161"/>
        <v>32216.138900494454</v>
      </c>
      <c r="FA62" s="138">
        <f t="shared" si="19"/>
        <v>0.25</v>
      </c>
      <c r="FB62" s="116">
        <f t="shared" si="162"/>
        <v>2175570</v>
      </c>
      <c r="FC62" s="2">
        <f t="shared" si="20"/>
        <v>2.3622047244094495E-2</v>
      </c>
      <c r="FD62" s="8">
        <f t="shared" si="163"/>
        <v>4.5637796736</v>
      </c>
      <c r="FE62" s="116">
        <f t="shared" si="164"/>
        <v>2610.6840000000002</v>
      </c>
      <c r="FF62" s="217">
        <f t="shared" si="165"/>
        <v>1.1659950497720757</v>
      </c>
      <c r="FG62" s="207">
        <f t="shared" si="166"/>
        <v>2</v>
      </c>
      <c r="FH62" s="144">
        <f t="shared" si="167"/>
        <v>32216.138900494454</v>
      </c>
      <c r="FI62" s="128">
        <f t="shared" si="168"/>
        <v>0.25</v>
      </c>
      <c r="FJ62" s="2">
        <f t="shared" si="169"/>
        <v>2.3622047244094495E-2</v>
      </c>
      <c r="FK62" s="127">
        <f t="shared" si="170"/>
        <v>2.3622047244094495E-2</v>
      </c>
      <c r="FL62" s="216">
        <f t="shared" si="171"/>
        <v>0.25</v>
      </c>
      <c r="FM62" s="138">
        <f t="shared" si="172"/>
        <v>0</v>
      </c>
      <c r="FN62" s="138">
        <f t="shared" si="173"/>
        <v>0</v>
      </c>
      <c r="FO62" s="238">
        <f t="shared" si="174"/>
        <v>0</v>
      </c>
      <c r="FP62" s="216">
        <f t="shared" si="21"/>
        <v>0.25</v>
      </c>
      <c r="FQ62" s="138">
        <f t="shared" si="22"/>
        <v>0</v>
      </c>
      <c r="FR62" s="138">
        <f t="shared" si="23"/>
        <v>0</v>
      </c>
      <c r="FS62" s="238">
        <f t="shared" si="24"/>
        <v>0</v>
      </c>
      <c r="FT62" s="216">
        <f t="shared" si="175"/>
        <v>2.3622047244094495E-2</v>
      </c>
      <c r="FU62" s="138">
        <f t="shared" si="176"/>
        <v>0</v>
      </c>
      <c r="FV62" s="138">
        <f t="shared" si="177"/>
        <v>0</v>
      </c>
      <c r="FW62" s="238">
        <f t="shared" si="178"/>
        <v>0</v>
      </c>
      <c r="FX62" s="216">
        <f t="shared" si="25"/>
        <v>2.3622047244094495E-2</v>
      </c>
      <c r="FY62" s="138">
        <f t="shared" si="26"/>
        <v>0</v>
      </c>
      <c r="FZ62" s="138">
        <f t="shared" si="27"/>
        <v>0</v>
      </c>
      <c r="GA62" s="238">
        <f t="shared" si="28"/>
        <v>0</v>
      </c>
      <c r="GB62" s="216">
        <f t="shared" si="179"/>
        <v>2.3622047244094495E-2</v>
      </c>
      <c r="GC62" s="138">
        <f t="shared" si="180"/>
        <v>0</v>
      </c>
      <c r="GD62" s="138">
        <f t="shared" si="181"/>
        <v>0</v>
      </c>
      <c r="GE62" s="238">
        <f t="shared" si="182"/>
        <v>0</v>
      </c>
      <c r="GF62" s="216">
        <f t="shared" si="29"/>
        <v>2.3622047244094495E-2</v>
      </c>
      <c r="GG62" s="138">
        <f t="shared" si="30"/>
        <v>0</v>
      </c>
      <c r="GH62" s="138">
        <f t="shared" si="31"/>
        <v>0</v>
      </c>
      <c r="GI62" s="238">
        <f t="shared" si="32"/>
        <v>0</v>
      </c>
      <c r="GJ62" s="216">
        <f t="shared" si="183"/>
        <v>0.25</v>
      </c>
      <c r="GK62" s="216">
        <f t="shared" si="184"/>
        <v>2.3622047244094495E-2</v>
      </c>
      <c r="GL62" s="17">
        <f t="shared" si="185"/>
        <v>2.3622047244094495E-2</v>
      </c>
      <c r="GM62" s="216">
        <f t="shared" si="186"/>
        <v>8.52362620583943E-3</v>
      </c>
      <c r="GN62" s="2">
        <f t="shared" si="187"/>
        <v>2</v>
      </c>
      <c r="GO62" s="2">
        <f t="shared" si="188"/>
        <v>2</v>
      </c>
      <c r="GP62" s="142">
        <f t="shared" si="189"/>
        <v>2</v>
      </c>
      <c r="GQ62" s="2">
        <f t="shared" si="190"/>
        <v>1.5748031496062995E-2</v>
      </c>
      <c r="GR62" s="8">
        <f t="shared" si="33"/>
        <v>8.9700797724427073E-2</v>
      </c>
      <c r="GS62" s="138">
        <f t="shared" si="191"/>
        <v>0.25</v>
      </c>
      <c r="GT62" s="12">
        <f t="shared" si="34"/>
        <v>7435.2288876531402</v>
      </c>
      <c r="GU62" s="138">
        <f t="shared" si="192"/>
        <v>0.25</v>
      </c>
      <c r="GV62" s="116">
        <f t="shared" si="193"/>
        <v>2175570</v>
      </c>
      <c r="GW62" s="2">
        <f t="shared" si="35"/>
        <v>2.3622047244094495E-2</v>
      </c>
      <c r="GX62" s="8">
        <f t="shared" si="36"/>
        <v>2.2818898368</v>
      </c>
      <c r="GY62" s="116">
        <f t="shared" si="194"/>
        <v>2610.6840000000002</v>
      </c>
      <c r="GZ62" s="217">
        <f t="shared" si="195"/>
        <v>4.6639801990883027</v>
      </c>
      <c r="HA62" s="207">
        <f t="shared" si="196"/>
        <v>2</v>
      </c>
      <c r="HB62" s="144">
        <f t="shared" si="197"/>
        <v>128864.55560197782</v>
      </c>
      <c r="HC62" s="138">
        <f t="shared" si="37"/>
        <v>0.25</v>
      </c>
      <c r="HD62" s="116">
        <f t="shared" si="198"/>
        <v>2175570</v>
      </c>
      <c r="HE62" s="2">
        <f t="shared" si="38"/>
        <v>2.3622047244094495E-2</v>
      </c>
      <c r="HF62" s="8">
        <f t="shared" si="199"/>
        <v>2.2818898368</v>
      </c>
      <c r="HG62" s="116">
        <f t="shared" si="200"/>
        <v>2610.6840000000002</v>
      </c>
      <c r="HH62" s="217">
        <f t="shared" si="201"/>
        <v>4.6639801990883027</v>
      </c>
      <c r="HI62" s="207">
        <f t="shared" si="202"/>
        <v>2</v>
      </c>
      <c r="HJ62" s="144">
        <f t="shared" si="203"/>
        <v>128864.55560197782</v>
      </c>
      <c r="HK62" s="138">
        <f t="shared" si="39"/>
        <v>0.25</v>
      </c>
      <c r="HL62" s="116">
        <f t="shared" si="204"/>
        <v>2175570</v>
      </c>
      <c r="HM62" s="2">
        <f t="shared" si="40"/>
        <v>2.3622047244094495E-2</v>
      </c>
      <c r="HN62" s="8">
        <f t="shared" si="205"/>
        <v>2.2818898368</v>
      </c>
      <c r="HO62" s="116">
        <f t="shared" si="206"/>
        <v>2610.6840000000002</v>
      </c>
      <c r="HP62" s="217">
        <f t="shared" si="207"/>
        <v>4.6639801990883027</v>
      </c>
      <c r="HQ62" s="207">
        <f t="shared" si="208"/>
        <v>2</v>
      </c>
      <c r="HR62" s="144">
        <f t="shared" si="209"/>
        <v>128864.55560197782</v>
      </c>
      <c r="HS62" s="128">
        <f t="shared" si="210"/>
        <v>0.25</v>
      </c>
      <c r="HT62" s="2">
        <f t="shared" si="211"/>
        <v>1.5748031496062995E-2</v>
      </c>
      <c r="HU62" s="127">
        <f t="shared" si="212"/>
        <v>1.5748031496062995E-2</v>
      </c>
      <c r="HV62" s="216">
        <f t="shared" si="213"/>
        <v>0.25</v>
      </c>
      <c r="HW62" s="138">
        <f t="shared" si="214"/>
        <v>0</v>
      </c>
      <c r="HX62" s="138">
        <f t="shared" si="215"/>
        <v>0</v>
      </c>
      <c r="HY62" s="238">
        <f t="shared" si="216"/>
        <v>0</v>
      </c>
      <c r="HZ62" s="138">
        <f t="shared" si="217"/>
        <v>0.25</v>
      </c>
      <c r="IA62" s="138">
        <f t="shared" si="218"/>
        <v>0</v>
      </c>
      <c r="IB62" s="138">
        <f t="shared" si="219"/>
        <v>0</v>
      </c>
      <c r="IC62" s="138">
        <f t="shared" si="220"/>
        <v>0</v>
      </c>
      <c r="ID62" s="216">
        <f t="shared" si="221"/>
        <v>1.5748031496062995E-2</v>
      </c>
      <c r="IE62" s="138">
        <f t="shared" si="222"/>
        <v>0</v>
      </c>
      <c r="IF62" s="138">
        <f t="shared" si="223"/>
        <v>0</v>
      </c>
      <c r="IG62" s="238">
        <f t="shared" si="224"/>
        <v>0</v>
      </c>
      <c r="IH62" s="138">
        <f t="shared" si="225"/>
        <v>1.5748031496062995E-2</v>
      </c>
      <c r="II62" s="138">
        <f t="shared" si="226"/>
        <v>0</v>
      </c>
      <c r="IJ62" s="138">
        <f t="shared" si="227"/>
        <v>0</v>
      </c>
      <c r="IK62" s="138">
        <f t="shared" si="228"/>
        <v>0</v>
      </c>
      <c r="IL62" s="216">
        <f t="shared" si="229"/>
        <v>1.5748031496062995E-2</v>
      </c>
      <c r="IM62" s="138">
        <f t="shared" si="230"/>
        <v>0</v>
      </c>
      <c r="IN62" s="138">
        <f t="shared" si="231"/>
        <v>0</v>
      </c>
      <c r="IO62" s="238">
        <f t="shared" si="232"/>
        <v>0</v>
      </c>
      <c r="IP62" s="138">
        <f t="shared" si="233"/>
        <v>1.5748031496062995E-2</v>
      </c>
      <c r="IQ62" s="138">
        <f t="shared" si="234"/>
        <v>0</v>
      </c>
      <c r="IR62" s="138">
        <f t="shared" si="235"/>
        <v>0</v>
      </c>
      <c r="IS62" s="138">
        <f t="shared" si="236"/>
        <v>0</v>
      </c>
      <c r="IT62" s="17">
        <f t="shared" si="237"/>
        <v>0.25</v>
      </c>
      <c r="IU62" s="17">
        <f t="shared" si="238"/>
        <v>1.5748031496062995E-2</v>
      </c>
      <c r="IV62" s="17">
        <f t="shared" si="239"/>
        <v>1.5748031496062995E-2</v>
      </c>
      <c r="IW62" s="253">
        <f t="shared" si="240"/>
        <v>12.677165759999998</v>
      </c>
      <c r="IX62" s="116">
        <f t="shared" si="241"/>
        <v>476.81189722040313</v>
      </c>
      <c r="IY62" s="8">
        <f t="shared" si="242"/>
        <v>1.2328111354103832E-2</v>
      </c>
      <c r="IZ62" s="8">
        <f t="shared" si="243"/>
        <v>1.2328111354103832E-2</v>
      </c>
      <c r="JA62" s="8">
        <f t="shared" si="244"/>
        <v>6.1640556770519161E-3</v>
      </c>
      <c r="JB62" s="134">
        <f t="shared" si="245"/>
        <v>7.8511500285320723E-2</v>
      </c>
      <c r="JC62" s="170">
        <f t="shared" si="246"/>
        <v>6.3945696655626945E-3</v>
      </c>
      <c r="JD62" s="272">
        <f t="shared" si="247"/>
        <v>7.9966053207362275E-2</v>
      </c>
      <c r="JE62" s="8"/>
      <c r="JF62" s="8"/>
    </row>
    <row r="63" spans="1:266" x14ac:dyDescent="0.25">
      <c r="A63" s="186">
        <v>3</v>
      </c>
      <c r="B63" s="187">
        <f>A63/100*'Inputs-Imperial'!$E$5</f>
        <v>0.29527560000000003</v>
      </c>
      <c r="C63" s="188">
        <f>'Inputs-Imperial'!$E$10+('Inputs-Imperial'!$E$9-'Inputs-Imperial'!$E$10)*(100-A63)/100</f>
        <v>2.10301844</v>
      </c>
      <c r="D63" s="187">
        <f t="shared" si="248"/>
        <v>9.8425200000000018E-2</v>
      </c>
      <c r="E63" s="188">
        <f t="shared" si="249"/>
        <v>0.20747438656044007</v>
      </c>
      <c r="F63" s="423">
        <f>Loads!P23</f>
        <v>116.54212680447908</v>
      </c>
      <c r="G63" s="423">
        <f>Loads!M23</f>
        <v>1165.4212680447899</v>
      </c>
      <c r="H63" s="423">
        <f>Loads!N23</f>
        <v>4920.9534174412865</v>
      </c>
      <c r="I63" s="423">
        <f>Loads!V23</f>
        <v>-1090.5825019030292</v>
      </c>
      <c r="J63" s="423">
        <f>Loads!Q23</f>
        <v>492.09534174412875</v>
      </c>
      <c r="K63" s="2">
        <v>3</v>
      </c>
      <c r="L63" s="12">
        <f t="shared" si="41"/>
        <v>3.5433072000000001</v>
      </c>
      <c r="M63" s="11">
        <f t="shared" si="42"/>
        <v>25.236221280000002</v>
      </c>
      <c r="N63" s="11">
        <f t="shared" si="43"/>
        <v>1.1811024000000003</v>
      </c>
      <c r="O63" s="152">
        <f t="shared" si="44"/>
        <v>29.876311664703373</v>
      </c>
      <c r="P63" s="151">
        <f t="shared" si="45"/>
        <v>116.54212680447908</v>
      </c>
      <c r="Q63" s="12">
        <f t="shared" si="46"/>
        <v>1165.4212680447899</v>
      </c>
      <c r="R63" s="12">
        <f t="shared" si="47"/>
        <v>59051.441009295435</v>
      </c>
      <c r="S63" s="12">
        <f t="shared" si="48"/>
        <v>-13086.990022836351</v>
      </c>
      <c r="T63" s="152">
        <f t="shared" si="49"/>
        <v>5905.1441009295449</v>
      </c>
      <c r="U63" s="8">
        <f t="shared" si="0"/>
        <v>4.5425198303999998</v>
      </c>
      <c r="V63" s="8">
        <f t="shared" si="1"/>
        <v>4.5425198303999998</v>
      </c>
      <c r="W63" s="134">
        <f t="shared" si="2"/>
        <v>2.2712599151999999</v>
      </c>
      <c r="X63" s="311">
        <f t="shared" si="3"/>
        <v>6.3090553200000006</v>
      </c>
      <c r="Y63" s="11">
        <f t="shared" si="4"/>
        <v>18.927165960000004</v>
      </c>
      <c r="Z63" s="11">
        <f t="shared" si="5"/>
        <v>12.618110640000003</v>
      </c>
      <c r="AA63" s="316">
        <f t="shared" si="50"/>
        <v>18.927165960000004</v>
      </c>
      <c r="AB63" s="170">
        <f t="shared" si="51"/>
        <v>3.4068898727999999</v>
      </c>
      <c r="AC63" s="11">
        <f t="shared" si="52"/>
        <v>18.927165960000004</v>
      </c>
      <c r="AD63" s="152">
        <f t="shared" si="53"/>
        <v>50.644649152286178</v>
      </c>
      <c r="AE63" s="151">
        <f t="shared" si="6"/>
        <v>6.1573997422950191</v>
      </c>
      <c r="AF63" s="12">
        <f t="shared" si="54"/>
        <v>129.20407428911554</v>
      </c>
      <c r="AG63" s="216">
        <f t="shared" si="7"/>
        <v>8.8683201558944179E-3</v>
      </c>
      <c r="AH63" s="2">
        <f t="shared" si="55"/>
        <v>2</v>
      </c>
      <c r="AI63" s="2">
        <f t="shared" si="56"/>
        <v>3</v>
      </c>
      <c r="AJ63" s="127">
        <f t="shared" si="57"/>
        <v>2</v>
      </c>
      <c r="AK63" s="2">
        <f t="shared" si="58"/>
        <v>1.5748031496062995E-2</v>
      </c>
      <c r="AL63" s="8">
        <f t="shared" si="8"/>
        <v>9.3328282264930937E-2</v>
      </c>
      <c r="AM63" s="138">
        <f t="shared" si="59"/>
        <v>0.25</v>
      </c>
      <c r="AN63" s="12">
        <f t="shared" si="9"/>
        <v>7735.9082408951117</v>
      </c>
      <c r="AO63" s="138">
        <f t="shared" si="60"/>
        <v>0.25</v>
      </c>
      <c r="AP63" s="116">
        <f t="shared" si="61"/>
        <v>2175570</v>
      </c>
      <c r="AQ63" s="2">
        <f t="shared" si="62"/>
        <v>1.5748031496062995E-2</v>
      </c>
      <c r="AR63" s="8">
        <f t="shared" si="63"/>
        <v>12.618110640000003</v>
      </c>
      <c r="AS63" s="116">
        <f t="shared" si="64"/>
        <v>2610.6840000000002</v>
      </c>
      <c r="AT63" s="217">
        <f t="shared" si="65"/>
        <v>0.10168716154784536</v>
      </c>
      <c r="AU63" s="207">
        <f t="shared" si="66"/>
        <v>3.8795580220049528</v>
      </c>
      <c r="AV63" s="144">
        <f t="shared" si="67"/>
        <v>8174.9747910359101</v>
      </c>
      <c r="AW63" s="138">
        <f t="shared" si="68"/>
        <v>0.25</v>
      </c>
      <c r="AX63" s="116">
        <f t="shared" si="69"/>
        <v>2175570</v>
      </c>
      <c r="AY63" s="2">
        <f t="shared" si="70"/>
        <v>1.5748031496062995E-2</v>
      </c>
      <c r="AZ63" s="8">
        <f t="shared" si="71"/>
        <v>12.618110640000003</v>
      </c>
      <c r="BA63" s="116">
        <f t="shared" si="72"/>
        <v>2610.6840000000002</v>
      </c>
      <c r="BB63" s="217">
        <f t="shared" si="73"/>
        <v>0.10168716154784536</v>
      </c>
      <c r="BC63" s="207">
        <f t="shared" si="74"/>
        <v>3.8795580220049528</v>
      </c>
      <c r="BD63" s="144">
        <f t="shared" si="75"/>
        <v>8174.9747910359101</v>
      </c>
      <c r="BE63" s="138">
        <f t="shared" si="76"/>
        <v>0.25</v>
      </c>
      <c r="BF63" s="116">
        <f t="shared" si="77"/>
        <v>2175570</v>
      </c>
      <c r="BG63" s="2">
        <f t="shared" si="78"/>
        <v>1.5748031496062995E-2</v>
      </c>
      <c r="BH63" s="8">
        <f t="shared" si="79"/>
        <v>12.618110640000003</v>
      </c>
      <c r="BI63" s="116">
        <f t="shared" si="80"/>
        <v>2610.6840000000002</v>
      </c>
      <c r="BJ63" s="217">
        <f t="shared" si="81"/>
        <v>0.10168716154784536</v>
      </c>
      <c r="BK63" s="207">
        <f t="shared" si="82"/>
        <v>3.8795580220049528</v>
      </c>
      <c r="BL63" s="144">
        <f t="shared" si="83"/>
        <v>8174.9747910359101</v>
      </c>
      <c r="BM63" s="216">
        <f t="shared" si="84"/>
        <v>0.25</v>
      </c>
      <c r="BN63" s="216">
        <f t="shared" si="85"/>
        <v>2.3622047244094495E-2</v>
      </c>
      <c r="BO63" s="238">
        <f t="shared" si="86"/>
        <v>1.5748031496062995E-2</v>
      </c>
      <c r="BP63" s="216">
        <f t="shared" si="87"/>
        <v>0.25</v>
      </c>
      <c r="BQ63" s="138">
        <f t="shared" si="88"/>
        <v>0</v>
      </c>
      <c r="BR63" s="138">
        <f t="shared" si="89"/>
        <v>0</v>
      </c>
      <c r="BS63" s="238">
        <f t="shared" si="90"/>
        <v>0</v>
      </c>
      <c r="BT63" s="138">
        <f t="shared" si="91"/>
        <v>0.25</v>
      </c>
      <c r="BU63" s="138">
        <f t="shared" si="92"/>
        <v>0</v>
      </c>
      <c r="BV63" s="138">
        <f t="shared" si="93"/>
        <v>0</v>
      </c>
      <c r="BW63" s="238">
        <f t="shared" si="94"/>
        <v>0</v>
      </c>
      <c r="BX63" s="216">
        <f t="shared" si="95"/>
        <v>2.3622047244094495E-2</v>
      </c>
      <c r="BY63" s="138">
        <f t="shared" si="96"/>
        <v>0</v>
      </c>
      <c r="BZ63" s="138">
        <f t="shared" si="97"/>
        <v>0</v>
      </c>
      <c r="CA63" s="238">
        <f t="shared" si="98"/>
        <v>0</v>
      </c>
      <c r="CB63" s="138">
        <f t="shared" si="99"/>
        <v>2.3622047244094495E-2</v>
      </c>
      <c r="CC63" s="138">
        <f t="shared" si="100"/>
        <v>0</v>
      </c>
      <c r="CD63" s="138">
        <f t="shared" si="101"/>
        <v>0</v>
      </c>
      <c r="CE63" s="238">
        <f t="shared" si="102"/>
        <v>0</v>
      </c>
      <c r="CF63" s="216">
        <f t="shared" si="103"/>
        <v>1.5748031496062995E-2</v>
      </c>
      <c r="CG63" s="138">
        <f t="shared" si="104"/>
        <v>0</v>
      </c>
      <c r="CH63" s="138">
        <f t="shared" si="105"/>
        <v>0</v>
      </c>
      <c r="CI63" s="238">
        <f t="shared" si="106"/>
        <v>0</v>
      </c>
      <c r="CJ63" s="138">
        <f t="shared" si="107"/>
        <v>1.5748031496062995E-2</v>
      </c>
      <c r="CK63" s="138">
        <f t="shared" si="108"/>
        <v>0</v>
      </c>
      <c r="CL63" s="138">
        <f t="shared" si="109"/>
        <v>0</v>
      </c>
      <c r="CM63" s="238">
        <f t="shared" si="110"/>
        <v>0</v>
      </c>
      <c r="CN63" s="17">
        <f t="shared" si="111"/>
        <v>0.25</v>
      </c>
      <c r="CO63" s="17">
        <f t="shared" si="112"/>
        <v>2.3622047244094495E-2</v>
      </c>
      <c r="CP63" s="17">
        <f t="shared" si="113"/>
        <v>1.5748031496062995E-2</v>
      </c>
      <c r="CQ63" s="17">
        <f>$U63-IF('Inputs-Imperial'!$E$13,0,2)*($CO63+$CN63+$CP63)</f>
        <v>4.5425198303999998</v>
      </c>
      <c r="CR63" s="116">
        <f t="shared" si="114"/>
        <v>12999.710119943617</v>
      </c>
      <c r="CS63" s="8">
        <f t="shared" si="10"/>
        <v>0.3361113153090125</v>
      </c>
      <c r="CT63" s="8">
        <f t="shared" si="115"/>
        <v>0.57975108047248392</v>
      </c>
      <c r="CU63" s="8">
        <f t="shared" si="11"/>
        <v>0.3361113153090125</v>
      </c>
      <c r="CV63" s="8">
        <f t="shared" si="116"/>
        <v>0.57975108047248392</v>
      </c>
      <c r="CW63" s="216">
        <f t="shared" si="117"/>
        <v>3.9627687499275162</v>
      </c>
      <c r="CX63" s="116">
        <f t="shared" si="118"/>
        <v>14901.561190108698</v>
      </c>
      <c r="CY63" s="8">
        <f t="shared" si="119"/>
        <v>0.38528423215231605</v>
      </c>
      <c r="CZ63" s="8">
        <f t="shared" si="120"/>
        <v>0.62071268083737108</v>
      </c>
      <c r="DA63" s="8">
        <f t="shared" si="121"/>
        <v>0.38528423215231605</v>
      </c>
      <c r="DB63" s="8">
        <f t="shared" si="122"/>
        <v>0.62071268083737108</v>
      </c>
      <c r="DC63" s="216">
        <f t="shared" si="123"/>
        <v>3.9218071495626283</v>
      </c>
      <c r="DD63" s="116">
        <f t="shared" si="124"/>
        <v>15057.201631110553</v>
      </c>
      <c r="DE63" s="8">
        <f t="shared" si="125"/>
        <v>0.3893083613719478</v>
      </c>
      <c r="DF63" s="8">
        <f t="shared" si="126"/>
        <v>0.62394580002749256</v>
      </c>
      <c r="DG63" s="8">
        <f t="shared" si="127"/>
        <v>0.3893083613719478</v>
      </c>
      <c r="DH63" s="8">
        <f t="shared" si="128"/>
        <v>0.62394580002749256</v>
      </c>
      <c r="DI63" s="216">
        <f t="shared" si="129"/>
        <v>3.9185740303725076</v>
      </c>
      <c r="DJ63" s="116">
        <f t="shared" si="130"/>
        <v>15069.624958363205</v>
      </c>
      <c r="DK63" s="8">
        <f t="shared" si="131"/>
        <v>0.38962957013928773</v>
      </c>
      <c r="DL63" s="8">
        <f t="shared" si="132"/>
        <v>0.62420314813311195</v>
      </c>
      <c r="DM63" s="8">
        <f t="shared" si="133"/>
        <v>0.38962957013928773</v>
      </c>
      <c r="DN63" s="8">
        <f t="shared" si="134"/>
        <v>0.62420314813311195</v>
      </c>
      <c r="DO63" s="216">
        <f t="shared" si="135"/>
        <v>3.9183166822668878</v>
      </c>
      <c r="DP63" s="116">
        <f t="shared" si="136"/>
        <v>15070.614704662423</v>
      </c>
      <c r="DQ63" s="170">
        <f t="shared" si="137"/>
        <v>0.38965516031994429</v>
      </c>
      <c r="DR63" s="8">
        <f t="shared" si="138"/>
        <v>0.62422364607562275</v>
      </c>
      <c r="DS63" s="8">
        <f t="shared" si="139"/>
        <v>0.38965516031994429</v>
      </c>
      <c r="DT63" s="134">
        <f t="shared" si="140"/>
        <v>0.62422364607562275</v>
      </c>
      <c r="DU63" s="170">
        <f t="shared" si="141"/>
        <v>0.41283788277202987</v>
      </c>
      <c r="DV63" s="170">
        <f t="shared" si="141"/>
        <v>0.64252461647164139</v>
      </c>
      <c r="DW63" s="170">
        <f t="shared" si="141"/>
        <v>0.41283788277202987</v>
      </c>
      <c r="DX63" s="272">
        <f t="shared" si="141"/>
        <v>0.64252461647164139</v>
      </c>
      <c r="DY63" s="272">
        <f t="shared" si="142"/>
        <v>3.2574705974567166</v>
      </c>
      <c r="DZ63" s="22">
        <f t="shared" si="12"/>
        <v>256.55832259562567</v>
      </c>
      <c r="EA63" s="216">
        <f t="shared" si="13"/>
        <v>1.6808633030320583E-2</v>
      </c>
      <c r="EB63" s="12">
        <f t="shared" si="143"/>
        <v>3</v>
      </c>
      <c r="EC63" s="7">
        <f>ROUND(MAX(DV63,DX63)/'Inputs-Imperial'!$E$21,0)</f>
        <v>5</v>
      </c>
      <c r="ED63" s="12">
        <f t="shared" si="144"/>
        <v>5</v>
      </c>
      <c r="EE63" s="2">
        <f t="shared" si="145"/>
        <v>3</v>
      </c>
      <c r="EF63" s="127">
        <f t="shared" si="146"/>
        <v>3</v>
      </c>
      <c r="EG63" s="2">
        <f t="shared" si="147"/>
        <v>2.3622047244094495E-2</v>
      </c>
      <c r="EH63" s="8">
        <f t="shared" si="14"/>
        <v>0.17689041671536124</v>
      </c>
      <c r="EI63" s="138">
        <f t="shared" si="148"/>
        <v>0.25</v>
      </c>
      <c r="EJ63" s="12">
        <f t="shared" si="15"/>
        <v>9774.8720908933356</v>
      </c>
      <c r="EK63" s="138">
        <f t="shared" si="149"/>
        <v>0.25</v>
      </c>
      <c r="EL63" s="116">
        <f t="shared" si="150"/>
        <v>2175570</v>
      </c>
      <c r="EM63" s="2">
        <f t="shared" si="16"/>
        <v>2.3622047244094495E-2</v>
      </c>
      <c r="EN63" s="8">
        <f t="shared" si="151"/>
        <v>4.5425198303999998</v>
      </c>
      <c r="EO63" s="116">
        <f t="shared" si="152"/>
        <v>2610.6840000000002</v>
      </c>
      <c r="EP63" s="217">
        <f t="shared" si="153"/>
        <v>1.1769347401370998</v>
      </c>
      <c r="EQ63" s="207">
        <f t="shared" si="154"/>
        <v>2</v>
      </c>
      <c r="ER63" s="144">
        <f t="shared" si="155"/>
        <v>32518.399690020884</v>
      </c>
      <c r="ES63" s="138">
        <f t="shared" si="17"/>
        <v>0.25</v>
      </c>
      <c r="ET63" s="116">
        <f t="shared" si="156"/>
        <v>2175570</v>
      </c>
      <c r="EU63" s="2">
        <f t="shared" si="18"/>
        <v>2.3622047244094495E-2</v>
      </c>
      <c r="EV63" s="8">
        <f t="shared" si="157"/>
        <v>4.5425198303999998</v>
      </c>
      <c r="EW63" s="116">
        <f t="shared" si="158"/>
        <v>2610.6840000000002</v>
      </c>
      <c r="EX63" s="217">
        <f t="shared" si="159"/>
        <v>1.1769347401370998</v>
      </c>
      <c r="EY63" s="207">
        <f t="shared" si="160"/>
        <v>2</v>
      </c>
      <c r="EZ63" s="144">
        <f t="shared" si="161"/>
        <v>32518.399690020884</v>
      </c>
      <c r="FA63" s="138">
        <f t="shared" si="19"/>
        <v>0.25</v>
      </c>
      <c r="FB63" s="116">
        <f t="shared" si="162"/>
        <v>2175570</v>
      </c>
      <c r="FC63" s="2">
        <f t="shared" si="20"/>
        <v>2.3622047244094495E-2</v>
      </c>
      <c r="FD63" s="8">
        <f t="shared" si="163"/>
        <v>4.5425198303999998</v>
      </c>
      <c r="FE63" s="116">
        <f t="shared" si="164"/>
        <v>2610.6840000000002</v>
      </c>
      <c r="FF63" s="217">
        <f t="shared" si="165"/>
        <v>1.1769347401370998</v>
      </c>
      <c r="FG63" s="207">
        <f t="shared" si="166"/>
        <v>2</v>
      </c>
      <c r="FH63" s="144">
        <f t="shared" si="167"/>
        <v>32518.399690020884</v>
      </c>
      <c r="FI63" s="128">
        <f t="shared" si="168"/>
        <v>0.25</v>
      </c>
      <c r="FJ63" s="2">
        <f t="shared" si="169"/>
        <v>2.3622047244094495E-2</v>
      </c>
      <c r="FK63" s="127">
        <f t="shared" si="170"/>
        <v>2.3622047244094495E-2</v>
      </c>
      <c r="FL63" s="216">
        <f t="shared" si="171"/>
        <v>0.25</v>
      </c>
      <c r="FM63" s="138">
        <f t="shared" si="172"/>
        <v>0</v>
      </c>
      <c r="FN63" s="138">
        <f t="shared" si="173"/>
        <v>0</v>
      </c>
      <c r="FO63" s="238">
        <f t="shared" si="174"/>
        <v>0</v>
      </c>
      <c r="FP63" s="216">
        <f t="shared" si="21"/>
        <v>0.25</v>
      </c>
      <c r="FQ63" s="138">
        <f t="shared" si="22"/>
        <v>0</v>
      </c>
      <c r="FR63" s="138">
        <f t="shared" si="23"/>
        <v>0</v>
      </c>
      <c r="FS63" s="238">
        <f t="shared" si="24"/>
        <v>0</v>
      </c>
      <c r="FT63" s="216">
        <f t="shared" si="175"/>
        <v>2.3622047244094495E-2</v>
      </c>
      <c r="FU63" s="138">
        <f t="shared" si="176"/>
        <v>0</v>
      </c>
      <c r="FV63" s="138">
        <f t="shared" si="177"/>
        <v>0</v>
      </c>
      <c r="FW63" s="238">
        <f t="shared" si="178"/>
        <v>0</v>
      </c>
      <c r="FX63" s="216">
        <f t="shared" si="25"/>
        <v>2.3622047244094495E-2</v>
      </c>
      <c r="FY63" s="138">
        <f t="shared" si="26"/>
        <v>0</v>
      </c>
      <c r="FZ63" s="138">
        <f t="shared" si="27"/>
        <v>0</v>
      </c>
      <c r="GA63" s="238">
        <f t="shared" si="28"/>
        <v>0</v>
      </c>
      <c r="GB63" s="216">
        <f t="shared" si="179"/>
        <v>2.3622047244094495E-2</v>
      </c>
      <c r="GC63" s="138">
        <f t="shared" si="180"/>
        <v>0</v>
      </c>
      <c r="GD63" s="138">
        <f t="shared" si="181"/>
        <v>0</v>
      </c>
      <c r="GE63" s="238">
        <f t="shared" si="182"/>
        <v>0</v>
      </c>
      <c r="GF63" s="216">
        <f t="shared" si="29"/>
        <v>2.3622047244094495E-2</v>
      </c>
      <c r="GG63" s="138">
        <f t="shared" si="30"/>
        <v>0</v>
      </c>
      <c r="GH63" s="138">
        <f t="shared" si="31"/>
        <v>0</v>
      </c>
      <c r="GI63" s="238">
        <f t="shared" si="32"/>
        <v>0</v>
      </c>
      <c r="GJ63" s="216">
        <f t="shared" si="183"/>
        <v>0.25</v>
      </c>
      <c r="GK63" s="216">
        <f t="shared" si="184"/>
        <v>2.3622047244094495E-2</v>
      </c>
      <c r="GL63" s="17">
        <f t="shared" si="185"/>
        <v>2.3622047244094495E-2</v>
      </c>
      <c r="GM63" s="216">
        <f t="shared" si="186"/>
        <v>8.4649129631667232E-3</v>
      </c>
      <c r="GN63" s="2">
        <f t="shared" si="187"/>
        <v>2</v>
      </c>
      <c r="GO63" s="2">
        <f t="shared" si="188"/>
        <v>2</v>
      </c>
      <c r="GP63" s="142">
        <f t="shared" si="189"/>
        <v>2</v>
      </c>
      <c r="GQ63" s="2">
        <f t="shared" si="190"/>
        <v>1.5748031496062995E-2</v>
      </c>
      <c r="GR63" s="8">
        <f t="shared" si="33"/>
        <v>8.9082912263762276E-2</v>
      </c>
      <c r="GS63" s="138">
        <f t="shared" si="191"/>
        <v>0.25</v>
      </c>
      <c r="GT63" s="12">
        <f t="shared" si="34"/>
        <v>7384.0128456229522</v>
      </c>
      <c r="GU63" s="138">
        <f t="shared" si="192"/>
        <v>0.25</v>
      </c>
      <c r="GV63" s="116">
        <f t="shared" si="193"/>
        <v>2175570</v>
      </c>
      <c r="GW63" s="2">
        <f t="shared" si="35"/>
        <v>2.3622047244094495E-2</v>
      </c>
      <c r="GX63" s="8">
        <f t="shared" si="36"/>
        <v>2.2712599151999999</v>
      </c>
      <c r="GY63" s="116">
        <f t="shared" si="194"/>
        <v>2610.6840000000002</v>
      </c>
      <c r="GZ63" s="217">
        <f t="shared" si="195"/>
        <v>4.707738960548399</v>
      </c>
      <c r="HA63" s="207">
        <f t="shared" si="196"/>
        <v>2</v>
      </c>
      <c r="HB63" s="144">
        <f t="shared" si="197"/>
        <v>130073.59876008354</v>
      </c>
      <c r="HC63" s="138">
        <f t="shared" si="37"/>
        <v>0.25</v>
      </c>
      <c r="HD63" s="116">
        <f t="shared" si="198"/>
        <v>2175570</v>
      </c>
      <c r="HE63" s="2">
        <f t="shared" si="38"/>
        <v>2.3622047244094495E-2</v>
      </c>
      <c r="HF63" s="8">
        <f t="shared" si="199"/>
        <v>2.2712599151999999</v>
      </c>
      <c r="HG63" s="116">
        <f t="shared" si="200"/>
        <v>2610.6840000000002</v>
      </c>
      <c r="HH63" s="217">
        <f t="shared" si="201"/>
        <v>4.707738960548399</v>
      </c>
      <c r="HI63" s="207">
        <f t="shared" si="202"/>
        <v>2</v>
      </c>
      <c r="HJ63" s="144">
        <f t="shared" si="203"/>
        <v>130073.59876008354</v>
      </c>
      <c r="HK63" s="138">
        <f t="shared" si="39"/>
        <v>0.25</v>
      </c>
      <c r="HL63" s="116">
        <f t="shared" si="204"/>
        <v>2175570</v>
      </c>
      <c r="HM63" s="2">
        <f t="shared" si="40"/>
        <v>2.3622047244094495E-2</v>
      </c>
      <c r="HN63" s="8">
        <f t="shared" si="205"/>
        <v>2.2712599151999999</v>
      </c>
      <c r="HO63" s="116">
        <f t="shared" si="206"/>
        <v>2610.6840000000002</v>
      </c>
      <c r="HP63" s="217">
        <f t="shared" si="207"/>
        <v>4.707738960548399</v>
      </c>
      <c r="HQ63" s="207">
        <f t="shared" si="208"/>
        <v>2</v>
      </c>
      <c r="HR63" s="144">
        <f t="shared" si="209"/>
        <v>130073.59876008354</v>
      </c>
      <c r="HS63" s="128">
        <f t="shared" si="210"/>
        <v>0.25</v>
      </c>
      <c r="HT63" s="2">
        <f t="shared" si="211"/>
        <v>1.5748031496062995E-2</v>
      </c>
      <c r="HU63" s="127">
        <f t="shared" si="212"/>
        <v>1.5748031496062995E-2</v>
      </c>
      <c r="HV63" s="216">
        <f t="shared" si="213"/>
        <v>0.25</v>
      </c>
      <c r="HW63" s="138">
        <f t="shared" si="214"/>
        <v>0</v>
      </c>
      <c r="HX63" s="138">
        <f t="shared" si="215"/>
        <v>0</v>
      </c>
      <c r="HY63" s="238">
        <f t="shared" si="216"/>
        <v>0</v>
      </c>
      <c r="HZ63" s="138">
        <f t="shared" si="217"/>
        <v>0.25</v>
      </c>
      <c r="IA63" s="138">
        <f t="shared" si="218"/>
        <v>0</v>
      </c>
      <c r="IB63" s="138">
        <f t="shared" si="219"/>
        <v>0</v>
      </c>
      <c r="IC63" s="138">
        <f t="shared" si="220"/>
        <v>0</v>
      </c>
      <c r="ID63" s="216">
        <f t="shared" si="221"/>
        <v>1.5748031496062995E-2</v>
      </c>
      <c r="IE63" s="138">
        <f t="shared" si="222"/>
        <v>0</v>
      </c>
      <c r="IF63" s="138">
        <f t="shared" si="223"/>
        <v>0</v>
      </c>
      <c r="IG63" s="238">
        <f t="shared" si="224"/>
        <v>0</v>
      </c>
      <c r="IH63" s="138">
        <f t="shared" si="225"/>
        <v>1.5748031496062995E-2</v>
      </c>
      <c r="II63" s="138">
        <f t="shared" si="226"/>
        <v>0</v>
      </c>
      <c r="IJ63" s="138">
        <f t="shared" si="227"/>
        <v>0</v>
      </c>
      <c r="IK63" s="138">
        <f t="shared" si="228"/>
        <v>0</v>
      </c>
      <c r="IL63" s="216">
        <f t="shared" si="229"/>
        <v>1.5748031496062995E-2</v>
      </c>
      <c r="IM63" s="138">
        <f t="shared" si="230"/>
        <v>0</v>
      </c>
      <c r="IN63" s="138">
        <f t="shared" si="231"/>
        <v>0</v>
      </c>
      <c r="IO63" s="238">
        <f t="shared" si="232"/>
        <v>0</v>
      </c>
      <c r="IP63" s="138">
        <f t="shared" si="233"/>
        <v>1.5748031496062995E-2</v>
      </c>
      <c r="IQ63" s="138">
        <f t="shared" si="234"/>
        <v>0</v>
      </c>
      <c r="IR63" s="138">
        <f t="shared" si="235"/>
        <v>0</v>
      </c>
      <c r="IS63" s="138">
        <f t="shared" si="236"/>
        <v>0</v>
      </c>
      <c r="IT63" s="17">
        <f t="shared" si="237"/>
        <v>0.25</v>
      </c>
      <c r="IU63" s="17">
        <f t="shared" si="238"/>
        <v>1.5748031496062995E-2</v>
      </c>
      <c r="IV63" s="17">
        <f t="shared" si="239"/>
        <v>1.5748031496062995E-2</v>
      </c>
      <c r="IW63" s="253">
        <f t="shared" si="240"/>
        <v>12.618110640000003</v>
      </c>
      <c r="IX63" s="116">
        <f t="shared" si="241"/>
        <v>467.98956431797018</v>
      </c>
      <c r="IY63" s="8">
        <f t="shared" si="242"/>
        <v>1.210000735112445E-2</v>
      </c>
      <c r="IZ63" s="8">
        <f t="shared" si="243"/>
        <v>1.210000735112445E-2</v>
      </c>
      <c r="JA63" s="8">
        <f t="shared" si="244"/>
        <v>6.0500036755622251E-3</v>
      </c>
      <c r="JB63" s="134">
        <f t="shared" si="245"/>
        <v>7.7781769557925498E-2</v>
      </c>
      <c r="JC63" s="170">
        <f t="shared" si="246"/>
        <v>6.3945696655626945E-3</v>
      </c>
      <c r="JD63" s="272">
        <f t="shared" si="247"/>
        <v>7.9966053207362275E-2</v>
      </c>
      <c r="JE63" s="8"/>
      <c r="JF63" s="8"/>
    </row>
    <row r="64" spans="1:266" x14ac:dyDescent="0.25">
      <c r="A64" s="186">
        <v>4</v>
      </c>
      <c r="B64" s="187">
        <f>A64/100*'Inputs-Imperial'!$E$5</f>
        <v>0.39370080000000002</v>
      </c>
      <c r="C64" s="188">
        <f>'Inputs-Imperial'!$E$10+('Inputs-Imperial'!$E$9-'Inputs-Imperial'!$E$10)*(100-A64)/100</f>
        <v>2.0931759200000002</v>
      </c>
      <c r="D64" s="187">
        <f t="shared" si="248"/>
        <v>9.842519999999999E-2</v>
      </c>
      <c r="E64" s="188">
        <f t="shared" si="249"/>
        <v>0.20650563456093596</v>
      </c>
      <c r="F64" s="423">
        <f>Loads!P24</f>
        <v>114.99560403490281</v>
      </c>
      <c r="G64" s="423">
        <f>Loads!M24</f>
        <v>1149.9560403490273</v>
      </c>
      <c r="H64" s="423">
        <f>Loads!N24</f>
        <v>4806.2465960497248</v>
      </c>
      <c r="I64" s="423">
        <f>Loads!V24</f>
        <v>-1072.8045764457195</v>
      </c>
      <c r="J64" s="423">
        <f>Loads!Q24</f>
        <v>480.62465960497252</v>
      </c>
      <c r="K64" s="2">
        <v>4</v>
      </c>
      <c r="L64" s="12">
        <f t="shared" si="41"/>
        <v>4.7244096000000004</v>
      </c>
      <c r="M64" s="11">
        <f t="shared" si="42"/>
        <v>25.118111040000002</v>
      </c>
      <c r="N64" s="11">
        <f t="shared" si="43"/>
        <v>1.1811023999999999</v>
      </c>
      <c r="O64" s="152">
        <f t="shared" si="44"/>
        <v>29.736811376774778</v>
      </c>
      <c r="P64" s="151">
        <f t="shared" si="45"/>
        <v>114.99560403490281</v>
      </c>
      <c r="Q64" s="12">
        <f t="shared" si="46"/>
        <v>1149.9560403490273</v>
      </c>
      <c r="R64" s="12">
        <f t="shared" si="47"/>
        <v>57674.959152596697</v>
      </c>
      <c r="S64" s="12">
        <f t="shared" si="48"/>
        <v>-12873.654917348635</v>
      </c>
      <c r="T64" s="152">
        <f t="shared" si="49"/>
        <v>5767.4959152596703</v>
      </c>
      <c r="U64" s="8">
        <f t="shared" si="0"/>
        <v>4.5212599872000006</v>
      </c>
      <c r="V64" s="8">
        <f t="shared" si="1"/>
        <v>4.5212599872000006</v>
      </c>
      <c r="W64" s="134">
        <f t="shared" si="2"/>
        <v>2.2606299936000003</v>
      </c>
      <c r="X64" s="311">
        <f t="shared" si="3"/>
        <v>6.2795277600000006</v>
      </c>
      <c r="Y64" s="11">
        <f t="shared" si="4"/>
        <v>18.838583280000002</v>
      </c>
      <c r="Z64" s="11">
        <f t="shared" si="5"/>
        <v>12.559055520000001</v>
      </c>
      <c r="AA64" s="316">
        <f t="shared" si="50"/>
        <v>18.838583280000002</v>
      </c>
      <c r="AB64" s="170">
        <f t="shared" si="51"/>
        <v>3.3909449904000004</v>
      </c>
      <c r="AC64" s="11">
        <f t="shared" si="52"/>
        <v>18.838583280000002</v>
      </c>
      <c r="AD64" s="152">
        <f t="shared" si="53"/>
        <v>50.171705602213727</v>
      </c>
      <c r="AE64" s="151">
        <f t="shared" si="6"/>
        <v>6.1042596635697119</v>
      </c>
      <c r="AF64" s="12">
        <f t="shared" si="54"/>
        <v>128.29596644986901</v>
      </c>
      <c r="AG64" s="216">
        <f t="shared" si="7"/>
        <v>8.8053431947852107E-3</v>
      </c>
      <c r="AH64" s="2">
        <f t="shared" si="55"/>
        <v>2</v>
      </c>
      <c r="AI64" s="2">
        <f t="shared" si="56"/>
        <v>3</v>
      </c>
      <c r="AJ64" s="127">
        <f t="shared" si="57"/>
        <v>2</v>
      </c>
      <c r="AK64" s="2">
        <f t="shared" si="58"/>
        <v>1.5748031496062995E-2</v>
      </c>
      <c r="AL64" s="8">
        <f t="shared" si="8"/>
        <v>9.2665526354085634E-2</v>
      </c>
      <c r="AM64" s="138">
        <f t="shared" si="59"/>
        <v>0.25</v>
      </c>
      <c r="AN64" s="12">
        <f t="shared" si="9"/>
        <v>7680.9729223830218</v>
      </c>
      <c r="AO64" s="138">
        <f t="shared" si="60"/>
        <v>0.25</v>
      </c>
      <c r="AP64" s="116">
        <f t="shared" si="61"/>
        <v>2175570</v>
      </c>
      <c r="AQ64" s="2">
        <f t="shared" si="62"/>
        <v>1.5748031496062995E-2</v>
      </c>
      <c r="AR64" s="8">
        <f t="shared" si="63"/>
        <v>12.559055520000001</v>
      </c>
      <c r="AS64" s="116">
        <f t="shared" si="64"/>
        <v>2610.6840000000002</v>
      </c>
      <c r="AT64" s="217">
        <f t="shared" si="65"/>
        <v>0.10264571550972441</v>
      </c>
      <c r="AU64" s="207">
        <f t="shared" si="66"/>
        <v>3.8696365679638927</v>
      </c>
      <c r="AV64" s="144">
        <f t="shared" si="67"/>
        <v>8230.9326997271655</v>
      </c>
      <c r="AW64" s="138">
        <f t="shared" si="68"/>
        <v>0.25</v>
      </c>
      <c r="AX64" s="116">
        <f t="shared" si="69"/>
        <v>2175570</v>
      </c>
      <c r="AY64" s="2">
        <f t="shared" si="70"/>
        <v>1.5748031496062995E-2</v>
      </c>
      <c r="AZ64" s="8">
        <f t="shared" si="71"/>
        <v>12.559055520000001</v>
      </c>
      <c r="BA64" s="116">
        <f t="shared" si="72"/>
        <v>2610.6840000000002</v>
      </c>
      <c r="BB64" s="217">
        <f t="shared" si="73"/>
        <v>0.10264571550972441</v>
      </c>
      <c r="BC64" s="207">
        <f t="shared" si="74"/>
        <v>3.8696365679638927</v>
      </c>
      <c r="BD64" s="144">
        <f t="shared" si="75"/>
        <v>8230.9326997271655</v>
      </c>
      <c r="BE64" s="138">
        <f t="shared" si="76"/>
        <v>0.25</v>
      </c>
      <c r="BF64" s="116">
        <f t="shared" si="77"/>
        <v>2175570</v>
      </c>
      <c r="BG64" s="2">
        <f t="shared" si="78"/>
        <v>1.5748031496062995E-2</v>
      </c>
      <c r="BH64" s="8">
        <f t="shared" si="79"/>
        <v>12.559055520000001</v>
      </c>
      <c r="BI64" s="116">
        <f t="shared" si="80"/>
        <v>2610.6840000000002</v>
      </c>
      <c r="BJ64" s="217">
        <f t="shared" si="81"/>
        <v>0.10264571550972441</v>
      </c>
      <c r="BK64" s="207">
        <f t="shared" si="82"/>
        <v>3.8696365679638927</v>
      </c>
      <c r="BL64" s="144">
        <f t="shared" si="83"/>
        <v>8230.9326997271655</v>
      </c>
      <c r="BM64" s="216">
        <f t="shared" si="84"/>
        <v>0.25</v>
      </c>
      <c r="BN64" s="216">
        <f t="shared" si="85"/>
        <v>2.3622047244094495E-2</v>
      </c>
      <c r="BO64" s="238">
        <f t="shared" si="86"/>
        <v>1.5748031496062995E-2</v>
      </c>
      <c r="BP64" s="216">
        <f t="shared" si="87"/>
        <v>0.25</v>
      </c>
      <c r="BQ64" s="138">
        <f t="shared" si="88"/>
        <v>0</v>
      </c>
      <c r="BR64" s="138">
        <f t="shared" si="89"/>
        <v>0</v>
      </c>
      <c r="BS64" s="238">
        <f t="shared" si="90"/>
        <v>0</v>
      </c>
      <c r="BT64" s="138">
        <f t="shared" si="91"/>
        <v>0.25</v>
      </c>
      <c r="BU64" s="138">
        <f t="shared" si="92"/>
        <v>0</v>
      </c>
      <c r="BV64" s="138">
        <f t="shared" si="93"/>
        <v>0</v>
      </c>
      <c r="BW64" s="238">
        <f t="shared" si="94"/>
        <v>0</v>
      </c>
      <c r="BX64" s="216">
        <f t="shared" si="95"/>
        <v>2.3622047244094495E-2</v>
      </c>
      <c r="BY64" s="138">
        <f t="shared" si="96"/>
        <v>0</v>
      </c>
      <c r="BZ64" s="138">
        <f t="shared" si="97"/>
        <v>0</v>
      </c>
      <c r="CA64" s="238">
        <f t="shared" si="98"/>
        <v>0</v>
      </c>
      <c r="CB64" s="138">
        <f t="shared" si="99"/>
        <v>2.3622047244094495E-2</v>
      </c>
      <c r="CC64" s="138">
        <f t="shared" si="100"/>
        <v>0</v>
      </c>
      <c r="CD64" s="138">
        <f t="shared" si="101"/>
        <v>0</v>
      </c>
      <c r="CE64" s="238">
        <f t="shared" si="102"/>
        <v>0</v>
      </c>
      <c r="CF64" s="216">
        <f t="shared" si="103"/>
        <v>1.5748031496062995E-2</v>
      </c>
      <c r="CG64" s="138">
        <f t="shared" si="104"/>
        <v>0</v>
      </c>
      <c r="CH64" s="138">
        <f t="shared" si="105"/>
        <v>0</v>
      </c>
      <c r="CI64" s="238">
        <f t="shared" si="106"/>
        <v>0</v>
      </c>
      <c r="CJ64" s="138">
        <f t="shared" si="107"/>
        <v>1.5748031496062995E-2</v>
      </c>
      <c r="CK64" s="138">
        <f t="shared" si="108"/>
        <v>0</v>
      </c>
      <c r="CL64" s="138">
        <f t="shared" si="109"/>
        <v>0</v>
      </c>
      <c r="CM64" s="238">
        <f t="shared" si="110"/>
        <v>0</v>
      </c>
      <c r="CN64" s="17">
        <f t="shared" si="111"/>
        <v>0.25</v>
      </c>
      <c r="CO64" s="17">
        <f t="shared" si="112"/>
        <v>2.3622047244094495E-2</v>
      </c>
      <c r="CP64" s="17">
        <f t="shared" si="113"/>
        <v>1.5748031496062995E-2</v>
      </c>
      <c r="CQ64" s="17">
        <f>$U64-IF('Inputs-Imperial'!$E$13,0,2)*($CO64+$CN64+$CP64)</f>
        <v>4.5212599872000006</v>
      </c>
      <c r="CR64" s="116">
        <f t="shared" si="114"/>
        <v>12756.390766263938</v>
      </c>
      <c r="CS64" s="8">
        <f t="shared" si="10"/>
        <v>0.32982022210379186</v>
      </c>
      <c r="CT64" s="8">
        <f t="shared" si="115"/>
        <v>0.57429976676278727</v>
      </c>
      <c r="CU64" s="8">
        <f t="shared" si="11"/>
        <v>0.32982022210379186</v>
      </c>
      <c r="CV64" s="8">
        <f t="shared" si="116"/>
        <v>0.57429976676278727</v>
      </c>
      <c r="CW64" s="216">
        <f t="shared" si="117"/>
        <v>3.9469602204372136</v>
      </c>
      <c r="CX64" s="116">
        <f t="shared" si="118"/>
        <v>14612.500742712809</v>
      </c>
      <c r="CY64" s="8">
        <f t="shared" si="119"/>
        <v>0.37781048956254931</v>
      </c>
      <c r="CZ64" s="8">
        <f t="shared" si="120"/>
        <v>0.61466290726100381</v>
      </c>
      <c r="DA64" s="8">
        <f t="shared" si="121"/>
        <v>0.37781048956254931</v>
      </c>
      <c r="DB64" s="8">
        <f t="shared" si="122"/>
        <v>0.61466290726100381</v>
      </c>
      <c r="DC64" s="216">
        <f t="shared" si="123"/>
        <v>3.9065970799389969</v>
      </c>
      <c r="DD64" s="116">
        <f t="shared" si="124"/>
        <v>14763.477771681873</v>
      </c>
      <c r="DE64" s="8">
        <f t="shared" si="125"/>
        <v>0.38171404489724775</v>
      </c>
      <c r="DF64" s="8">
        <f t="shared" si="126"/>
        <v>0.61783011006040145</v>
      </c>
      <c r="DG64" s="8">
        <f t="shared" si="127"/>
        <v>0.38171404489724775</v>
      </c>
      <c r="DH64" s="8">
        <f t="shared" si="128"/>
        <v>0.61783011006040145</v>
      </c>
      <c r="DI64" s="216">
        <f t="shared" si="129"/>
        <v>3.9034298771395992</v>
      </c>
      <c r="DJ64" s="116">
        <f t="shared" si="130"/>
        <v>14775.456705491128</v>
      </c>
      <c r="DK64" s="8">
        <f t="shared" si="131"/>
        <v>0.38202376374185887</v>
      </c>
      <c r="DL64" s="8">
        <f t="shared" si="132"/>
        <v>0.61808070973122831</v>
      </c>
      <c r="DM64" s="8">
        <f t="shared" si="133"/>
        <v>0.38202376374185887</v>
      </c>
      <c r="DN64" s="8">
        <f t="shared" si="134"/>
        <v>0.61808070973122831</v>
      </c>
      <c r="DO64" s="216">
        <f t="shared" si="135"/>
        <v>3.9031792774687726</v>
      </c>
      <c r="DP64" s="116">
        <f t="shared" si="136"/>
        <v>14776.405348718479</v>
      </c>
      <c r="DQ64" s="170">
        <f t="shared" si="137"/>
        <v>0.38204829119054518</v>
      </c>
      <c r="DR64" s="8">
        <f t="shared" si="138"/>
        <v>0.61810055103562656</v>
      </c>
      <c r="DS64" s="8">
        <f t="shared" si="139"/>
        <v>0.38204829119054518</v>
      </c>
      <c r="DT64" s="134">
        <f t="shared" si="140"/>
        <v>0.61810055103562656</v>
      </c>
      <c r="DU64" s="170">
        <f t="shared" si="141"/>
        <v>0.41283788277202987</v>
      </c>
      <c r="DV64" s="170">
        <f t="shared" si="141"/>
        <v>0.64252461647164139</v>
      </c>
      <c r="DW64" s="170">
        <f t="shared" si="141"/>
        <v>0.41283788277202987</v>
      </c>
      <c r="DX64" s="272">
        <f t="shared" si="141"/>
        <v>0.64252461647164139</v>
      </c>
      <c r="DY64" s="272">
        <f t="shared" si="142"/>
        <v>3.2362107542567173</v>
      </c>
      <c r="DZ64" s="22">
        <f t="shared" si="12"/>
        <v>254.3441526487378</v>
      </c>
      <c r="EA64" s="216">
        <f t="shared" si="13"/>
        <v>1.6663569834835548E-2</v>
      </c>
      <c r="EB64" s="12">
        <f t="shared" si="143"/>
        <v>3</v>
      </c>
      <c r="EC64" s="7">
        <f>ROUND(MAX(DV64,DX64)/'Inputs-Imperial'!$E$21,0)</f>
        <v>5</v>
      </c>
      <c r="ED64" s="12">
        <f t="shared" si="144"/>
        <v>5</v>
      </c>
      <c r="EE64" s="2">
        <f t="shared" si="145"/>
        <v>3</v>
      </c>
      <c r="EF64" s="127">
        <f t="shared" si="146"/>
        <v>3</v>
      </c>
      <c r="EG64" s="2">
        <f t="shared" si="147"/>
        <v>2.3622047244094495E-2</v>
      </c>
      <c r="EH64" s="8">
        <f t="shared" si="14"/>
        <v>0.17536380303695431</v>
      </c>
      <c r="EI64" s="138">
        <f t="shared" si="148"/>
        <v>0.25</v>
      </c>
      <c r="EJ64" s="12">
        <f t="shared" si="15"/>
        <v>9690.5122159169077</v>
      </c>
      <c r="EK64" s="138">
        <f t="shared" si="149"/>
        <v>0.25</v>
      </c>
      <c r="EL64" s="116">
        <f t="shared" si="150"/>
        <v>2175570</v>
      </c>
      <c r="EM64" s="2">
        <f t="shared" si="16"/>
        <v>2.3622047244094495E-2</v>
      </c>
      <c r="EN64" s="8">
        <f t="shared" si="151"/>
        <v>4.5212599872000006</v>
      </c>
      <c r="EO64" s="116">
        <f t="shared" si="152"/>
        <v>2610.6840000000002</v>
      </c>
      <c r="EP64" s="217">
        <f t="shared" si="153"/>
        <v>1.1880291146958843</v>
      </c>
      <c r="EQ64" s="207">
        <f t="shared" si="154"/>
        <v>2</v>
      </c>
      <c r="ER64" s="144">
        <f t="shared" si="155"/>
        <v>32824.934363448338</v>
      </c>
      <c r="ES64" s="138">
        <f t="shared" si="17"/>
        <v>0.25</v>
      </c>
      <c r="ET64" s="116">
        <f t="shared" si="156"/>
        <v>2175570</v>
      </c>
      <c r="EU64" s="2">
        <f t="shared" si="18"/>
        <v>2.3622047244094495E-2</v>
      </c>
      <c r="EV64" s="8">
        <f t="shared" si="157"/>
        <v>4.5212599872000006</v>
      </c>
      <c r="EW64" s="116">
        <f t="shared" si="158"/>
        <v>2610.6840000000002</v>
      </c>
      <c r="EX64" s="217">
        <f t="shared" si="159"/>
        <v>1.1880291146958843</v>
      </c>
      <c r="EY64" s="207">
        <f t="shared" si="160"/>
        <v>2</v>
      </c>
      <c r="EZ64" s="144">
        <f t="shared" si="161"/>
        <v>32824.934363448338</v>
      </c>
      <c r="FA64" s="138">
        <f t="shared" si="19"/>
        <v>0.25</v>
      </c>
      <c r="FB64" s="116">
        <f t="shared" si="162"/>
        <v>2175570</v>
      </c>
      <c r="FC64" s="2">
        <f t="shared" si="20"/>
        <v>2.3622047244094495E-2</v>
      </c>
      <c r="FD64" s="8">
        <f t="shared" si="163"/>
        <v>4.5212599872000006</v>
      </c>
      <c r="FE64" s="116">
        <f t="shared" si="164"/>
        <v>2610.6840000000002</v>
      </c>
      <c r="FF64" s="217">
        <f t="shared" si="165"/>
        <v>1.1880291146958843</v>
      </c>
      <c r="FG64" s="207">
        <f t="shared" si="166"/>
        <v>2</v>
      </c>
      <c r="FH64" s="144">
        <f t="shared" si="167"/>
        <v>32824.934363448338</v>
      </c>
      <c r="FI64" s="128">
        <f t="shared" si="168"/>
        <v>0.25</v>
      </c>
      <c r="FJ64" s="2">
        <f t="shared" si="169"/>
        <v>2.3622047244094495E-2</v>
      </c>
      <c r="FK64" s="127">
        <f t="shared" si="170"/>
        <v>2.3622047244094495E-2</v>
      </c>
      <c r="FL64" s="216">
        <f t="shared" si="171"/>
        <v>0.25</v>
      </c>
      <c r="FM64" s="138">
        <f t="shared" si="172"/>
        <v>0</v>
      </c>
      <c r="FN64" s="138">
        <f t="shared" si="173"/>
        <v>0</v>
      </c>
      <c r="FO64" s="238">
        <f t="shared" si="174"/>
        <v>0</v>
      </c>
      <c r="FP64" s="216">
        <f t="shared" si="21"/>
        <v>0.25</v>
      </c>
      <c r="FQ64" s="138">
        <f t="shared" si="22"/>
        <v>0</v>
      </c>
      <c r="FR64" s="138">
        <f t="shared" si="23"/>
        <v>0</v>
      </c>
      <c r="FS64" s="238">
        <f t="shared" si="24"/>
        <v>0</v>
      </c>
      <c r="FT64" s="216">
        <f t="shared" si="175"/>
        <v>2.3622047244094495E-2</v>
      </c>
      <c r="FU64" s="138">
        <f t="shared" si="176"/>
        <v>0</v>
      </c>
      <c r="FV64" s="138">
        <f t="shared" si="177"/>
        <v>0</v>
      </c>
      <c r="FW64" s="238">
        <f t="shared" si="178"/>
        <v>0</v>
      </c>
      <c r="FX64" s="216">
        <f t="shared" si="25"/>
        <v>2.3622047244094495E-2</v>
      </c>
      <c r="FY64" s="138">
        <f t="shared" si="26"/>
        <v>0</v>
      </c>
      <c r="FZ64" s="138">
        <f t="shared" si="27"/>
        <v>0</v>
      </c>
      <c r="GA64" s="238">
        <f t="shared" si="28"/>
        <v>0</v>
      </c>
      <c r="GB64" s="216">
        <f t="shared" si="179"/>
        <v>2.3622047244094495E-2</v>
      </c>
      <c r="GC64" s="138">
        <f t="shared" si="180"/>
        <v>0</v>
      </c>
      <c r="GD64" s="138">
        <f t="shared" si="181"/>
        <v>0</v>
      </c>
      <c r="GE64" s="238">
        <f t="shared" si="182"/>
        <v>0</v>
      </c>
      <c r="GF64" s="216">
        <f t="shared" si="29"/>
        <v>2.3622047244094495E-2</v>
      </c>
      <c r="GG64" s="138">
        <f t="shared" si="30"/>
        <v>0</v>
      </c>
      <c r="GH64" s="138">
        <f t="shared" si="31"/>
        <v>0</v>
      </c>
      <c r="GI64" s="238">
        <f t="shared" si="32"/>
        <v>0</v>
      </c>
      <c r="GJ64" s="216">
        <f t="shared" si="183"/>
        <v>0.25</v>
      </c>
      <c r="GK64" s="216">
        <f t="shared" si="184"/>
        <v>2.3622047244094495E-2</v>
      </c>
      <c r="GL64" s="17">
        <f t="shared" si="185"/>
        <v>2.3622047244094495E-2</v>
      </c>
      <c r="GM64" s="216">
        <f t="shared" si="186"/>
        <v>8.4054175187491566E-3</v>
      </c>
      <c r="GN64" s="2">
        <f t="shared" si="187"/>
        <v>2</v>
      </c>
      <c r="GO64" s="2">
        <f t="shared" si="188"/>
        <v>2</v>
      </c>
      <c r="GP64" s="142">
        <f t="shared" si="189"/>
        <v>2</v>
      </c>
      <c r="GQ64" s="2">
        <f t="shared" si="190"/>
        <v>1.5748031496062995E-2</v>
      </c>
      <c r="GR64" s="8">
        <f t="shared" si="33"/>
        <v>8.8456795081198733E-2</v>
      </c>
      <c r="GS64" s="138">
        <f t="shared" si="191"/>
        <v>0.25</v>
      </c>
      <c r="GT64" s="12">
        <f t="shared" si="34"/>
        <v>7332.1144826100135</v>
      </c>
      <c r="GU64" s="138">
        <f t="shared" si="192"/>
        <v>0.25</v>
      </c>
      <c r="GV64" s="116">
        <f t="shared" si="193"/>
        <v>2175570</v>
      </c>
      <c r="GW64" s="2">
        <f t="shared" si="35"/>
        <v>2.3622047244094495E-2</v>
      </c>
      <c r="GX64" s="8">
        <f t="shared" si="36"/>
        <v>2.2606299936000003</v>
      </c>
      <c r="GY64" s="116">
        <f t="shared" si="194"/>
        <v>2610.6840000000002</v>
      </c>
      <c r="GZ64" s="217">
        <f t="shared" si="195"/>
        <v>4.7521164587835374</v>
      </c>
      <c r="HA64" s="207">
        <f t="shared" si="196"/>
        <v>2</v>
      </c>
      <c r="HB64" s="144">
        <f t="shared" si="197"/>
        <v>131299.73745379335</v>
      </c>
      <c r="HC64" s="138">
        <f t="shared" si="37"/>
        <v>0.25</v>
      </c>
      <c r="HD64" s="116">
        <f t="shared" si="198"/>
        <v>2175570</v>
      </c>
      <c r="HE64" s="2">
        <f t="shared" si="38"/>
        <v>2.3622047244094495E-2</v>
      </c>
      <c r="HF64" s="8">
        <f t="shared" si="199"/>
        <v>2.2606299936000003</v>
      </c>
      <c r="HG64" s="116">
        <f t="shared" si="200"/>
        <v>2610.6840000000002</v>
      </c>
      <c r="HH64" s="217">
        <f t="shared" si="201"/>
        <v>4.7521164587835374</v>
      </c>
      <c r="HI64" s="207">
        <f t="shared" si="202"/>
        <v>2</v>
      </c>
      <c r="HJ64" s="144">
        <f t="shared" si="203"/>
        <v>131299.73745379335</v>
      </c>
      <c r="HK64" s="138">
        <f t="shared" si="39"/>
        <v>0.25</v>
      </c>
      <c r="HL64" s="116">
        <f t="shared" si="204"/>
        <v>2175570</v>
      </c>
      <c r="HM64" s="2">
        <f t="shared" si="40"/>
        <v>2.3622047244094495E-2</v>
      </c>
      <c r="HN64" s="8">
        <f t="shared" si="205"/>
        <v>2.2606299936000003</v>
      </c>
      <c r="HO64" s="116">
        <f t="shared" si="206"/>
        <v>2610.6840000000002</v>
      </c>
      <c r="HP64" s="217">
        <f t="shared" si="207"/>
        <v>4.7521164587835374</v>
      </c>
      <c r="HQ64" s="207">
        <f t="shared" si="208"/>
        <v>2</v>
      </c>
      <c r="HR64" s="144">
        <f t="shared" si="209"/>
        <v>131299.73745379335</v>
      </c>
      <c r="HS64" s="128">
        <f t="shared" si="210"/>
        <v>0.25</v>
      </c>
      <c r="HT64" s="2">
        <f t="shared" si="211"/>
        <v>1.5748031496062995E-2</v>
      </c>
      <c r="HU64" s="127">
        <f t="shared" si="212"/>
        <v>1.5748031496062995E-2</v>
      </c>
      <c r="HV64" s="216">
        <f t="shared" si="213"/>
        <v>0.25</v>
      </c>
      <c r="HW64" s="138">
        <f t="shared" si="214"/>
        <v>0</v>
      </c>
      <c r="HX64" s="138">
        <f t="shared" si="215"/>
        <v>0</v>
      </c>
      <c r="HY64" s="238">
        <f t="shared" si="216"/>
        <v>0</v>
      </c>
      <c r="HZ64" s="138">
        <f t="shared" si="217"/>
        <v>0.25</v>
      </c>
      <c r="IA64" s="138">
        <f t="shared" si="218"/>
        <v>0</v>
      </c>
      <c r="IB64" s="138">
        <f t="shared" si="219"/>
        <v>0</v>
      </c>
      <c r="IC64" s="138">
        <f t="shared" si="220"/>
        <v>0</v>
      </c>
      <c r="ID64" s="216">
        <f t="shared" si="221"/>
        <v>1.5748031496062995E-2</v>
      </c>
      <c r="IE64" s="138">
        <f t="shared" si="222"/>
        <v>0</v>
      </c>
      <c r="IF64" s="138">
        <f t="shared" si="223"/>
        <v>0</v>
      </c>
      <c r="IG64" s="238">
        <f t="shared" si="224"/>
        <v>0</v>
      </c>
      <c r="IH64" s="138">
        <f t="shared" si="225"/>
        <v>1.5748031496062995E-2</v>
      </c>
      <c r="II64" s="138">
        <f t="shared" si="226"/>
        <v>0</v>
      </c>
      <c r="IJ64" s="138">
        <f t="shared" si="227"/>
        <v>0</v>
      </c>
      <c r="IK64" s="138">
        <f t="shared" si="228"/>
        <v>0</v>
      </c>
      <c r="IL64" s="216">
        <f t="shared" si="229"/>
        <v>1.5748031496062995E-2</v>
      </c>
      <c r="IM64" s="138">
        <f t="shared" si="230"/>
        <v>0</v>
      </c>
      <c r="IN64" s="138">
        <f t="shared" si="231"/>
        <v>0</v>
      </c>
      <c r="IO64" s="238">
        <f t="shared" si="232"/>
        <v>0</v>
      </c>
      <c r="IP64" s="138">
        <f t="shared" si="233"/>
        <v>1.5748031496062995E-2</v>
      </c>
      <c r="IQ64" s="138">
        <f t="shared" si="234"/>
        <v>0</v>
      </c>
      <c r="IR64" s="138">
        <f t="shared" si="235"/>
        <v>0</v>
      </c>
      <c r="IS64" s="138">
        <f t="shared" si="236"/>
        <v>0</v>
      </c>
      <c r="IT64" s="17">
        <f t="shared" si="237"/>
        <v>0.25</v>
      </c>
      <c r="IU64" s="17">
        <f t="shared" si="238"/>
        <v>1.5748031496062995E-2</v>
      </c>
      <c r="IV64" s="17">
        <f t="shared" si="239"/>
        <v>1.5748031496062995E-2</v>
      </c>
      <c r="IW64" s="253">
        <f t="shared" si="240"/>
        <v>12.559055520000001</v>
      </c>
      <c r="IX64" s="116">
        <f t="shared" si="241"/>
        <v>459.23006758550184</v>
      </c>
      <c r="IY64" s="8">
        <f t="shared" si="242"/>
        <v>1.1873527995736509E-2</v>
      </c>
      <c r="IZ64" s="8">
        <f t="shared" si="243"/>
        <v>1.1873527995736509E-2</v>
      </c>
      <c r="JA64" s="8">
        <f t="shared" si="244"/>
        <v>5.9367639978682545E-3</v>
      </c>
      <c r="JB64" s="134">
        <f t="shared" si="245"/>
        <v>7.7050399076632012E-2</v>
      </c>
      <c r="JC64" s="170">
        <f t="shared" si="246"/>
        <v>6.3945696655626945E-3</v>
      </c>
      <c r="JD64" s="272">
        <f t="shared" si="247"/>
        <v>7.9966053207362275E-2</v>
      </c>
      <c r="JE64" s="8"/>
      <c r="JF64" s="8"/>
    </row>
    <row r="65" spans="1:266" x14ac:dyDescent="0.25">
      <c r="A65" s="186">
        <v>5</v>
      </c>
      <c r="B65" s="187">
        <f>A65/100*'Inputs-Imperial'!$E$5</f>
        <v>0.49212600000000006</v>
      </c>
      <c r="C65" s="188">
        <f>'Inputs-Imperial'!$E$10+('Inputs-Imperial'!$E$9-'Inputs-Imperial'!$E$10)*(100-A65)/100</f>
        <v>2.0833333999999999</v>
      </c>
      <c r="D65" s="187">
        <f t="shared" si="248"/>
        <v>9.8425200000000046E-2</v>
      </c>
      <c r="E65" s="188">
        <f t="shared" si="249"/>
        <v>0.2055368825614321</v>
      </c>
      <c r="F65" s="423">
        <f>Loads!P25</f>
        <v>113.45302704919351</v>
      </c>
      <c r="G65" s="423">
        <f>Loads!M25</f>
        <v>1134.5302704919343</v>
      </c>
      <c r="H65" s="423">
        <f>Loads!N25</f>
        <v>4693.0619427871634</v>
      </c>
      <c r="I65" s="423">
        <f>Loads!V25</f>
        <v>-1055.1177534401179</v>
      </c>
      <c r="J65" s="423">
        <f>Loads!Q25</f>
        <v>469.30619427871642</v>
      </c>
      <c r="K65" s="2">
        <v>5</v>
      </c>
      <c r="L65" s="12">
        <f t="shared" si="41"/>
        <v>5.9055120000000008</v>
      </c>
      <c r="M65" s="11">
        <f t="shared" si="42"/>
        <v>25.000000799999999</v>
      </c>
      <c r="N65" s="11">
        <f t="shared" si="43"/>
        <v>1.1811024000000006</v>
      </c>
      <c r="O65" s="152">
        <f t="shared" si="44"/>
        <v>29.597311088846222</v>
      </c>
      <c r="P65" s="151">
        <f t="shared" si="45"/>
        <v>113.45302704919351</v>
      </c>
      <c r="Q65" s="12">
        <f t="shared" si="46"/>
        <v>1134.5302704919343</v>
      </c>
      <c r="R65" s="12">
        <f t="shared" si="47"/>
        <v>56316.743313445957</v>
      </c>
      <c r="S65" s="12">
        <f t="shared" si="48"/>
        <v>-12661.413041281416</v>
      </c>
      <c r="T65" s="152">
        <f t="shared" si="49"/>
        <v>5631.6743313445968</v>
      </c>
      <c r="U65" s="8">
        <f t="shared" si="0"/>
        <v>4.5000001439999995</v>
      </c>
      <c r="V65" s="8">
        <f t="shared" si="1"/>
        <v>4.5000001439999995</v>
      </c>
      <c r="W65" s="134">
        <f t="shared" si="2"/>
        <v>2.2500000719999997</v>
      </c>
      <c r="X65" s="311">
        <f t="shared" si="3"/>
        <v>6.2500001999999997</v>
      </c>
      <c r="Y65" s="11">
        <f t="shared" si="4"/>
        <v>18.7500006</v>
      </c>
      <c r="Z65" s="11">
        <f t="shared" si="5"/>
        <v>12.500000400000001</v>
      </c>
      <c r="AA65" s="316">
        <f t="shared" si="50"/>
        <v>18.7500006</v>
      </c>
      <c r="AB65" s="170">
        <f t="shared" si="51"/>
        <v>3.3750001079999996</v>
      </c>
      <c r="AC65" s="11">
        <f t="shared" si="52"/>
        <v>18.7500006</v>
      </c>
      <c r="AD65" s="152">
        <f t="shared" si="53"/>
        <v>49.700980708357385</v>
      </c>
      <c r="AE65" s="151">
        <f t="shared" si="6"/>
        <v>6.0508279156638274</v>
      </c>
      <c r="AF65" s="12">
        <f t="shared" si="54"/>
        <v>127.37588736505914</v>
      </c>
      <c r="AG65" s="216">
        <f t="shared" si="7"/>
        <v>8.7415628185627155E-3</v>
      </c>
      <c r="AH65" s="2">
        <f t="shared" si="55"/>
        <v>2</v>
      </c>
      <c r="AI65" s="2">
        <f t="shared" si="56"/>
        <v>3</v>
      </c>
      <c r="AJ65" s="127">
        <f t="shared" si="57"/>
        <v>2</v>
      </c>
      <c r="AK65" s="2">
        <f t="shared" si="58"/>
        <v>1.5748031496062995E-2</v>
      </c>
      <c r="AL65" s="8">
        <f t="shared" si="8"/>
        <v>9.1994315476442698E-2</v>
      </c>
      <c r="AM65" s="138">
        <f t="shared" si="59"/>
        <v>0.25</v>
      </c>
      <c r="AN65" s="12">
        <f t="shared" si="9"/>
        <v>7625.3367782933165</v>
      </c>
      <c r="AO65" s="138">
        <f t="shared" si="60"/>
        <v>0.25</v>
      </c>
      <c r="AP65" s="116">
        <f t="shared" si="61"/>
        <v>2175570</v>
      </c>
      <c r="AQ65" s="2">
        <f t="shared" si="62"/>
        <v>1.5748031496062995E-2</v>
      </c>
      <c r="AR65" s="8">
        <f t="shared" si="63"/>
        <v>12.500000400000001</v>
      </c>
      <c r="AS65" s="116">
        <f t="shared" si="64"/>
        <v>2610.6840000000002</v>
      </c>
      <c r="AT65" s="217">
        <f t="shared" si="65"/>
        <v>0.10361788734314652</v>
      </c>
      <c r="AU65" s="207">
        <f t="shared" si="66"/>
        <v>3.8596302120877115</v>
      </c>
      <c r="AV65" s="144">
        <f t="shared" si="67"/>
        <v>8287.4033457319965</v>
      </c>
      <c r="AW65" s="138">
        <f t="shared" si="68"/>
        <v>0.25</v>
      </c>
      <c r="AX65" s="116">
        <f t="shared" si="69"/>
        <v>2175570</v>
      </c>
      <c r="AY65" s="2">
        <f t="shared" si="70"/>
        <v>1.5748031496062995E-2</v>
      </c>
      <c r="AZ65" s="8">
        <f t="shared" si="71"/>
        <v>12.500000400000001</v>
      </c>
      <c r="BA65" s="116">
        <f t="shared" si="72"/>
        <v>2610.6840000000002</v>
      </c>
      <c r="BB65" s="217">
        <f t="shared" si="73"/>
        <v>0.10361788734314652</v>
      </c>
      <c r="BC65" s="207">
        <f t="shared" si="74"/>
        <v>3.8596302120877115</v>
      </c>
      <c r="BD65" s="144">
        <f t="shared" si="75"/>
        <v>8287.4033457319965</v>
      </c>
      <c r="BE65" s="138">
        <f t="shared" si="76"/>
        <v>0.25</v>
      </c>
      <c r="BF65" s="116">
        <f t="shared" si="77"/>
        <v>2175570</v>
      </c>
      <c r="BG65" s="2">
        <f t="shared" si="78"/>
        <v>1.5748031496062995E-2</v>
      </c>
      <c r="BH65" s="8">
        <f t="shared" si="79"/>
        <v>12.500000400000001</v>
      </c>
      <c r="BI65" s="116">
        <f t="shared" si="80"/>
        <v>2610.6840000000002</v>
      </c>
      <c r="BJ65" s="217">
        <f t="shared" si="81"/>
        <v>0.10361788734314652</v>
      </c>
      <c r="BK65" s="207">
        <f t="shared" si="82"/>
        <v>3.8596302120877115</v>
      </c>
      <c r="BL65" s="144">
        <f t="shared" si="83"/>
        <v>8287.4033457319965</v>
      </c>
      <c r="BM65" s="216">
        <f t="shared" si="84"/>
        <v>0.25</v>
      </c>
      <c r="BN65" s="216">
        <f t="shared" si="85"/>
        <v>2.3622047244094495E-2</v>
      </c>
      <c r="BO65" s="238">
        <f t="shared" si="86"/>
        <v>1.5748031496062995E-2</v>
      </c>
      <c r="BP65" s="216">
        <f t="shared" si="87"/>
        <v>0.25</v>
      </c>
      <c r="BQ65" s="138">
        <f t="shared" si="88"/>
        <v>0</v>
      </c>
      <c r="BR65" s="138">
        <f t="shared" si="89"/>
        <v>0</v>
      </c>
      <c r="BS65" s="238">
        <f t="shared" si="90"/>
        <v>0</v>
      </c>
      <c r="BT65" s="138">
        <f t="shared" si="91"/>
        <v>0.25</v>
      </c>
      <c r="BU65" s="138">
        <f t="shared" si="92"/>
        <v>0</v>
      </c>
      <c r="BV65" s="138">
        <f t="shared" si="93"/>
        <v>0</v>
      </c>
      <c r="BW65" s="238">
        <f t="shared" si="94"/>
        <v>0</v>
      </c>
      <c r="BX65" s="216">
        <f t="shared" si="95"/>
        <v>2.3622047244094495E-2</v>
      </c>
      <c r="BY65" s="138">
        <f t="shared" si="96"/>
        <v>0</v>
      </c>
      <c r="BZ65" s="138">
        <f t="shared" si="97"/>
        <v>0</v>
      </c>
      <c r="CA65" s="238">
        <f t="shared" si="98"/>
        <v>0</v>
      </c>
      <c r="CB65" s="138">
        <f t="shared" si="99"/>
        <v>2.3622047244094495E-2</v>
      </c>
      <c r="CC65" s="138">
        <f t="shared" si="100"/>
        <v>0</v>
      </c>
      <c r="CD65" s="138">
        <f t="shared" si="101"/>
        <v>0</v>
      </c>
      <c r="CE65" s="238">
        <f t="shared" si="102"/>
        <v>0</v>
      </c>
      <c r="CF65" s="216">
        <f t="shared" si="103"/>
        <v>1.5748031496062995E-2</v>
      </c>
      <c r="CG65" s="138">
        <f t="shared" si="104"/>
        <v>0</v>
      </c>
      <c r="CH65" s="138">
        <f t="shared" si="105"/>
        <v>0</v>
      </c>
      <c r="CI65" s="238">
        <f t="shared" si="106"/>
        <v>0</v>
      </c>
      <c r="CJ65" s="138">
        <f t="shared" si="107"/>
        <v>1.5748031496062995E-2</v>
      </c>
      <c r="CK65" s="138">
        <f t="shared" si="108"/>
        <v>0</v>
      </c>
      <c r="CL65" s="138">
        <f t="shared" si="109"/>
        <v>0</v>
      </c>
      <c r="CM65" s="238">
        <f t="shared" si="110"/>
        <v>0</v>
      </c>
      <c r="CN65" s="17">
        <f t="shared" si="111"/>
        <v>0.25</v>
      </c>
      <c r="CO65" s="17">
        <f t="shared" si="112"/>
        <v>2.3622047244094495E-2</v>
      </c>
      <c r="CP65" s="17">
        <f t="shared" si="113"/>
        <v>1.5748031496062995E-2</v>
      </c>
      <c r="CQ65" s="17">
        <f>$U65-IF('Inputs-Imperial'!$E$13,0,2)*($CO65+$CN65+$CP65)</f>
        <v>4.5000001439999995</v>
      </c>
      <c r="CR65" s="116">
        <f t="shared" si="114"/>
        <v>12514.831446957831</v>
      </c>
      <c r="CS65" s="8">
        <f t="shared" si="10"/>
        <v>0.3235746351031582</v>
      </c>
      <c r="CT65" s="8">
        <f t="shared" si="115"/>
        <v>0.56883621113916283</v>
      </c>
      <c r="CU65" s="8">
        <f t="shared" si="11"/>
        <v>0.3235746351031582</v>
      </c>
      <c r="CV65" s="8">
        <f t="shared" si="116"/>
        <v>0.56883621113916283</v>
      </c>
      <c r="CW65" s="216">
        <f t="shared" si="117"/>
        <v>3.9311639328608368</v>
      </c>
      <c r="CX65" s="116">
        <f t="shared" si="118"/>
        <v>14325.717338493798</v>
      </c>
      <c r="CY65" s="8">
        <f t="shared" si="119"/>
        <v>0.37039562059151215</v>
      </c>
      <c r="CZ65" s="8">
        <f t="shared" si="120"/>
        <v>0.60860136427016998</v>
      </c>
      <c r="DA65" s="8">
        <f t="shared" si="121"/>
        <v>0.37039562059151215</v>
      </c>
      <c r="DB65" s="8">
        <f t="shared" si="122"/>
        <v>0.60860136427016998</v>
      </c>
      <c r="DC65" s="216">
        <f t="shared" si="123"/>
        <v>3.8913987797298297</v>
      </c>
      <c r="DD65" s="116">
        <f t="shared" si="124"/>
        <v>14472.107974849057</v>
      </c>
      <c r="DE65" s="8">
        <f t="shared" si="125"/>
        <v>0.37418059340092913</v>
      </c>
      <c r="DF65" s="8">
        <f t="shared" si="126"/>
        <v>0.61170302713075497</v>
      </c>
      <c r="DG65" s="8">
        <f t="shared" si="127"/>
        <v>0.37418059340092913</v>
      </c>
      <c r="DH65" s="8">
        <f t="shared" si="128"/>
        <v>0.61170302713075497</v>
      </c>
      <c r="DI65" s="216">
        <f t="shared" si="129"/>
        <v>3.8882971168692446</v>
      </c>
      <c r="DJ65" s="116">
        <f t="shared" si="130"/>
        <v>14483.652257209893</v>
      </c>
      <c r="DK65" s="8">
        <f t="shared" si="131"/>
        <v>0.37447907420494692</v>
      </c>
      <c r="DL65" s="8">
        <f t="shared" si="132"/>
        <v>0.61194695375085162</v>
      </c>
      <c r="DM65" s="8">
        <f t="shared" si="133"/>
        <v>0.37447907420494692</v>
      </c>
      <c r="DN65" s="8">
        <f t="shared" si="134"/>
        <v>0.61194695375085162</v>
      </c>
      <c r="DO65" s="216">
        <f t="shared" si="135"/>
        <v>3.8880531902491478</v>
      </c>
      <c r="DP65" s="116">
        <f t="shared" si="136"/>
        <v>14484.56092490781</v>
      </c>
      <c r="DQ65" s="170">
        <f t="shared" si="137"/>
        <v>0.37450256807460308</v>
      </c>
      <c r="DR65" s="8">
        <f t="shared" si="138"/>
        <v>0.61196614945158778</v>
      </c>
      <c r="DS65" s="8">
        <f t="shared" si="139"/>
        <v>0.37450256807460308</v>
      </c>
      <c r="DT65" s="134">
        <f t="shared" si="140"/>
        <v>0.61196614945158778</v>
      </c>
      <c r="DU65" s="170">
        <f t="shared" si="141"/>
        <v>0.41283788277202987</v>
      </c>
      <c r="DV65" s="170">
        <f t="shared" si="141"/>
        <v>0.64252461647164139</v>
      </c>
      <c r="DW65" s="170">
        <f t="shared" si="141"/>
        <v>0.41283788277202987</v>
      </c>
      <c r="DX65" s="272">
        <f t="shared" si="141"/>
        <v>0.64252461647164139</v>
      </c>
      <c r="DY65" s="272">
        <f t="shared" si="142"/>
        <v>3.2149509110567163</v>
      </c>
      <c r="DZ65" s="22">
        <f t="shared" si="12"/>
        <v>252.11782981932598</v>
      </c>
      <c r="EA65" s="216">
        <f t="shared" si="13"/>
        <v>1.6517710433090117E-2</v>
      </c>
      <c r="EB65" s="12">
        <f t="shared" si="143"/>
        <v>3</v>
      </c>
      <c r="EC65" s="7">
        <f>ROUND(MAX(DV65,DX65)/'Inputs-Imperial'!$E$21,0)</f>
        <v>5</v>
      </c>
      <c r="ED65" s="12">
        <f t="shared" si="144"/>
        <v>5</v>
      </c>
      <c r="EE65" s="2">
        <f t="shared" si="145"/>
        <v>3</v>
      </c>
      <c r="EF65" s="127">
        <f t="shared" si="146"/>
        <v>3</v>
      </c>
      <c r="EG65" s="2">
        <f t="shared" si="147"/>
        <v>2.3622047244094495E-2</v>
      </c>
      <c r="EH65" s="8">
        <f t="shared" si="14"/>
        <v>0.17382881025615768</v>
      </c>
      <c r="EI65" s="138">
        <f t="shared" si="148"/>
        <v>0.25</v>
      </c>
      <c r="EJ65" s="12">
        <f t="shared" si="15"/>
        <v>9605.6893161163171</v>
      </c>
      <c r="EK65" s="138">
        <f t="shared" si="149"/>
        <v>0.25</v>
      </c>
      <c r="EL65" s="116">
        <f t="shared" si="150"/>
        <v>2175570</v>
      </c>
      <c r="EM65" s="2">
        <f t="shared" si="16"/>
        <v>2.3622047244094495E-2</v>
      </c>
      <c r="EN65" s="8">
        <f t="shared" si="151"/>
        <v>4.5000001439999995</v>
      </c>
      <c r="EO65" s="116">
        <f t="shared" si="152"/>
        <v>2610.6840000000002</v>
      </c>
      <c r="EP65" s="217">
        <f t="shared" si="153"/>
        <v>1.1992811035086408</v>
      </c>
      <c r="EQ65" s="207">
        <f t="shared" si="154"/>
        <v>2</v>
      </c>
      <c r="ER65" s="144">
        <f t="shared" si="155"/>
        <v>33135.823877575727</v>
      </c>
      <c r="ES65" s="138">
        <f t="shared" si="17"/>
        <v>0.25</v>
      </c>
      <c r="ET65" s="116">
        <f t="shared" si="156"/>
        <v>2175570</v>
      </c>
      <c r="EU65" s="2">
        <f t="shared" si="18"/>
        <v>2.3622047244094495E-2</v>
      </c>
      <c r="EV65" s="8">
        <f t="shared" si="157"/>
        <v>4.5000001439999995</v>
      </c>
      <c r="EW65" s="116">
        <f t="shared" si="158"/>
        <v>2610.6840000000002</v>
      </c>
      <c r="EX65" s="217">
        <f t="shared" si="159"/>
        <v>1.1992811035086408</v>
      </c>
      <c r="EY65" s="207">
        <f t="shared" si="160"/>
        <v>2</v>
      </c>
      <c r="EZ65" s="144">
        <f t="shared" si="161"/>
        <v>33135.823877575727</v>
      </c>
      <c r="FA65" s="138">
        <f t="shared" si="19"/>
        <v>0.25</v>
      </c>
      <c r="FB65" s="116">
        <f t="shared" si="162"/>
        <v>2175570</v>
      </c>
      <c r="FC65" s="2">
        <f t="shared" si="20"/>
        <v>2.3622047244094495E-2</v>
      </c>
      <c r="FD65" s="8">
        <f t="shared" si="163"/>
        <v>4.5000001439999995</v>
      </c>
      <c r="FE65" s="116">
        <f t="shared" si="164"/>
        <v>2610.6840000000002</v>
      </c>
      <c r="FF65" s="217">
        <f t="shared" si="165"/>
        <v>1.1992811035086408</v>
      </c>
      <c r="FG65" s="207">
        <f t="shared" si="166"/>
        <v>2</v>
      </c>
      <c r="FH65" s="144">
        <f t="shared" si="167"/>
        <v>33135.823877575727</v>
      </c>
      <c r="FI65" s="128">
        <f t="shared" si="168"/>
        <v>0.25</v>
      </c>
      <c r="FJ65" s="2">
        <f t="shared" si="169"/>
        <v>2.3622047244094495E-2</v>
      </c>
      <c r="FK65" s="127">
        <f t="shared" si="170"/>
        <v>2.3622047244094495E-2</v>
      </c>
      <c r="FL65" s="216">
        <f t="shared" si="171"/>
        <v>0.25</v>
      </c>
      <c r="FM65" s="138">
        <f t="shared" si="172"/>
        <v>0</v>
      </c>
      <c r="FN65" s="138">
        <f t="shared" si="173"/>
        <v>0</v>
      </c>
      <c r="FO65" s="238">
        <f t="shared" si="174"/>
        <v>0</v>
      </c>
      <c r="FP65" s="216">
        <f t="shared" si="21"/>
        <v>0.25</v>
      </c>
      <c r="FQ65" s="138">
        <f t="shared" si="22"/>
        <v>0</v>
      </c>
      <c r="FR65" s="138">
        <f t="shared" si="23"/>
        <v>0</v>
      </c>
      <c r="FS65" s="238">
        <f t="shared" si="24"/>
        <v>0</v>
      </c>
      <c r="FT65" s="216">
        <f t="shared" si="175"/>
        <v>2.3622047244094495E-2</v>
      </c>
      <c r="FU65" s="138">
        <f t="shared" si="176"/>
        <v>0</v>
      </c>
      <c r="FV65" s="138">
        <f t="shared" si="177"/>
        <v>0</v>
      </c>
      <c r="FW65" s="238">
        <f t="shared" si="178"/>
        <v>0</v>
      </c>
      <c r="FX65" s="216">
        <f t="shared" si="25"/>
        <v>2.3622047244094495E-2</v>
      </c>
      <c r="FY65" s="138">
        <f t="shared" si="26"/>
        <v>0</v>
      </c>
      <c r="FZ65" s="138">
        <f t="shared" si="27"/>
        <v>0</v>
      </c>
      <c r="GA65" s="238">
        <f t="shared" si="28"/>
        <v>0</v>
      </c>
      <c r="GB65" s="216">
        <f t="shared" si="179"/>
        <v>2.3622047244094495E-2</v>
      </c>
      <c r="GC65" s="138">
        <f t="shared" si="180"/>
        <v>0</v>
      </c>
      <c r="GD65" s="138">
        <f t="shared" si="181"/>
        <v>0</v>
      </c>
      <c r="GE65" s="238">
        <f t="shared" si="182"/>
        <v>0</v>
      </c>
      <c r="GF65" s="216">
        <f t="shared" si="29"/>
        <v>2.3622047244094495E-2</v>
      </c>
      <c r="GG65" s="138">
        <f t="shared" si="30"/>
        <v>0</v>
      </c>
      <c r="GH65" s="138">
        <f t="shared" si="31"/>
        <v>0</v>
      </c>
      <c r="GI65" s="238">
        <f t="shared" si="32"/>
        <v>0</v>
      </c>
      <c r="GJ65" s="216">
        <f t="shared" si="183"/>
        <v>0.25</v>
      </c>
      <c r="GK65" s="216">
        <f t="shared" si="184"/>
        <v>2.3622047244094495E-2</v>
      </c>
      <c r="GL65" s="17">
        <f t="shared" si="185"/>
        <v>2.3622047244094495E-2</v>
      </c>
      <c r="GM65" s="216">
        <f t="shared" si="186"/>
        <v>8.3451377681685538E-3</v>
      </c>
      <c r="GN65" s="2">
        <f t="shared" si="187"/>
        <v>2</v>
      </c>
      <c r="GO65" s="2">
        <f t="shared" si="188"/>
        <v>2</v>
      </c>
      <c r="GP65" s="142">
        <f t="shared" si="189"/>
        <v>2</v>
      </c>
      <c r="GQ65" s="2">
        <f t="shared" si="190"/>
        <v>1.5748031496062995E-2</v>
      </c>
      <c r="GR65" s="8">
        <f t="shared" si="33"/>
        <v>8.7822424030294916E-2</v>
      </c>
      <c r="GS65" s="138">
        <f t="shared" si="191"/>
        <v>0.25</v>
      </c>
      <c r="GT65" s="12">
        <f t="shared" si="34"/>
        <v>7279.5319629131282</v>
      </c>
      <c r="GU65" s="138">
        <f t="shared" si="192"/>
        <v>0.25</v>
      </c>
      <c r="GV65" s="116">
        <f t="shared" si="193"/>
        <v>2175570</v>
      </c>
      <c r="GW65" s="2">
        <f t="shared" si="35"/>
        <v>2.3622047244094495E-2</v>
      </c>
      <c r="GX65" s="8">
        <f t="shared" si="36"/>
        <v>2.2500000719999997</v>
      </c>
      <c r="GY65" s="116">
        <f t="shared" si="194"/>
        <v>2610.6840000000002</v>
      </c>
      <c r="GZ65" s="217">
        <f t="shared" si="195"/>
        <v>4.7971244140345632</v>
      </c>
      <c r="HA65" s="207">
        <f t="shared" si="196"/>
        <v>2</v>
      </c>
      <c r="HB65" s="144">
        <f t="shared" si="197"/>
        <v>132543.29551030291</v>
      </c>
      <c r="HC65" s="138">
        <f t="shared" si="37"/>
        <v>0.25</v>
      </c>
      <c r="HD65" s="116">
        <f t="shared" si="198"/>
        <v>2175570</v>
      </c>
      <c r="HE65" s="2">
        <f t="shared" si="38"/>
        <v>2.3622047244094495E-2</v>
      </c>
      <c r="HF65" s="8">
        <f t="shared" si="199"/>
        <v>2.2500000719999997</v>
      </c>
      <c r="HG65" s="116">
        <f t="shared" si="200"/>
        <v>2610.6840000000002</v>
      </c>
      <c r="HH65" s="217">
        <f t="shared" si="201"/>
        <v>4.7971244140345632</v>
      </c>
      <c r="HI65" s="207">
        <f t="shared" si="202"/>
        <v>2</v>
      </c>
      <c r="HJ65" s="144">
        <f t="shared" si="203"/>
        <v>132543.29551030291</v>
      </c>
      <c r="HK65" s="138">
        <f t="shared" si="39"/>
        <v>0.25</v>
      </c>
      <c r="HL65" s="116">
        <f t="shared" si="204"/>
        <v>2175570</v>
      </c>
      <c r="HM65" s="2">
        <f t="shared" si="40"/>
        <v>2.3622047244094495E-2</v>
      </c>
      <c r="HN65" s="8">
        <f t="shared" si="205"/>
        <v>2.2500000719999997</v>
      </c>
      <c r="HO65" s="116">
        <f t="shared" si="206"/>
        <v>2610.6840000000002</v>
      </c>
      <c r="HP65" s="217">
        <f t="shared" si="207"/>
        <v>4.7971244140345632</v>
      </c>
      <c r="HQ65" s="207">
        <f t="shared" si="208"/>
        <v>2</v>
      </c>
      <c r="HR65" s="144">
        <f t="shared" si="209"/>
        <v>132543.29551030291</v>
      </c>
      <c r="HS65" s="128">
        <f t="shared" si="210"/>
        <v>0.25</v>
      </c>
      <c r="HT65" s="2">
        <f t="shared" si="211"/>
        <v>1.5748031496062995E-2</v>
      </c>
      <c r="HU65" s="127">
        <f t="shared" si="212"/>
        <v>1.5748031496062995E-2</v>
      </c>
      <c r="HV65" s="216">
        <f t="shared" si="213"/>
        <v>0.25</v>
      </c>
      <c r="HW65" s="138">
        <f t="shared" si="214"/>
        <v>0</v>
      </c>
      <c r="HX65" s="138">
        <f t="shared" si="215"/>
        <v>0</v>
      </c>
      <c r="HY65" s="238">
        <f t="shared" si="216"/>
        <v>0</v>
      </c>
      <c r="HZ65" s="138">
        <f t="shared" si="217"/>
        <v>0.25</v>
      </c>
      <c r="IA65" s="138">
        <f t="shared" si="218"/>
        <v>0</v>
      </c>
      <c r="IB65" s="138">
        <f t="shared" si="219"/>
        <v>0</v>
      </c>
      <c r="IC65" s="138">
        <f t="shared" si="220"/>
        <v>0</v>
      </c>
      <c r="ID65" s="216">
        <f t="shared" si="221"/>
        <v>1.5748031496062995E-2</v>
      </c>
      <c r="IE65" s="138">
        <f t="shared" si="222"/>
        <v>0</v>
      </c>
      <c r="IF65" s="138">
        <f t="shared" si="223"/>
        <v>0</v>
      </c>
      <c r="IG65" s="238">
        <f t="shared" si="224"/>
        <v>0</v>
      </c>
      <c r="IH65" s="138">
        <f t="shared" si="225"/>
        <v>1.5748031496062995E-2</v>
      </c>
      <c r="II65" s="138">
        <f t="shared" si="226"/>
        <v>0</v>
      </c>
      <c r="IJ65" s="138">
        <f t="shared" si="227"/>
        <v>0</v>
      </c>
      <c r="IK65" s="138">
        <f t="shared" si="228"/>
        <v>0</v>
      </c>
      <c r="IL65" s="216">
        <f t="shared" si="229"/>
        <v>1.5748031496062995E-2</v>
      </c>
      <c r="IM65" s="138">
        <f t="shared" si="230"/>
        <v>0</v>
      </c>
      <c r="IN65" s="138">
        <f t="shared" si="231"/>
        <v>0</v>
      </c>
      <c r="IO65" s="238">
        <f t="shared" si="232"/>
        <v>0</v>
      </c>
      <c r="IP65" s="138">
        <f t="shared" si="233"/>
        <v>1.5748031496062995E-2</v>
      </c>
      <c r="IQ65" s="138">
        <f t="shared" si="234"/>
        <v>0</v>
      </c>
      <c r="IR65" s="138">
        <f t="shared" si="235"/>
        <v>0</v>
      </c>
      <c r="IS65" s="138">
        <f t="shared" si="236"/>
        <v>0</v>
      </c>
      <c r="IT65" s="17">
        <f t="shared" si="237"/>
        <v>0.25</v>
      </c>
      <c r="IU65" s="17">
        <f t="shared" si="238"/>
        <v>1.5748031496062995E-2</v>
      </c>
      <c r="IV65" s="17">
        <f t="shared" si="239"/>
        <v>1.5748031496062995E-2</v>
      </c>
      <c r="IW65" s="253">
        <f t="shared" si="240"/>
        <v>12.500000400000001</v>
      </c>
      <c r="IX65" s="116">
        <f t="shared" si="241"/>
        <v>450.53393209048187</v>
      </c>
      <c r="IY65" s="8">
        <f t="shared" si="242"/>
        <v>1.1648686863713694E-2</v>
      </c>
      <c r="IZ65" s="8">
        <f t="shared" si="243"/>
        <v>1.1648686863713694E-2</v>
      </c>
      <c r="JA65" s="8">
        <f t="shared" si="244"/>
        <v>5.8243434318568472E-3</v>
      </c>
      <c r="JB65" s="134">
        <f t="shared" si="245"/>
        <v>7.6317386170235466E-2</v>
      </c>
      <c r="JC65" s="170">
        <f t="shared" si="246"/>
        <v>6.3945696655626945E-3</v>
      </c>
      <c r="JD65" s="272">
        <f t="shared" si="247"/>
        <v>7.9966053207362275E-2</v>
      </c>
      <c r="JE65" s="8"/>
      <c r="JF65" s="8"/>
    </row>
    <row r="66" spans="1:266" x14ac:dyDescent="0.25">
      <c r="A66" s="186">
        <v>6</v>
      </c>
      <c r="B66" s="187">
        <f>A66/100*'Inputs-Imperial'!$E$5</f>
        <v>0.59055120000000005</v>
      </c>
      <c r="C66" s="188">
        <f>'Inputs-Imperial'!$E$10+('Inputs-Imperial'!$E$9-'Inputs-Imperial'!$E$10)*(100-A66)/100</f>
        <v>2.07349088</v>
      </c>
      <c r="D66" s="187">
        <f t="shared" si="248"/>
        <v>9.842519999999999E-2</v>
      </c>
      <c r="E66" s="188">
        <f t="shared" si="249"/>
        <v>0.20456813056192799</v>
      </c>
      <c r="F66" s="423">
        <f>Loads!P26</f>
        <v>111.91447326294778</v>
      </c>
      <c r="G66" s="423">
        <f>Loads!M26</f>
        <v>1119.1447326294769</v>
      </c>
      <c r="H66" s="423">
        <f>Loads!N26</f>
        <v>4581.3955740079409</v>
      </c>
      <c r="I66" s="423">
        <f>Loads!V26</f>
        <v>-1037.5235712590566</v>
      </c>
      <c r="J66" s="423">
        <f>Loads!Q26</f>
        <v>458.13955740079416</v>
      </c>
      <c r="K66" s="2">
        <v>6</v>
      </c>
      <c r="L66" s="12">
        <f t="shared" si="41"/>
        <v>7.0866144000000002</v>
      </c>
      <c r="M66" s="11">
        <f t="shared" si="42"/>
        <v>24.881890560000002</v>
      </c>
      <c r="N66" s="11">
        <f t="shared" si="43"/>
        <v>1.1811023999999999</v>
      </c>
      <c r="O66" s="152">
        <f t="shared" si="44"/>
        <v>29.457810800917628</v>
      </c>
      <c r="P66" s="151">
        <f t="shared" si="45"/>
        <v>111.91447326294778</v>
      </c>
      <c r="Q66" s="12">
        <f t="shared" si="46"/>
        <v>1119.1447326294769</v>
      </c>
      <c r="R66" s="12">
        <f t="shared" si="47"/>
        <v>54976.746888095295</v>
      </c>
      <c r="S66" s="12">
        <f t="shared" si="48"/>
        <v>-12450.282855108679</v>
      </c>
      <c r="T66" s="152">
        <f t="shared" si="49"/>
        <v>5497.6746888095295</v>
      </c>
      <c r="U66" s="8">
        <f t="shared" si="0"/>
        <v>4.4787403008000002</v>
      </c>
      <c r="V66" s="8">
        <f t="shared" si="1"/>
        <v>4.4787403008000002</v>
      </c>
      <c r="W66" s="134">
        <f t="shared" si="2"/>
        <v>2.2393701504000001</v>
      </c>
      <c r="X66" s="311">
        <f t="shared" si="3"/>
        <v>6.2204726400000006</v>
      </c>
      <c r="Y66" s="11">
        <f t="shared" si="4"/>
        <v>18.661417920000002</v>
      </c>
      <c r="Z66" s="11">
        <f t="shared" si="5"/>
        <v>12.440945280000001</v>
      </c>
      <c r="AA66" s="316">
        <f t="shared" si="50"/>
        <v>18.661417920000002</v>
      </c>
      <c r="AB66" s="170">
        <f t="shared" si="51"/>
        <v>3.3590552256000001</v>
      </c>
      <c r="AC66" s="11">
        <f t="shared" si="52"/>
        <v>18.661417920000002</v>
      </c>
      <c r="AD66" s="152">
        <f t="shared" si="53"/>
        <v>49.2324744707172</v>
      </c>
      <c r="AE66" s="151">
        <f t="shared" si="6"/>
        <v>5.9971044934911228</v>
      </c>
      <c r="AF66" s="12">
        <f t="shared" si="54"/>
        <v>126.44380552630902</v>
      </c>
      <c r="AG66" s="216">
        <f t="shared" si="7"/>
        <v>8.6769769625960492E-3</v>
      </c>
      <c r="AH66" s="2">
        <f t="shared" si="55"/>
        <v>2</v>
      </c>
      <c r="AI66" s="2">
        <f t="shared" si="56"/>
        <v>3</v>
      </c>
      <c r="AJ66" s="127">
        <f t="shared" si="57"/>
        <v>2</v>
      </c>
      <c r="AK66" s="2">
        <f t="shared" si="58"/>
        <v>1.5748031496062995E-2</v>
      </c>
      <c r="AL66" s="8">
        <f t="shared" si="8"/>
        <v>9.1314627904273471E-2</v>
      </c>
      <c r="AM66" s="138">
        <f t="shared" si="59"/>
        <v>0.25</v>
      </c>
      <c r="AN66" s="12">
        <f t="shared" si="9"/>
        <v>7568.9980076315778</v>
      </c>
      <c r="AO66" s="138">
        <f t="shared" si="60"/>
        <v>0.25</v>
      </c>
      <c r="AP66" s="116">
        <f t="shared" si="61"/>
        <v>2175570</v>
      </c>
      <c r="AQ66" s="2">
        <f t="shared" si="62"/>
        <v>1.5748031496062995E-2</v>
      </c>
      <c r="AR66" s="8">
        <f t="shared" si="63"/>
        <v>12.440945280000001</v>
      </c>
      <c r="AS66" s="116">
        <f t="shared" si="64"/>
        <v>2610.6840000000002</v>
      </c>
      <c r="AT66" s="217">
        <f t="shared" si="65"/>
        <v>0.10460393622801901</v>
      </c>
      <c r="AU66" s="207">
        <f t="shared" si="66"/>
        <v>3.8495383942408528</v>
      </c>
      <c r="AV66" s="144">
        <f t="shared" si="67"/>
        <v>8344.3925876072208</v>
      </c>
      <c r="AW66" s="138">
        <f t="shared" si="68"/>
        <v>0.25</v>
      </c>
      <c r="AX66" s="116">
        <f t="shared" si="69"/>
        <v>2175570</v>
      </c>
      <c r="AY66" s="2">
        <f t="shared" si="70"/>
        <v>1.5748031496062995E-2</v>
      </c>
      <c r="AZ66" s="8">
        <f t="shared" si="71"/>
        <v>12.440945280000001</v>
      </c>
      <c r="BA66" s="116">
        <f t="shared" si="72"/>
        <v>2610.6840000000002</v>
      </c>
      <c r="BB66" s="217">
        <f t="shared" si="73"/>
        <v>0.10460393622801901</v>
      </c>
      <c r="BC66" s="207">
        <f t="shared" si="74"/>
        <v>3.8495383942408528</v>
      </c>
      <c r="BD66" s="144">
        <f t="shared" si="75"/>
        <v>8344.3925876072208</v>
      </c>
      <c r="BE66" s="138">
        <f t="shared" si="76"/>
        <v>0.25</v>
      </c>
      <c r="BF66" s="116">
        <f t="shared" si="77"/>
        <v>2175570</v>
      </c>
      <c r="BG66" s="2">
        <f t="shared" si="78"/>
        <v>1.5748031496062995E-2</v>
      </c>
      <c r="BH66" s="8">
        <f t="shared" si="79"/>
        <v>12.440945280000001</v>
      </c>
      <c r="BI66" s="116">
        <f t="shared" si="80"/>
        <v>2610.6840000000002</v>
      </c>
      <c r="BJ66" s="217">
        <f t="shared" si="81"/>
        <v>0.10460393622801901</v>
      </c>
      <c r="BK66" s="207">
        <f t="shared" si="82"/>
        <v>3.8495383942408528</v>
      </c>
      <c r="BL66" s="144">
        <f t="shared" si="83"/>
        <v>8344.3925876072208</v>
      </c>
      <c r="BM66" s="216">
        <f t="shared" si="84"/>
        <v>0.25</v>
      </c>
      <c r="BN66" s="216">
        <f t="shared" si="85"/>
        <v>2.3622047244094495E-2</v>
      </c>
      <c r="BO66" s="238">
        <f t="shared" si="86"/>
        <v>1.5748031496062995E-2</v>
      </c>
      <c r="BP66" s="216">
        <f t="shared" si="87"/>
        <v>0.25</v>
      </c>
      <c r="BQ66" s="138">
        <f t="shared" si="88"/>
        <v>0</v>
      </c>
      <c r="BR66" s="138">
        <f t="shared" si="89"/>
        <v>0</v>
      </c>
      <c r="BS66" s="238">
        <f t="shared" si="90"/>
        <v>0</v>
      </c>
      <c r="BT66" s="138">
        <f t="shared" si="91"/>
        <v>0.25</v>
      </c>
      <c r="BU66" s="138">
        <f t="shared" si="92"/>
        <v>0</v>
      </c>
      <c r="BV66" s="138">
        <f t="shared" si="93"/>
        <v>0</v>
      </c>
      <c r="BW66" s="238">
        <f t="shared" si="94"/>
        <v>0</v>
      </c>
      <c r="BX66" s="216">
        <f t="shared" si="95"/>
        <v>2.3622047244094495E-2</v>
      </c>
      <c r="BY66" s="138">
        <f t="shared" si="96"/>
        <v>0</v>
      </c>
      <c r="BZ66" s="138">
        <f t="shared" si="97"/>
        <v>0</v>
      </c>
      <c r="CA66" s="238">
        <f t="shared" si="98"/>
        <v>0</v>
      </c>
      <c r="CB66" s="138">
        <f t="shared" si="99"/>
        <v>2.3622047244094495E-2</v>
      </c>
      <c r="CC66" s="138">
        <f t="shared" si="100"/>
        <v>0</v>
      </c>
      <c r="CD66" s="138">
        <f t="shared" si="101"/>
        <v>0</v>
      </c>
      <c r="CE66" s="238">
        <f t="shared" si="102"/>
        <v>0</v>
      </c>
      <c r="CF66" s="216">
        <f t="shared" si="103"/>
        <v>1.5748031496062995E-2</v>
      </c>
      <c r="CG66" s="138">
        <f t="shared" si="104"/>
        <v>0</v>
      </c>
      <c r="CH66" s="138">
        <f t="shared" si="105"/>
        <v>0</v>
      </c>
      <c r="CI66" s="238">
        <f t="shared" si="106"/>
        <v>0</v>
      </c>
      <c r="CJ66" s="138">
        <f t="shared" si="107"/>
        <v>1.5748031496062995E-2</v>
      </c>
      <c r="CK66" s="138">
        <f t="shared" si="108"/>
        <v>0</v>
      </c>
      <c r="CL66" s="138">
        <f t="shared" si="109"/>
        <v>0</v>
      </c>
      <c r="CM66" s="238">
        <f t="shared" si="110"/>
        <v>0</v>
      </c>
      <c r="CN66" s="17">
        <f t="shared" si="111"/>
        <v>0.25</v>
      </c>
      <c r="CO66" s="17">
        <f t="shared" si="112"/>
        <v>2.3622047244094495E-2</v>
      </c>
      <c r="CP66" s="17">
        <f t="shared" si="113"/>
        <v>1.5748031496062995E-2</v>
      </c>
      <c r="CQ66" s="17">
        <f>$U66-IF('Inputs-Imperial'!$E$13,0,2)*($CO66+$CN66+$CP66)</f>
        <v>4.4787403008000002</v>
      </c>
      <c r="CR66" s="116">
        <f t="shared" si="114"/>
        <v>12275.046820257752</v>
      </c>
      <c r="CS66" s="8">
        <f t="shared" si="10"/>
        <v>0.31737493330000804</v>
      </c>
      <c r="CT66" s="8">
        <f t="shared" si="115"/>
        <v>0.56336039379779623</v>
      </c>
      <c r="CU66" s="8">
        <f t="shared" si="11"/>
        <v>0.31737493330000804</v>
      </c>
      <c r="CV66" s="8">
        <f t="shared" si="116"/>
        <v>0.56336039379779623</v>
      </c>
      <c r="CW66" s="216">
        <f t="shared" si="117"/>
        <v>3.9153799070022042</v>
      </c>
      <c r="CX66" s="116">
        <f t="shared" si="118"/>
        <v>14041.229253328838</v>
      </c>
      <c r="CY66" s="8">
        <f t="shared" si="119"/>
        <v>0.3630400977673654</v>
      </c>
      <c r="CZ66" s="8">
        <f t="shared" si="120"/>
        <v>0.60252808877874353</v>
      </c>
      <c r="DA66" s="8">
        <f t="shared" si="121"/>
        <v>0.3630400977673654</v>
      </c>
      <c r="DB66" s="8">
        <f t="shared" si="122"/>
        <v>0.60252808877874353</v>
      </c>
      <c r="DC66" s="216">
        <f t="shared" si="123"/>
        <v>3.8762122120212563</v>
      </c>
      <c r="DD66" s="116">
        <f t="shared" si="124"/>
        <v>14183.110696983123</v>
      </c>
      <c r="DE66" s="8">
        <f t="shared" si="125"/>
        <v>0.36670848407787415</v>
      </c>
      <c r="DF66" s="8">
        <f t="shared" si="126"/>
        <v>0.60556459942591934</v>
      </c>
      <c r="DG66" s="8">
        <f t="shared" si="127"/>
        <v>0.36670848407787415</v>
      </c>
      <c r="DH66" s="8">
        <f t="shared" si="128"/>
        <v>0.60556459942591934</v>
      </c>
      <c r="DI66" s="216">
        <f t="shared" si="129"/>
        <v>3.8731757013740804</v>
      </c>
      <c r="DJ66" s="116">
        <f t="shared" si="130"/>
        <v>14194.230039342465</v>
      </c>
      <c r="DK66" s="8">
        <f t="shared" si="131"/>
        <v>0.36699597793360528</v>
      </c>
      <c r="DL66" s="8">
        <f t="shared" si="132"/>
        <v>0.60580192962188995</v>
      </c>
      <c r="DM66" s="8">
        <f t="shared" si="133"/>
        <v>0.36699597793360528</v>
      </c>
      <c r="DN66" s="8">
        <f t="shared" si="134"/>
        <v>0.60580192962188995</v>
      </c>
      <c r="DO66" s="216">
        <f t="shared" si="135"/>
        <v>3.87293837117811</v>
      </c>
      <c r="DP66" s="116">
        <f t="shared" si="136"/>
        <v>14195.099849051279</v>
      </c>
      <c r="DQ66" s="170">
        <f t="shared" si="137"/>
        <v>0.36701846711856406</v>
      </c>
      <c r="DR66" s="8">
        <f t="shared" si="138"/>
        <v>0.60582049083747902</v>
      </c>
      <c r="DS66" s="8">
        <f t="shared" si="139"/>
        <v>0.36701846711856406</v>
      </c>
      <c r="DT66" s="134">
        <f t="shared" si="140"/>
        <v>0.60582049083747902</v>
      </c>
      <c r="DU66" s="170">
        <f t="shared" si="141"/>
        <v>0.41283788277202987</v>
      </c>
      <c r="DV66" s="170">
        <f t="shared" si="141"/>
        <v>0.64252461647164139</v>
      </c>
      <c r="DW66" s="170">
        <f t="shared" si="141"/>
        <v>0.41283788277202987</v>
      </c>
      <c r="DX66" s="272">
        <f t="shared" si="141"/>
        <v>0.64252461647164139</v>
      </c>
      <c r="DY66" s="272">
        <f t="shared" si="142"/>
        <v>3.193691067856717</v>
      </c>
      <c r="DZ66" s="22">
        <f t="shared" si="12"/>
        <v>249.87935389546328</v>
      </c>
      <c r="EA66" s="216">
        <f t="shared" si="13"/>
        <v>1.6371054811199732E-2</v>
      </c>
      <c r="EB66" s="12">
        <f t="shared" si="143"/>
        <v>3</v>
      </c>
      <c r="EC66" s="7">
        <f>ROUND(MAX(DV66,DX66)/'Inputs-Imperial'!$E$21,0)</f>
        <v>5</v>
      </c>
      <c r="ED66" s="12">
        <f t="shared" si="144"/>
        <v>5</v>
      </c>
      <c r="EE66" s="2">
        <f t="shared" si="145"/>
        <v>3</v>
      </c>
      <c r="EF66" s="127">
        <f t="shared" si="146"/>
        <v>3</v>
      </c>
      <c r="EG66" s="2">
        <f t="shared" si="147"/>
        <v>2.3622047244094495E-2</v>
      </c>
      <c r="EH66" s="8">
        <f t="shared" si="14"/>
        <v>0.17228543822685316</v>
      </c>
      <c r="EI66" s="138">
        <f t="shared" si="148"/>
        <v>0.25</v>
      </c>
      <c r="EJ66" s="12">
        <f t="shared" si="15"/>
        <v>9520.4033834171478</v>
      </c>
      <c r="EK66" s="138">
        <f t="shared" si="149"/>
        <v>0.25</v>
      </c>
      <c r="EL66" s="116">
        <f t="shared" si="150"/>
        <v>2175570</v>
      </c>
      <c r="EM66" s="2">
        <f t="shared" si="16"/>
        <v>2.3622047244094495E-2</v>
      </c>
      <c r="EN66" s="8">
        <f t="shared" si="151"/>
        <v>4.4787403008000002</v>
      </c>
      <c r="EO66" s="116">
        <f t="shared" si="152"/>
        <v>2610.6840000000002</v>
      </c>
      <c r="EP66" s="217">
        <f t="shared" si="153"/>
        <v>1.2106937063428125</v>
      </c>
      <c r="EQ66" s="207">
        <f t="shared" si="154"/>
        <v>2</v>
      </c>
      <c r="ER66" s="144">
        <f t="shared" si="155"/>
        <v>33451.151115194552</v>
      </c>
      <c r="ES66" s="138">
        <f t="shared" si="17"/>
        <v>0.25</v>
      </c>
      <c r="ET66" s="116">
        <f t="shared" si="156"/>
        <v>2175570</v>
      </c>
      <c r="EU66" s="2">
        <f t="shared" si="18"/>
        <v>2.3622047244094495E-2</v>
      </c>
      <c r="EV66" s="8">
        <f t="shared" si="157"/>
        <v>4.4787403008000002</v>
      </c>
      <c r="EW66" s="116">
        <f t="shared" si="158"/>
        <v>2610.6840000000002</v>
      </c>
      <c r="EX66" s="217">
        <f t="shared" si="159"/>
        <v>1.2106937063428125</v>
      </c>
      <c r="EY66" s="207">
        <f t="shared" si="160"/>
        <v>2</v>
      </c>
      <c r="EZ66" s="144">
        <f t="shared" si="161"/>
        <v>33451.151115194552</v>
      </c>
      <c r="FA66" s="138">
        <f t="shared" si="19"/>
        <v>0.25</v>
      </c>
      <c r="FB66" s="116">
        <f t="shared" si="162"/>
        <v>2175570</v>
      </c>
      <c r="FC66" s="2">
        <f t="shared" si="20"/>
        <v>2.3622047244094495E-2</v>
      </c>
      <c r="FD66" s="8">
        <f t="shared" si="163"/>
        <v>4.4787403008000002</v>
      </c>
      <c r="FE66" s="116">
        <f t="shared" si="164"/>
        <v>2610.6840000000002</v>
      </c>
      <c r="FF66" s="217">
        <f t="shared" si="165"/>
        <v>1.2106937063428125</v>
      </c>
      <c r="FG66" s="207">
        <f t="shared" si="166"/>
        <v>2</v>
      </c>
      <c r="FH66" s="144">
        <f t="shared" si="167"/>
        <v>33451.151115194552</v>
      </c>
      <c r="FI66" s="128">
        <f t="shared" si="168"/>
        <v>0.25</v>
      </c>
      <c r="FJ66" s="2">
        <f t="shared" si="169"/>
        <v>2.3622047244094495E-2</v>
      </c>
      <c r="FK66" s="127">
        <f t="shared" si="170"/>
        <v>2.3622047244094495E-2</v>
      </c>
      <c r="FL66" s="216">
        <f t="shared" si="171"/>
        <v>0.25</v>
      </c>
      <c r="FM66" s="138">
        <f t="shared" si="172"/>
        <v>0</v>
      </c>
      <c r="FN66" s="138">
        <f t="shared" si="173"/>
        <v>0</v>
      </c>
      <c r="FO66" s="238">
        <f t="shared" si="174"/>
        <v>0</v>
      </c>
      <c r="FP66" s="216">
        <f t="shared" si="21"/>
        <v>0.25</v>
      </c>
      <c r="FQ66" s="138">
        <f t="shared" si="22"/>
        <v>0</v>
      </c>
      <c r="FR66" s="138">
        <f t="shared" si="23"/>
        <v>0</v>
      </c>
      <c r="FS66" s="238">
        <f t="shared" si="24"/>
        <v>0</v>
      </c>
      <c r="FT66" s="216">
        <f t="shared" si="175"/>
        <v>2.3622047244094495E-2</v>
      </c>
      <c r="FU66" s="138">
        <f t="shared" si="176"/>
        <v>0</v>
      </c>
      <c r="FV66" s="138">
        <f t="shared" si="177"/>
        <v>0</v>
      </c>
      <c r="FW66" s="238">
        <f t="shared" si="178"/>
        <v>0</v>
      </c>
      <c r="FX66" s="216">
        <f t="shared" si="25"/>
        <v>2.3622047244094495E-2</v>
      </c>
      <c r="FY66" s="138">
        <f t="shared" si="26"/>
        <v>0</v>
      </c>
      <c r="FZ66" s="138">
        <f t="shared" si="27"/>
        <v>0</v>
      </c>
      <c r="GA66" s="238">
        <f t="shared" si="28"/>
        <v>0</v>
      </c>
      <c r="GB66" s="216">
        <f t="shared" si="179"/>
        <v>2.3622047244094495E-2</v>
      </c>
      <c r="GC66" s="138">
        <f t="shared" si="180"/>
        <v>0</v>
      </c>
      <c r="GD66" s="138">
        <f t="shared" si="181"/>
        <v>0</v>
      </c>
      <c r="GE66" s="238">
        <f t="shared" si="182"/>
        <v>0</v>
      </c>
      <c r="GF66" s="216">
        <f t="shared" si="29"/>
        <v>2.3622047244094495E-2</v>
      </c>
      <c r="GG66" s="138">
        <f t="shared" si="30"/>
        <v>0</v>
      </c>
      <c r="GH66" s="138">
        <f t="shared" si="31"/>
        <v>0</v>
      </c>
      <c r="GI66" s="238">
        <f t="shared" si="32"/>
        <v>0</v>
      </c>
      <c r="GJ66" s="216">
        <f t="shared" si="183"/>
        <v>0.25</v>
      </c>
      <c r="GK66" s="216">
        <f t="shared" si="184"/>
        <v>2.3622047244094495E-2</v>
      </c>
      <c r="GL66" s="17">
        <f t="shared" si="185"/>
        <v>2.3622047244094495E-2</v>
      </c>
      <c r="GM66" s="216">
        <f t="shared" si="186"/>
        <v>8.2840716471272551E-3</v>
      </c>
      <c r="GN66" s="2">
        <f t="shared" si="187"/>
        <v>2</v>
      </c>
      <c r="GO66" s="2">
        <f t="shared" si="188"/>
        <v>2</v>
      </c>
      <c r="GP66" s="142">
        <f t="shared" si="189"/>
        <v>2</v>
      </c>
      <c r="GQ66" s="2">
        <f t="shared" si="190"/>
        <v>1.5748031496062995E-2</v>
      </c>
      <c r="GR66" s="8">
        <f t="shared" si="33"/>
        <v>8.7179777386828972E-2</v>
      </c>
      <c r="GS66" s="138">
        <f t="shared" si="191"/>
        <v>0.25</v>
      </c>
      <c r="GT66" s="12">
        <f t="shared" si="34"/>
        <v>7226.2634858285592</v>
      </c>
      <c r="GU66" s="138">
        <f t="shared" si="192"/>
        <v>0.25</v>
      </c>
      <c r="GV66" s="116">
        <f t="shared" si="193"/>
        <v>2175570</v>
      </c>
      <c r="GW66" s="2">
        <f t="shared" si="35"/>
        <v>2.3622047244094495E-2</v>
      </c>
      <c r="GX66" s="8">
        <f t="shared" si="36"/>
        <v>2.2393701504000001</v>
      </c>
      <c r="GY66" s="116">
        <f t="shared" si="194"/>
        <v>2610.6840000000002</v>
      </c>
      <c r="GZ66" s="217">
        <f t="shared" si="195"/>
        <v>4.8427748253712499</v>
      </c>
      <c r="HA66" s="207">
        <f t="shared" si="196"/>
        <v>2</v>
      </c>
      <c r="HB66" s="144">
        <f t="shared" si="197"/>
        <v>133804.60446077821</v>
      </c>
      <c r="HC66" s="138">
        <f t="shared" si="37"/>
        <v>0.25</v>
      </c>
      <c r="HD66" s="116">
        <f t="shared" si="198"/>
        <v>2175570</v>
      </c>
      <c r="HE66" s="2">
        <f t="shared" si="38"/>
        <v>2.3622047244094495E-2</v>
      </c>
      <c r="HF66" s="8">
        <f t="shared" si="199"/>
        <v>2.2393701504000001</v>
      </c>
      <c r="HG66" s="116">
        <f t="shared" si="200"/>
        <v>2610.6840000000002</v>
      </c>
      <c r="HH66" s="217">
        <f t="shared" si="201"/>
        <v>4.8427748253712499</v>
      </c>
      <c r="HI66" s="207">
        <f t="shared" si="202"/>
        <v>2</v>
      </c>
      <c r="HJ66" s="144">
        <f t="shared" si="203"/>
        <v>133804.60446077821</v>
      </c>
      <c r="HK66" s="138">
        <f t="shared" si="39"/>
        <v>0.25</v>
      </c>
      <c r="HL66" s="116">
        <f t="shared" si="204"/>
        <v>2175570</v>
      </c>
      <c r="HM66" s="2">
        <f t="shared" si="40"/>
        <v>2.3622047244094495E-2</v>
      </c>
      <c r="HN66" s="8">
        <f t="shared" si="205"/>
        <v>2.2393701504000001</v>
      </c>
      <c r="HO66" s="116">
        <f t="shared" si="206"/>
        <v>2610.6840000000002</v>
      </c>
      <c r="HP66" s="217">
        <f t="shared" si="207"/>
        <v>4.8427748253712499</v>
      </c>
      <c r="HQ66" s="207">
        <f t="shared" si="208"/>
        <v>2</v>
      </c>
      <c r="HR66" s="144">
        <f t="shared" si="209"/>
        <v>133804.60446077821</v>
      </c>
      <c r="HS66" s="128">
        <f t="shared" si="210"/>
        <v>0.25</v>
      </c>
      <c r="HT66" s="2">
        <f t="shared" si="211"/>
        <v>1.5748031496062995E-2</v>
      </c>
      <c r="HU66" s="127">
        <f t="shared" si="212"/>
        <v>1.5748031496062995E-2</v>
      </c>
      <c r="HV66" s="216">
        <f t="shared" si="213"/>
        <v>0.25</v>
      </c>
      <c r="HW66" s="138">
        <f t="shared" si="214"/>
        <v>0</v>
      </c>
      <c r="HX66" s="138">
        <f t="shared" si="215"/>
        <v>0</v>
      </c>
      <c r="HY66" s="238">
        <f t="shared" si="216"/>
        <v>0</v>
      </c>
      <c r="HZ66" s="138">
        <f t="shared" si="217"/>
        <v>0.25</v>
      </c>
      <c r="IA66" s="138">
        <f t="shared" si="218"/>
        <v>0</v>
      </c>
      <c r="IB66" s="138">
        <f t="shared" si="219"/>
        <v>0</v>
      </c>
      <c r="IC66" s="138">
        <f t="shared" si="220"/>
        <v>0</v>
      </c>
      <c r="ID66" s="216">
        <f t="shared" si="221"/>
        <v>1.5748031496062995E-2</v>
      </c>
      <c r="IE66" s="138">
        <f t="shared" si="222"/>
        <v>0</v>
      </c>
      <c r="IF66" s="138">
        <f t="shared" si="223"/>
        <v>0</v>
      </c>
      <c r="IG66" s="238">
        <f t="shared" si="224"/>
        <v>0</v>
      </c>
      <c r="IH66" s="138">
        <f t="shared" si="225"/>
        <v>1.5748031496062995E-2</v>
      </c>
      <c r="II66" s="138">
        <f t="shared" si="226"/>
        <v>0</v>
      </c>
      <c r="IJ66" s="138">
        <f t="shared" si="227"/>
        <v>0</v>
      </c>
      <c r="IK66" s="138">
        <f t="shared" si="228"/>
        <v>0</v>
      </c>
      <c r="IL66" s="216">
        <f t="shared" si="229"/>
        <v>1.5748031496062995E-2</v>
      </c>
      <c r="IM66" s="138">
        <f t="shared" si="230"/>
        <v>0</v>
      </c>
      <c r="IN66" s="138">
        <f t="shared" si="231"/>
        <v>0</v>
      </c>
      <c r="IO66" s="238">
        <f t="shared" si="232"/>
        <v>0</v>
      </c>
      <c r="IP66" s="138">
        <f t="shared" si="233"/>
        <v>1.5748031496062995E-2</v>
      </c>
      <c r="IQ66" s="138">
        <f t="shared" si="234"/>
        <v>0</v>
      </c>
      <c r="IR66" s="138">
        <f t="shared" si="235"/>
        <v>0</v>
      </c>
      <c r="IS66" s="138">
        <f t="shared" si="236"/>
        <v>0</v>
      </c>
      <c r="IT66" s="17">
        <f t="shared" si="237"/>
        <v>0.25</v>
      </c>
      <c r="IU66" s="17">
        <f t="shared" si="238"/>
        <v>1.5748031496062995E-2</v>
      </c>
      <c r="IV66" s="17">
        <f t="shared" si="239"/>
        <v>1.5748031496062995E-2</v>
      </c>
      <c r="IW66" s="253">
        <f t="shared" si="240"/>
        <v>12.440945280000001</v>
      </c>
      <c r="IX66" s="116">
        <f t="shared" si="241"/>
        <v>441.90168552927906</v>
      </c>
      <c r="IY66" s="8">
        <f t="shared" si="242"/>
        <v>1.1425497598800289E-2</v>
      </c>
      <c r="IZ66" s="8">
        <f t="shared" si="243"/>
        <v>1.1425497598800289E-2</v>
      </c>
      <c r="JA66" s="8">
        <f t="shared" si="244"/>
        <v>5.7127487994001443E-3</v>
      </c>
      <c r="JB66" s="134">
        <f t="shared" si="245"/>
        <v>7.5582728181775388E-2</v>
      </c>
      <c r="JC66" s="170">
        <f t="shared" si="246"/>
        <v>6.3945696655626945E-3</v>
      </c>
      <c r="JD66" s="272">
        <f t="shared" si="247"/>
        <v>7.9966053207362275E-2</v>
      </c>
      <c r="JE66" s="8"/>
      <c r="JF66" s="8"/>
    </row>
    <row r="67" spans="1:266" x14ac:dyDescent="0.25">
      <c r="A67" s="186">
        <v>7</v>
      </c>
      <c r="B67" s="187">
        <f>A67/100*'Inputs-Imperial'!$E$5</f>
        <v>0.68897640000000004</v>
      </c>
      <c r="C67" s="188">
        <f>'Inputs-Imperial'!$E$10+('Inputs-Imperial'!$E$9-'Inputs-Imperial'!$E$10)*(100-A67)/100</f>
        <v>2.0636483600000002</v>
      </c>
      <c r="D67" s="187">
        <f t="shared" si="248"/>
        <v>9.842519999999999E-2</v>
      </c>
      <c r="E67" s="188">
        <f t="shared" si="249"/>
        <v>0.20359937856242397</v>
      </c>
      <c r="F67" s="423">
        <f>Loads!P27</f>
        <v>110.3800202082965</v>
      </c>
      <c r="G67" s="423">
        <f>Loads!M27</f>
        <v>1103.8002020829642</v>
      </c>
      <c r="H67" s="423">
        <f>Loads!N27</f>
        <v>4471.2435298699384</v>
      </c>
      <c r="I67" s="423">
        <f>Loads!V27</f>
        <v>-1020.0235570901975</v>
      </c>
      <c r="J67" s="423">
        <f>Loads!Q27</f>
        <v>447.12435298699387</v>
      </c>
      <c r="K67" s="2">
        <v>7</v>
      </c>
      <c r="L67" s="12">
        <f t="shared" si="41"/>
        <v>8.2677168000000005</v>
      </c>
      <c r="M67" s="11">
        <f t="shared" si="42"/>
        <v>24.763780320000002</v>
      </c>
      <c r="N67" s="11">
        <f t="shared" si="43"/>
        <v>1.1811023999999999</v>
      </c>
      <c r="O67" s="152">
        <f t="shared" si="44"/>
        <v>29.318310512989051</v>
      </c>
      <c r="P67" s="151">
        <f t="shared" si="45"/>
        <v>110.3800202082965</v>
      </c>
      <c r="Q67" s="12">
        <f t="shared" si="46"/>
        <v>1103.8002020829642</v>
      </c>
      <c r="R67" s="12">
        <f t="shared" si="47"/>
        <v>53654.92235843926</v>
      </c>
      <c r="S67" s="12">
        <f t="shared" si="48"/>
        <v>-12240.282685082369</v>
      </c>
      <c r="T67" s="152">
        <f t="shared" si="49"/>
        <v>5365.4922358439262</v>
      </c>
      <c r="U67" s="8">
        <f t="shared" si="0"/>
        <v>4.4574804576</v>
      </c>
      <c r="V67" s="8">
        <f t="shared" si="1"/>
        <v>4.4574804576</v>
      </c>
      <c r="W67" s="134">
        <f t="shared" si="2"/>
        <v>2.2287402288</v>
      </c>
      <c r="X67" s="311">
        <f t="shared" si="3"/>
        <v>6.1909450800000005</v>
      </c>
      <c r="Y67" s="11">
        <f t="shared" si="4"/>
        <v>18.572835240000003</v>
      </c>
      <c r="Z67" s="11">
        <f t="shared" si="5"/>
        <v>12.381890160000003</v>
      </c>
      <c r="AA67" s="316">
        <f t="shared" si="50"/>
        <v>18.572835240000003</v>
      </c>
      <c r="AB67" s="170">
        <f t="shared" si="51"/>
        <v>3.3431103432000002</v>
      </c>
      <c r="AC67" s="11">
        <f t="shared" si="52"/>
        <v>18.572835240000003</v>
      </c>
      <c r="AD67" s="152">
        <f t="shared" si="53"/>
        <v>48.766186889293145</v>
      </c>
      <c r="AE67" s="151">
        <f t="shared" si="6"/>
        <v>5.9430893981427726</v>
      </c>
      <c r="AF67" s="12">
        <f t="shared" si="54"/>
        <v>125.49969011181581</v>
      </c>
      <c r="AG67" s="216">
        <f t="shared" si="7"/>
        <v>8.6115836076405081E-3</v>
      </c>
      <c r="AH67" s="2">
        <f t="shared" si="55"/>
        <v>2</v>
      </c>
      <c r="AI67" s="2">
        <f t="shared" si="56"/>
        <v>3</v>
      </c>
      <c r="AJ67" s="127">
        <f t="shared" si="57"/>
        <v>2</v>
      </c>
      <c r="AK67" s="2">
        <f t="shared" si="58"/>
        <v>1.5748031496062995E-2</v>
      </c>
      <c r="AL67" s="8">
        <f t="shared" si="8"/>
        <v>9.0626442387483672E-2</v>
      </c>
      <c r="AM67" s="138">
        <f t="shared" si="59"/>
        <v>0.25</v>
      </c>
      <c r="AN67" s="12">
        <f t="shared" si="9"/>
        <v>7511.9548489941308</v>
      </c>
      <c r="AO67" s="138">
        <f t="shared" si="60"/>
        <v>0.25</v>
      </c>
      <c r="AP67" s="116">
        <f t="shared" si="61"/>
        <v>2175570</v>
      </c>
      <c r="AQ67" s="2">
        <f t="shared" si="62"/>
        <v>1.5748031496062995E-2</v>
      </c>
      <c r="AR67" s="8">
        <f t="shared" si="63"/>
        <v>12.381890160000003</v>
      </c>
      <c r="AS67" s="116">
        <f t="shared" si="64"/>
        <v>2610.6840000000002</v>
      </c>
      <c r="AT67" s="217">
        <f t="shared" si="65"/>
        <v>0.10560412753971467</v>
      </c>
      <c r="AU67" s="207">
        <f t="shared" si="66"/>
        <v>3.8393605616494004</v>
      </c>
      <c r="AV67" s="144">
        <f t="shared" si="67"/>
        <v>8401.9063841262468</v>
      </c>
      <c r="AW67" s="138">
        <f t="shared" si="68"/>
        <v>0.25</v>
      </c>
      <c r="AX67" s="116">
        <f t="shared" si="69"/>
        <v>2175570</v>
      </c>
      <c r="AY67" s="2">
        <f t="shared" si="70"/>
        <v>1.5748031496062995E-2</v>
      </c>
      <c r="AZ67" s="8">
        <f t="shared" si="71"/>
        <v>12.381890160000003</v>
      </c>
      <c r="BA67" s="116">
        <f t="shared" si="72"/>
        <v>2610.6840000000002</v>
      </c>
      <c r="BB67" s="217">
        <f t="shared" si="73"/>
        <v>0.10560412753971467</v>
      </c>
      <c r="BC67" s="207">
        <f t="shared" si="74"/>
        <v>3.8393605616494004</v>
      </c>
      <c r="BD67" s="144">
        <f t="shared" si="75"/>
        <v>8401.9063841262468</v>
      </c>
      <c r="BE67" s="138">
        <f t="shared" si="76"/>
        <v>0.25</v>
      </c>
      <c r="BF67" s="116">
        <f t="shared" si="77"/>
        <v>2175570</v>
      </c>
      <c r="BG67" s="2">
        <f t="shared" si="78"/>
        <v>1.5748031496062995E-2</v>
      </c>
      <c r="BH67" s="8">
        <f t="shared" si="79"/>
        <v>12.381890160000003</v>
      </c>
      <c r="BI67" s="116">
        <f t="shared" si="80"/>
        <v>2610.6840000000002</v>
      </c>
      <c r="BJ67" s="217">
        <f t="shared" si="81"/>
        <v>0.10560412753971467</v>
      </c>
      <c r="BK67" s="207">
        <f t="shared" si="82"/>
        <v>3.8393605616494004</v>
      </c>
      <c r="BL67" s="144">
        <f t="shared" si="83"/>
        <v>8401.9063841262468</v>
      </c>
      <c r="BM67" s="216">
        <f t="shared" si="84"/>
        <v>0.25</v>
      </c>
      <c r="BN67" s="216">
        <f t="shared" si="85"/>
        <v>2.3622047244094495E-2</v>
      </c>
      <c r="BO67" s="238">
        <f t="shared" si="86"/>
        <v>1.5748031496062995E-2</v>
      </c>
      <c r="BP67" s="216">
        <f t="shared" si="87"/>
        <v>0.25</v>
      </c>
      <c r="BQ67" s="138">
        <f t="shared" si="88"/>
        <v>0</v>
      </c>
      <c r="BR67" s="138">
        <f t="shared" si="89"/>
        <v>0</v>
      </c>
      <c r="BS67" s="238">
        <f t="shared" si="90"/>
        <v>0</v>
      </c>
      <c r="BT67" s="138">
        <f t="shared" si="91"/>
        <v>0.25</v>
      </c>
      <c r="BU67" s="138">
        <f t="shared" si="92"/>
        <v>0</v>
      </c>
      <c r="BV67" s="138">
        <f t="shared" si="93"/>
        <v>0</v>
      </c>
      <c r="BW67" s="238">
        <f t="shared" si="94"/>
        <v>0</v>
      </c>
      <c r="BX67" s="216">
        <f t="shared" si="95"/>
        <v>2.3622047244094495E-2</v>
      </c>
      <c r="BY67" s="138">
        <f t="shared" si="96"/>
        <v>0</v>
      </c>
      <c r="BZ67" s="138">
        <f t="shared" si="97"/>
        <v>0</v>
      </c>
      <c r="CA67" s="238">
        <f t="shared" si="98"/>
        <v>0</v>
      </c>
      <c r="CB67" s="138">
        <f t="shared" si="99"/>
        <v>2.3622047244094495E-2</v>
      </c>
      <c r="CC67" s="138">
        <f t="shared" si="100"/>
        <v>0</v>
      </c>
      <c r="CD67" s="138">
        <f t="shared" si="101"/>
        <v>0</v>
      </c>
      <c r="CE67" s="238">
        <f t="shared" si="102"/>
        <v>0</v>
      </c>
      <c r="CF67" s="216">
        <f t="shared" si="103"/>
        <v>1.5748031496062995E-2</v>
      </c>
      <c r="CG67" s="138">
        <f t="shared" si="104"/>
        <v>0</v>
      </c>
      <c r="CH67" s="138">
        <f t="shared" si="105"/>
        <v>0</v>
      </c>
      <c r="CI67" s="238">
        <f t="shared" si="106"/>
        <v>0</v>
      </c>
      <c r="CJ67" s="138">
        <f t="shared" si="107"/>
        <v>1.5748031496062995E-2</v>
      </c>
      <c r="CK67" s="138">
        <f t="shared" si="108"/>
        <v>0</v>
      </c>
      <c r="CL67" s="138">
        <f t="shared" si="109"/>
        <v>0</v>
      </c>
      <c r="CM67" s="238">
        <f t="shared" si="110"/>
        <v>0</v>
      </c>
      <c r="CN67" s="17">
        <f t="shared" si="111"/>
        <v>0.25</v>
      </c>
      <c r="CO67" s="17">
        <f t="shared" si="112"/>
        <v>2.3622047244094495E-2</v>
      </c>
      <c r="CP67" s="17">
        <f t="shared" si="113"/>
        <v>1.5748031496062995E-2</v>
      </c>
      <c r="CQ67" s="17">
        <f>$U67-IF('Inputs-Imperial'!$E$13,0,2)*($CO67+$CN67+$CP67)</f>
        <v>4.4574804576</v>
      </c>
      <c r="CR67" s="116">
        <f t="shared" si="114"/>
        <v>12037.051618915719</v>
      </c>
      <c r="CS67" s="8">
        <f t="shared" si="10"/>
        <v>0.31122149761396284</v>
      </c>
      <c r="CT67" s="8">
        <f t="shared" si="115"/>
        <v>0.55787229507653702</v>
      </c>
      <c r="CU67" s="8">
        <f t="shared" si="11"/>
        <v>0.31122149761396284</v>
      </c>
      <c r="CV67" s="8">
        <f t="shared" si="116"/>
        <v>0.55787229507653702</v>
      </c>
      <c r="CW67" s="216">
        <f t="shared" si="117"/>
        <v>3.8996081625234629</v>
      </c>
      <c r="CX67" s="116">
        <f t="shared" si="118"/>
        <v>13759.054787627379</v>
      </c>
      <c r="CY67" s="8">
        <f t="shared" si="119"/>
        <v>0.3557443942525591</v>
      </c>
      <c r="CZ67" s="8">
        <f t="shared" si="120"/>
        <v>0.5964431190420082</v>
      </c>
      <c r="DA67" s="8">
        <f t="shared" si="121"/>
        <v>0.3557443942525591</v>
      </c>
      <c r="DB67" s="8">
        <f t="shared" si="122"/>
        <v>0.5964431190420082</v>
      </c>
      <c r="DC67" s="216">
        <f t="shared" si="123"/>
        <v>3.8610373385579915</v>
      </c>
      <c r="DD67" s="116">
        <f t="shared" si="124"/>
        <v>13896.504398602407</v>
      </c>
      <c r="DE67" s="8">
        <f t="shared" si="125"/>
        <v>0.35929819423019499</v>
      </c>
      <c r="DF67" s="8">
        <f t="shared" si="126"/>
        <v>0.59941487655061998</v>
      </c>
      <c r="DG67" s="8">
        <f t="shared" si="127"/>
        <v>0.35929819423019499</v>
      </c>
      <c r="DH67" s="8">
        <f t="shared" si="128"/>
        <v>0.59941487655061998</v>
      </c>
      <c r="DI67" s="216">
        <f t="shared" si="129"/>
        <v>3.85806558104938</v>
      </c>
      <c r="DJ67" s="116">
        <f t="shared" si="130"/>
        <v>13907.208478256431</v>
      </c>
      <c r="DK67" s="8">
        <f t="shared" si="131"/>
        <v>0.35957495134696843</v>
      </c>
      <c r="DL67" s="8">
        <f t="shared" si="132"/>
        <v>0.59964568817508268</v>
      </c>
      <c r="DM67" s="8">
        <f t="shared" si="133"/>
        <v>0.35957495134696843</v>
      </c>
      <c r="DN67" s="8">
        <f t="shared" si="134"/>
        <v>0.59964568817508268</v>
      </c>
      <c r="DO67" s="216">
        <f t="shared" si="135"/>
        <v>3.8578347694249175</v>
      </c>
      <c r="DP67" s="116">
        <f t="shared" si="136"/>
        <v>13908.040537059478</v>
      </c>
      <c r="DQ67" s="170">
        <f t="shared" si="137"/>
        <v>0.35959646447119403</v>
      </c>
      <c r="DR67" s="8">
        <f t="shared" si="138"/>
        <v>0.59966362610316293</v>
      </c>
      <c r="DS67" s="8">
        <f t="shared" si="139"/>
        <v>0.35959646447119403</v>
      </c>
      <c r="DT67" s="134">
        <f t="shared" si="140"/>
        <v>0.59966362610316293</v>
      </c>
      <c r="DU67" s="170">
        <f t="shared" si="141"/>
        <v>0.41283788277202987</v>
      </c>
      <c r="DV67" s="170">
        <f t="shared" si="141"/>
        <v>0.64252461647164139</v>
      </c>
      <c r="DW67" s="170">
        <f t="shared" si="141"/>
        <v>0.41283788277202987</v>
      </c>
      <c r="DX67" s="272">
        <f t="shared" si="141"/>
        <v>0.64252461647164139</v>
      </c>
      <c r="DY67" s="272">
        <f t="shared" si="142"/>
        <v>3.1724312246567168</v>
      </c>
      <c r="DZ67" s="22">
        <f t="shared" si="12"/>
        <v>247.62872492261539</v>
      </c>
      <c r="EA67" s="216">
        <f t="shared" si="13"/>
        <v>1.6223602972143109E-2</v>
      </c>
      <c r="EB67" s="12">
        <f t="shared" si="143"/>
        <v>3</v>
      </c>
      <c r="EC67" s="7">
        <f>ROUND(MAX(DV67,DX67)/'Inputs-Imperial'!$E$21,0)</f>
        <v>5</v>
      </c>
      <c r="ED67" s="12">
        <f t="shared" si="144"/>
        <v>5</v>
      </c>
      <c r="EE67" s="2">
        <f t="shared" si="145"/>
        <v>3</v>
      </c>
      <c r="EF67" s="127">
        <f t="shared" si="146"/>
        <v>3</v>
      </c>
      <c r="EG67" s="2">
        <f t="shared" si="147"/>
        <v>2.3622047244094495E-2</v>
      </c>
      <c r="EH67" s="8">
        <f t="shared" si="14"/>
        <v>0.17073368698038816</v>
      </c>
      <c r="EI67" s="138">
        <f t="shared" si="148"/>
        <v>0.25</v>
      </c>
      <c r="EJ67" s="12">
        <f t="shared" si="15"/>
        <v>9434.6544195516453</v>
      </c>
      <c r="EK67" s="138">
        <f t="shared" si="149"/>
        <v>0.25</v>
      </c>
      <c r="EL67" s="116">
        <f t="shared" si="150"/>
        <v>2175570</v>
      </c>
      <c r="EM67" s="2">
        <f t="shared" si="16"/>
        <v>2.3622047244094495E-2</v>
      </c>
      <c r="EN67" s="8">
        <f t="shared" si="151"/>
        <v>4.4574804576</v>
      </c>
      <c r="EO67" s="116">
        <f t="shared" si="152"/>
        <v>2610.6840000000002</v>
      </c>
      <c r="EP67" s="217">
        <f t="shared" si="153"/>
        <v>1.2222699946726241</v>
      </c>
      <c r="EQ67" s="207">
        <f t="shared" si="154"/>
        <v>2</v>
      </c>
      <c r="ER67" s="144">
        <f t="shared" si="155"/>
        <v>33771.000940335987</v>
      </c>
      <c r="ES67" s="138">
        <f t="shared" si="17"/>
        <v>0.25</v>
      </c>
      <c r="ET67" s="116">
        <f t="shared" si="156"/>
        <v>2175570</v>
      </c>
      <c r="EU67" s="2">
        <f t="shared" si="18"/>
        <v>2.3622047244094495E-2</v>
      </c>
      <c r="EV67" s="8">
        <f t="shared" si="157"/>
        <v>4.4574804576</v>
      </c>
      <c r="EW67" s="116">
        <f t="shared" si="158"/>
        <v>2610.6840000000002</v>
      </c>
      <c r="EX67" s="217">
        <f t="shared" si="159"/>
        <v>1.2222699946726241</v>
      </c>
      <c r="EY67" s="207">
        <f t="shared" si="160"/>
        <v>2</v>
      </c>
      <c r="EZ67" s="144">
        <f t="shared" si="161"/>
        <v>33771.000940335987</v>
      </c>
      <c r="FA67" s="138">
        <f t="shared" si="19"/>
        <v>0.25</v>
      </c>
      <c r="FB67" s="116">
        <f t="shared" si="162"/>
        <v>2175570</v>
      </c>
      <c r="FC67" s="2">
        <f t="shared" si="20"/>
        <v>2.3622047244094495E-2</v>
      </c>
      <c r="FD67" s="8">
        <f t="shared" si="163"/>
        <v>4.4574804576</v>
      </c>
      <c r="FE67" s="116">
        <f t="shared" si="164"/>
        <v>2610.6840000000002</v>
      </c>
      <c r="FF67" s="217">
        <f t="shared" si="165"/>
        <v>1.2222699946726241</v>
      </c>
      <c r="FG67" s="207">
        <f t="shared" si="166"/>
        <v>2</v>
      </c>
      <c r="FH67" s="144">
        <f t="shared" si="167"/>
        <v>33771.000940335987</v>
      </c>
      <c r="FI67" s="128">
        <f t="shared" si="168"/>
        <v>0.25</v>
      </c>
      <c r="FJ67" s="2">
        <f t="shared" si="169"/>
        <v>2.3622047244094495E-2</v>
      </c>
      <c r="FK67" s="127">
        <f t="shared" si="170"/>
        <v>2.3622047244094495E-2</v>
      </c>
      <c r="FL67" s="216">
        <f t="shared" si="171"/>
        <v>0.25</v>
      </c>
      <c r="FM67" s="138">
        <f t="shared" si="172"/>
        <v>0</v>
      </c>
      <c r="FN67" s="138">
        <f t="shared" si="173"/>
        <v>0</v>
      </c>
      <c r="FO67" s="238">
        <f t="shared" si="174"/>
        <v>0</v>
      </c>
      <c r="FP67" s="216">
        <f t="shared" si="21"/>
        <v>0.25</v>
      </c>
      <c r="FQ67" s="138">
        <f t="shared" si="22"/>
        <v>0</v>
      </c>
      <c r="FR67" s="138">
        <f t="shared" si="23"/>
        <v>0</v>
      </c>
      <c r="FS67" s="238">
        <f t="shared" si="24"/>
        <v>0</v>
      </c>
      <c r="FT67" s="216">
        <f t="shared" si="175"/>
        <v>2.3622047244094495E-2</v>
      </c>
      <c r="FU67" s="138">
        <f t="shared" si="176"/>
        <v>0</v>
      </c>
      <c r="FV67" s="138">
        <f t="shared" si="177"/>
        <v>0</v>
      </c>
      <c r="FW67" s="238">
        <f t="shared" si="178"/>
        <v>0</v>
      </c>
      <c r="FX67" s="216">
        <f t="shared" si="25"/>
        <v>2.3622047244094495E-2</v>
      </c>
      <c r="FY67" s="138">
        <f t="shared" si="26"/>
        <v>0</v>
      </c>
      <c r="FZ67" s="138">
        <f t="shared" si="27"/>
        <v>0</v>
      </c>
      <c r="GA67" s="238">
        <f t="shared" si="28"/>
        <v>0</v>
      </c>
      <c r="GB67" s="216">
        <f t="shared" si="179"/>
        <v>2.3622047244094495E-2</v>
      </c>
      <c r="GC67" s="138">
        <f t="shared" si="180"/>
        <v>0</v>
      </c>
      <c r="GD67" s="138">
        <f t="shared" si="181"/>
        <v>0</v>
      </c>
      <c r="GE67" s="238">
        <f t="shared" si="182"/>
        <v>0</v>
      </c>
      <c r="GF67" s="216">
        <f t="shared" si="29"/>
        <v>2.3622047244094495E-2</v>
      </c>
      <c r="GG67" s="138">
        <f t="shared" si="30"/>
        <v>0</v>
      </c>
      <c r="GH67" s="138">
        <f t="shared" si="31"/>
        <v>0</v>
      </c>
      <c r="GI67" s="238">
        <f t="shared" si="32"/>
        <v>0</v>
      </c>
      <c r="GJ67" s="216">
        <f t="shared" si="183"/>
        <v>0.25</v>
      </c>
      <c r="GK67" s="216">
        <f t="shared" si="184"/>
        <v>2.3622047244094495E-2</v>
      </c>
      <c r="GL67" s="17">
        <f t="shared" si="185"/>
        <v>2.3622047244094495E-2</v>
      </c>
      <c r="GM67" s="216">
        <f t="shared" si="186"/>
        <v>8.2222171363090738E-3</v>
      </c>
      <c r="GN67" s="2">
        <f t="shared" si="187"/>
        <v>2</v>
      </c>
      <c r="GO67" s="2">
        <f t="shared" si="188"/>
        <v>2</v>
      </c>
      <c r="GP67" s="142">
        <f t="shared" si="189"/>
        <v>2</v>
      </c>
      <c r="GQ67" s="2">
        <f t="shared" si="190"/>
        <v>1.5748031496062995E-2</v>
      </c>
      <c r="GR67" s="8">
        <f t="shared" si="33"/>
        <v>8.652883389995436E-2</v>
      </c>
      <c r="GS67" s="138">
        <f t="shared" si="191"/>
        <v>0.25</v>
      </c>
      <c r="GT67" s="12">
        <f t="shared" si="34"/>
        <v>7172.3072898902728</v>
      </c>
      <c r="GU67" s="138">
        <f t="shared" si="192"/>
        <v>0.25</v>
      </c>
      <c r="GV67" s="116">
        <f t="shared" si="193"/>
        <v>2175570</v>
      </c>
      <c r="GW67" s="2">
        <f t="shared" si="35"/>
        <v>2.3622047244094495E-2</v>
      </c>
      <c r="GX67" s="8">
        <f t="shared" si="36"/>
        <v>2.2287402288</v>
      </c>
      <c r="GY67" s="116">
        <f t="shared" si="194"/>
        <v>2610.6840000000002</v>
      </c>
      <c r="GZ67" s="217">
        <f t="shared" si="195"/>
        <v>4.8890799786904964</v>
      </c>
      <c r="HA67" s="207">
        <f t="shared" si="196"/>
        <v>2</v>
      </c>
      <c r="HB67" s="144">
        <f t="shared" si="197"/>
        <v>135084.00376134395</v>
      </c>
      <c r="HC67" s="138">
        <f t="shared" si="37"/>
        <v>0.25</v>
      </c>
      <c r="HD67" s="116">
        <f t="shared" si="198"/>
        <v>2175570</v>
      </c>
      <c r="HE67" s="2">
        <f t="shared" si="38"/>
        <v>2.3622047244094495E-2</v>
      </c>
      <c r="HF67" s="8">
        <f t="shared" si="199"/>
        <v>2.2287402288</v>
      </c>
      <c r="HG67" s="116">
        <f t="shared" si="200"/>
        <v>2610.6840000000002</v>
      </c>
      <c r="HH67" s="217">
        <f t="shared" si="201"/>
        <v>4.8890799786904964</v>
      </c>
      <c r="HI67" s="207">
        <f t="shared" si="202"/>
        <v>2</v>
      </c>
      <c r="HJ67" s="144">
        <f t="shared" si="203"/>
        <v>135084.00376134395</v>
      </c>
      <c r="HK67" s="138">
        <f t="shared" si="39"/>
        <v>0.25</v>
      </c>
      <c r="HL67" s="116">
        <f t="shared" si="204"/>
        <v>2175570</v>
      </c>
      <c r="HM67" s="2">
        <f t="shared" si="40"/>
        <v>2.3622047244094495E-2</v>
      </c>
      <c r="HN67" s="8">
        <f t="shared" si="205"/>
        <v>2.2287402288</v>
      </c>
      <c r="HO67" s="116">
        <f t="shared" si="206"/>
        <v>2610.6840000000002</v>
      </c>
      <c r="HP67" s="217">
        <f t="shared" si="207"/>
        <v>4.8890799786904964</v>
      </c>
      <c r="HQ67" s="207">
        <f t="shared" si="208"/>
        <v>2</v>
      </c>
      <c r="HR67" s="144">
        <f t="shared" si="209"/>
        <v>135084.00376134395</v>
      </c>
      <c r="HS67" s="128">
        <f t="shared" si="210"/>
        <v>0.25</v>
      </c>
      <c r="HT67" s="2">
        <f t="shared" si="211"/>
        <v>1.5748031496062995E-2</v>
      </c>
      <c r="HU67" s="127">
        <f t="shared" si="212"/>
        <v>1.5748031496062995E-2</v>
      </c>
      <c r="HV67" s="216">
        <f t="shared" si="213"/>
        <v>0.25</v>
      </c>
      <c r="HW67" s="138">
        <f t="shared" si="214"/>
        <v>0</v>
      </c>
      <c r="HX67" s="138">
        <f t="shared" si="215"/>
        <v>0</v>
      </c>
      <c r="HY67" s="238">
        <f t="shared" si="216"/>
        <v>0</v>
      </c>
      <c r="HZ67" s="138">
        <f t="shared" si="217"/>
        <v>0.25</v>
      </c>
      <c r="IA67" s="138">
        <f t="shared" si="218"/>
        <v>0</v>
      </c>
      <c r="IB67" s="138">
        <f t="shared" si="219"/>
        <v>0</v>
      </c>
      <c r="IC67" s="138">
        <f t="shared" si="220"/>
        <v>0</v>
      </c>
      <c r="ID67" s="216">
        <f t="shared" si="221"/>
        <v>1.5748031496062995E-2</v>
      </c>
      <c r="IE67" s="138">
        <f t="shared" si="222"/>
        <v>0</v>
      </c>
      <c r="IF67" s="138">
        <f t="shared" si="223"/>
        <v>0</v>
      </c>
      <c r="IG67" s="238">
        <f t="shared" si="224"/>
        <v>0</v>
      </c>
      <c r="IH67" s="138">
        <f t="shared" si="225"/>
        <v>1.5748031496062995E-2</v>
      </c>
      <c r="II67" s="138">
        <f t="shared" si="226"/>
        <v>0</v>
      </c>
      <c r="IJ67" s="138">
        <f t="shared" si="227"/>
        <v>0</v>
      </c>
      <c r="IK67" s="138">
        <f t="shared" si="228"/>
        <v>0</v>
      </c>
      <c r="IL67" s="216">
        <f t="shared" si="229"/>
        <v>1.5748031496062995E-2</v>
      </c>
      <c r="IM67" s="138">
        <f t="shared" si="230"/>
        <v>0</v>
      </c>
      <c r="IN67" s="138">
        <f t="shared" si="231"/>
        <v>0</v>
      </c>
      <c r="IO67" s="238">
        <f t="shared" si="232"/>
        <v>0</v>
      </c>
      <c r="IP67" s="138">
        <f t="shared" si="233"/>
        <v>1.5748031496062995E-2</v>
      </c>
      <c r="IQ67" s="138">
        <f t="shared" si="234"/>
        <v>0</v>
      </c>
      <c r="IR67" s="138">
        <f t="shared" si="235"/>
        <v>0</v>
      </c>
      <c r="IS67" s="138">
        <f t="shared" si="236"/>
        <v>0</v>
      </c>
      <c r="IT67" s="17">
        <f t="shared" si="237"/>
        <v>0.25</v>
      </c>
      <c r="IU67" s="17">
        <f t="shared" si="238"/>
        <v>1.5748031496062995E-2</v>
      </c>
      <c r="IV67" s="17">
        <f t="shared" si="239"/>
        <v>1.5748031496062995E-2</v>
      </c>
      <c r="IW67" s="253">
        <f t="shared" si="240"/>
        <v>12.381890160000003</v>
      </c>
      <c r="IX67" s="116">
        <f t="shared" si="241"/>
        <v>433.33385828096579</v>
      </c>
      <c r="IY67" s="8">
        <f t="shared" si="242"/>
        <v>1.1203973914102661E-2</v>
      </c>
      <c r="IZ67" s="8">
        <f t="shared" si="243"/>
        <v>1.1203973914102661E-2</v>
      </c>
      <c r="JA67" s="8">
        <f t="shared" si="244"/>
        <v>5.6019869570513303E-3</v>
      </c>
      <c r="JB67" s="134">
        <f t="shared" si="245"/>
        <v>7.484642247329748E-2</v>
      </c>
      <c r="JC67" s="170">
        <f t="shared" si="246"/>
        <v>6.3945696655626945E-3</v>
      </c>
      <c r="JD67" s="272">
        <f t="shared" si="247"/>
        <v>7.9966053207362275E-2</v>
      </c>
      <c r="JE67" s="8"/>
      <c r="JF67" s="8"/>
    </row>
    <row r="68" spans="1:266" x14ac:dyDescent="0.25">
      <c r="A68" s="186">
        <v>8</v>
      </c>
      <c r="B68" s="187">
        <f>A68/100*'Inputs-Imperial'!$E$5</f>
        <v>0.78740160000000003</v>
      </c>
      <c r="C68" s="188">
        <f>'Inputs-Imperial'!$E$10+('Inputs-Imperial'!$E$9-'Inputs-Imperial'!$E$10)*(100-A68)/100</f>
        <v>2.0538058399999999</v>
      </c>
      <c r="D68" s="187">
        <f t="shared" si="248"/>
        <v>9.842519999999999E-2</v>
      </c>
      <c r="E68" s="188">
        <f t="shared" si="249"/>
        <v>0.20263062656292</v>
      </c>
      <c r="F68" s="423">
        <f>Loads!P28</f>
        <v>108.84974555759817</v>
      </c>
      <c r="G68" s="423">
        <f>Loads!M28</f>
        <v>1088.4974555759809</v>
      </c>
      <c r="H68" s="423">
        <f>Loads!N28</f>
        <v>4362.6017742198819</v>
      </c>
      <c r="I68" s="423">
        <f>Loads!V28</f>
        <v>-1002.6192271780594</v>
      </c>
      <c r="J68" s="423">
        <f>Loads!Q28</f>
        <v>436.26017742198826</v>
      </c>
      <c r="K68" s="2">
        <v>8</v>
      </c>
      <c r="L68" s="12">
        <f t="shared" si="41"/>
        <v>9.4488192000000009</v>
      </c>
      <c r="M68" s="11">
        <f t="shared" si="42"/>
        <v>24.645670079999999</v>
      </c>
      <c r="N68" s="11">
        <f t="shared" si="43"/>
        <v>1.1811023999999999</v>
      </c>
      <c r="O68" s="152">
        <f t="shared" si="44"/>
        <v>29.178810225060481</v>
      </c>
      <c r="P68" s="151">
        <f t="shared" si="45"/>
        <v>108.84974555759817</v>
      </c>
      <c r="Q68" s="12">
        <f t="shared" si="46"/>
        <v>1088.4974555759809</v>
      </c>
      <c r="R68" s="12">
        <f t="shared" si="47"/>
        <v>52351.221290638583</v>
      </c>
      <c r="S68" s="12">
        <f t="shared" si="48"/>
        <v>-12031.430726136714</v>
      </c>
      <c r="T68" s="152">
        <f t="shared" si="49"/>
        <v>5235.1221290638587</v>
      </c>
      <c r="U68" s="8">
        <f t="shared" si="0"/>
        <v>4.4362206143999998</v>
      </c>
      <c r="V68" s="8">
        <f t="shared" si="1"/>
        <v>4.4362206143999998</v>
      </c>
      <c r="W68" s="134">
        <f t="shared" si="2"/>
        <v>2.2181103071999999</v>
      </c>
      <c r="X68" s="311">
        <f t="shared" si="3"/>
        <v>6.1614175199999996</v>
      </c>
      <c r="Y68" s="11">
        <f t="shared" si="4"/>
        <v>18.484252559999998</v>
      </c>
      <c r="Z68" s="11">
        <f t="shared" si="5"/>
        <v>12.322835039999998</v>
      </c>
      <c r="AA68" s="316">
        <f t="shared" si="50"/>
        <v>18.484252559999998</v>
      </c>
      <c r="AB68" s="170">
        <f t="shared" si="51"/>
        <v>3.3271654607999999</v>
      </c>
      <c r="AC68" s="11">
        <f t="shared" si="52"/>
        <v>18.484252559999998</v>
      </c>
      <c r="AD68" s="152">
        <f t="shared" si="53"/>
        <v>48.302117964085205</v>
      </c>
      <c r="AE68" s="151">
        <f t="shared" si="6"/>
        <v>5.8887826383171955</v>
      </c>
      <c r="AF68" s="12">
        <f t="shared" si="54"/>
        <v>124.54351106386912</v>
      </c>
      <c r="AG68" s="216">
        <f t="shared" si="7"/>
        <v>8.5453807850099529E-3</v>
      </c>
      <c r="AH68" s="2">
        <f t="shared" si="55"/>
        <v>2</v>
      </c>
      <c r="AI68" s="2">
        <f t="shared" si="56"/>
        <v>3</v>
      </c>
      <c r="AJ68" s="127">
        <f t="shared" si="57"/>
        <v>2</v>
      </c>
      <c r="AK68" s="2">
        <f t="shared" si="58"/>
        <v>1.5748031496062995E-2</v>
      </c>
      <c r="AL68" s="8">
        <f t="shared" si="8"/>
        <v>8.9929738208046381E-2</v>
      </c>
      <c r="AM68" s="138">
        <f t="shared" si="59"/>
        <v>0.25</v>
      </c>
      <c r="AN68" s="12">
        <f t="shared" si="9"/>
        <v>7454.205585079947</v>
      </c>
      <c r="AO68" s="138">
        <f t="shared" si="60"/>
        <v>0.25</v>
      </c>
      <c r="AP68" s="116">
        <f t="shared" si="61"/>
        <v>2175570</v>
      </c>
      <c r="AQ68" s="2">
        <f t="shared" si="62"/>
        <v>1.5748031496062995E-2</v>
      </c>
      <c r="AR68" s="8">
        <f t="shared" si="63"/>
        <v>12.322835039999998</v>
      </c>
      <c r="AS68" s="116">
        <f t="shared" si="64"/>
        <v>2610.6840000000002</v>
      </c>
      <c r="AT68" s="217">
        <f t="shared" si="65"/>
        <v>0.10661873302764213</v>
      </c>
      <c r="AU68" s="207">
        <f t="shared" si="66"/>
        <v>3.8290961694359589</v>
      </c>
      <c r="AV68" s="144">
        <f t="shared" si="67"/>
        <v>8459.9507975840916</v>
      </c>
      <c r="AW68" s="138">
        <f t="shared" si="68"/>
        <v>0.25</v>
      </c>
      <c r="AX68" s="116">
        <f t="shared" si="69"/>
        <v>2175570</v>
      </c>
      <c r="AY68" s="2">
        <f t="shared" si="70"/>
        <v>1.5748031496062995E-2</v>
      </c>
      <c r="AZ68" s="8">
        <f t="shared" si="71"/>
        <v>12.322835039999998</v>
      </c>
      <c r="BA68" s="116">
        <f t="shared" si="72"/>
        <v>2610.6840000000002</v>
      </c>
      <c r="BB68" s="217">
        <f t="shared" si="73"/>
        <v>0.10661873302764213</v>
      </c>
      <c r="BC68" s="207">
        <f t="shared" si="74"/>
        <v>3.8290961694359589</v>
      </c>
      <c r="BD68" s="144">
        <f t="shared" si="75"/>
        <v>8459.9507975840916</v>
      </c>
      <c r="BE68" s="138">
        <f t="shared" si="76"/>
        <v>0.25</v>
      </c>
      <c r="BF68" s="116">
        <f t="shared" si="77"/>
        <v>2175570</v>
      </c>
      <c r="BG68" s="2">
        <f t="shared" si="78"/>
        <v>1.5748031496062995E-2</v>
      </c>
      <c r="BH68" s="8">
        <f t="shared" si="79"/>
        <v>12.322835039999998</v>
      </c>
      <c r="BI68" s="116">
        <f t="shared" si="80"/>
        <v>2610.6840000000002</v>
      </c>
      <c r="BJ68" s="217">
        <f t="shared" si="81"/>
        <v>0.10661873302764213</v>
      </c>
      <c r="BK68" s="207">
        <f t="shared" si="82"/>
        <v>3.8290961694359589</v>
      </c>
      <c r="BL68" s="144">
        <f t="shared" si="83"/>
        <v>8459.9507975840916</v>
      </c>
      <c r="BM68" s="216">
        <f t="shared" si="84"/>
        <v>0.25</v>
      </c>
      <c r="BN68" s="216">
        <f t="shared" si="85"/>
        <v>2.3622047244094495E-2</v>
      </c>
      <c r="BO68" s="238">
        <f t="shared" si="86"/>
        <v>1.5748031496062995E-2</v>
      </c>
      <c r="BP68" s="216">
        <f t="shared" si="87"/>
        <v>0.25</v>
      </c>
      <c r="BQ68" s="138">
        <f t="shared" si="88"/>
        <v>0</v>
      </c>
      <c r="BR68" s="138">
        <f t="shared" si="89"/>
        <v>0</v>
      </c>
      <c r="BS68" s="238">
        <f t="shared" si="90"/>
        <v>0</v>
      </c>
      <c r="BT68" s="138">
        <f t="shared" si="91"/>
        <v>0.25</v>
      </c>
      <c r="BU68" s="138">
        <f t="shared" si="92"/>
        <v>0</v>
      </c>
      <c r="BV68" s="138">
        <f t="shared" si="93"/>
        <v>0</v>
      </c>
      <c r="BW68" s="238">
        <f t="shared" si="94"/>
        <v>0</v>
      </c>
      <c r="BX68" s="216">
        <f t="shared" si="95"/>
        <v>2.3622047244094495E-2</v>
      </c>
      <c r="BY68" s="138">
        <f t="shared" si="96"/>
        <v>0</v>
      </c>
      <c r="BZ68" s="138">
        <f t="shared" si="97"/>
        <v>0</v>
      </c>
      <c r="CA68" s="238">
        <f t="shared" si="98"/>
        <v>0</v>
      </c>
      <c r="CB68" s="138">
        <f t="shared" si="99"/>
        <v>2.3622047244094495E-2</v>
      </c>
      <c r="CC68" s="138">
        <f t="shared" si="100"/>
        <v>0</v>
      </c>
      <c r="CD68" s="138">
        <f t="shared" si="101"/>
        <v>0</v>
      </c>
      <c r="CE68" s="238">
        <f t="shared" si="102"/>
        <v>0</v>
      </c>
      <c r="CF68" s="216">
        <f t="shared" si="103"/>
        <v>1.5748031496062995E-2</v>
      </c>
      <c r="CG68" s="138">
        <f t="shared" si="104"/>
        <v>0</v>
      </c>
      <c r="CH68" s="138">
        <f t="shared" si="105"/>
        <v>0</v>
      </c>
      <c r="CI68" s="238">
        <f t="shared" si="106"/>
        <v>0</v>
      </c>
      <c r="CJ68" s="138">
        <f t="shared" si="107"/>
        <v>1.5748031496062995E-2</v>
      </c>
      <c r="CK68" s="138">
        <f t="shared" si="108"/>
        <v>0</v>
      </c>
      <c r="CL68" s="138">
        <f t="shared" si="109"/>
        <v>0</v>
      </c>
      <c r="CM68" s="238">
        <f t="shared" si="110"/>
        <v>0</v>
      </c>
      <c r="CN68" s="17">
        <f t="shared" si="111"/>
        <v>0.25</v>
      </c>
      <c r="CO68" s="17">
        <f t="shared" si="112"/>
        <v>2.3622047244094495E-2</v>
      </c>
      <c r="CP68" s="17">
        <f t="shared" si="113"/>
        <v>1.5748031496062995E-2</v>
      </c>
      <c r="CQ68" s="17">
        <f>$U68-IF('Inputs-Imperial'!$E$13,0,2)*($CO68+$CN68+$CP68)</f>
        <v>4.4362206143999998</v>
      </c>
      <c r="CR68" s="116">
        <f t="shared" si="114"/>
        <v>11800.860651678637</v>
      </c>
      <c r="CS68" s="8">
        <f t="shared" si="10"/>
        <v>0.3051147109295142</v>
      </c>
      <c r="CT68" s="8">
        <f t="shared" si="115"/>
        <v>0.55237189549208077</v>
      </c>
      <c r="CU68" s="8">
        <f t="shared" si="11"/>
        <v>0.3051147109295142</v>
      </c>
      <c r="CV68" s="8">
        <f t="shared" si="116"/>
        <v>0.55237189549208077</v>
      </c>
      <c r="CW68" s="216">
        <f t="shared" si="117"/>
        <v>3.8838487189079189</v>
      </c>
      <c r="CX68" s="116">
        <f t="shared" si="118"/>
        <v>13479.212265857506</v>
      </c>
      <c r="CY68" s="8">
        <f t="shared" si="119"/>
        <v>0.34850898383158652</v>
      </c>
      <c r="CZ68" s="8">
        <f t="shared" si="120"/>
        <v>0.59034649472287593</v>
      </c>
      <c r="DA68" s="8">
        <f t="shared" si="121"/>
        <v>0.34850898383158652</v>
      </c>
      <c r="DB68" s="8">
        <f t="shared" si="122"/>
        <v>0.59034649472287593</v>
      </c>
      <c r="DC68" s="216">
        <f t="shared" si="123"/>
        <v>3.8458741196771236</v>
      </c>
      <c r="DD68" s="116">
        <f t="shared" si="124"/>
        <v>13612.307543501625</v>
      </c>
      <c r="DE68" s="8">
        <f t="shared" si="125"/>
        <v>0.35195020124471582</v>
      </c>
      <c r="DF68" s="8">
        <f t="shared" si="126"/>
        <v>0.59325390959075508</v>
      </c>
      <c r="DG68" s="8">
        <f t="shared" si="127"/>
        <v>0.35195020124471582</v>
      </c>
      <c r="DH68" s="8">
        <f t="shared" si="128"/>
        <v>0.59325390959075508</v>
      </c>
      <c r="DI68" s="216">
        <f t="shared" si="129"/>
        <v>3.8429667048092444</v>
      </c>
      <c r="DJ68" s="116">
        <f t="shared" si="130"/>
        <v>13622.605999975003</v>
      </c>
      <c r="DK68" s="8">
        <f t="shared" si="131"/>
        <v>0.35221647085526731</v>
      </c>
      <c r="DL68" s="8">
        <f t="shared" si="132"/>
        <v>0.59347828170478767</v>
      </c>
      <c r="DM68" s="8">
        <f t="shared" si="133"/>
        <v>0.35221647085526731</v>
      </c>
      <c r="DN68" s="8">
        <f t="shared" si="134"/>
        <v>0.59347828170478767</v>
      </c>
      <c r="DO68" s="216">
        <f t="shared" si="135"/>
        <v>3.8427423326952126</v>
      </c>
      <c r="DP68" s="116">
        <f t="shared" si="136"/>
        <v>13623.401404049024</v>
      </c>
      <c r="DQ68" s="170">
        <f t="shared" si="137"/>
        <v>0.35223703626073055</v>
      </c>
      <c r="DR68" s="8">
        <f t="shared" si="138"/>
        <v>0.59349560761704934</v>
      </c>
      <c r="DS68" s="8">
        <f t="shared" si="139"/>
        <v>0.35223703626073055</v>
      </c>
      <c r="DT68" s="134">
        <f t="shared" si="140"/>
        <v>0.59349560761704934</v>
      </c>
      <c r="DU68" s="170">
        <f t="shared" si="141"/>
        <v>0.41283788277202987</v>
      </c>
      <c r="DV68" s="170">
        <f t="shared" si="141"/>
        <v>0.64252461647164139</v>
      </c>
      <c r="DW68" s="170">
        <f t="shared" si="141"/>
        <v>0.41283788277202987</v>
      </c>
      <c r="DX68" s="272">
        <f t="shared" si="141"/>
        <v>0.64252461647164139</v>
      </c>
      <c r="DY68" s="272">
        <f t="shared" si="142"/>
        <v>3.1511713814567166</v>
      </c>
      <c r="DZ68" s="22">
        <f t="shared" si="12"/>
        <v>245.36594326321631</v>
      </c>
      <c r="EA68" s="216">
        <f t="shared" si="13"/>
        <v>1.6075354939665415E-2</v>
      </c>
      <c r="EB68" s="12">
        <f t="shared" si="143"/>
        <v>3</v>
      </c>
      <c r="EC68" s="7">
        <f>ROUND(MAX(DV68,DX68)/'Inputs-Imperial'!$E$21,0)</f>
        <v>5</v>
      </c>
      <c r="ED68" s="12">
        <f t="shared" si="144"/>
        <v>5</v>
      </c>
      <c r="EE68" s="2">
        <f t="shared" si="145"/>
        <v>3</v>
      </c>
      <c r="EF68" s="127">
        <f t="shared" si="146"/>
        <v>3</v>
      </c>
      <c r="EG68" s="2">
        <f t="shared" si="147"/>
        <v>2.3622047244094495E-2</v>
      </c>
      <c r="EH68" s="8">
        <f t="shared" si="14"/>
        <v>0.16917355676665172</v>
      </c>
      <c r="EI68" s="138">
        <f t="shared" si="148"/>
        <v>0.25</v>
      </c>
      <c r="EJ68" s="12">
        <f t="shared" si="15"/>
        <v>9348.4424383285386</v>
      </c>
      <c r="EK68" s="138">
        <f t="shared" si="149"/>
        <v>0.25</v>
      </c>
      <c r="EL68" s="116">
        <f t="shared" si="150"/>
        <v>2175570</v>
      </c>
      <c r="EM68" s="2">
        <f t="shared" si="16"/>
        <v>2.3622047244094495E-2</v>
      </c>
      <c r="EN68" s="8">
        <f t="shared" si="151"/>
        <v>4.4362206143999998</v>
      </c>
      <c r="EO68" s="116">
        <f t="shared" si="152"/>
        <v>2610.6840000000002</v>
      </c>
      <c r="EP68" s="217">
        <f t="shared" si="153"/>
        <v>1.2340131137458574</v>
      </c>
      <c r="EQ68" s="207">
        <f t="shared" si="154"/>
        <v>2</v>
      </c>
      <c r="ER68" s="144">
        <f t="shared" si="155"/>
        <v>34095.46025537535</v>
      </c>
      <c r="ES68" s="138">
        <f t="shared" si="17"/>
        <v>0.25</v>
      </c>
      <c r="ET68" s="116">
        <f t="shared" si="156"/>
        <v>2175570</v>
      </c>
      <c r="EU68" s="2">
        <f t="shared" si="18"/>
        <v>2.3622047244094495E-2</v>
      </c>
      <c r="EV68" s="8">
        <f t="shared" si="157"/>
        <v>4.4362206143999998</v>
      </c>
      <c r="EW68" s="116">
        <f t="shared" si="158"/>
        <v>2610.6840000000002</v>
      </c>
      <c r="EX68" s="217">
        <f t="shared" si="159"/>
        <v>1.2340131137458574</v>
      </c>
      <c r="EY68" s="207">
        <f t="shared" si="160"/>
        <v>2</v>
      </c>
      <c r="EZ68" s="144">
        <f t="shared" si="161"/>
        <v>34095.46025537535</v>
      </c>
      <c r="FA68" s="138">
        <f t="shared" si="19"/>
        <v>0.25</v>
      </c>
      <c r="FB68" s="116">
        <f t="shared" si="162"/>
        <v>2175570</v>
      </c>
      <c r="FC68" s="2">
        <f t="shared" si="20"/>
        <v>2.3622047244094495E-2</v>
      </c>
      <c r="FD68" s="8">
        <f t="shared" si="163"/>
        <v>4.4362206143999998</v>
      </c>
      <c r="FE68" s="116">
        <f t="shared" si="164"/>
        <v>2610.6840000000002</v>
      </c>
      <c r="FF68" s="217">
        <f t="shared" si="165"/>
        <v>1.2340131137458574</v>
      </c>
      <c r="FG68" s="207">
        <f t="shared" si="166"/>
        <v>2</v>
      </c>
      <c r="FH68" s="144">
        <f t="shared" si="167"/>
        <v>34095.46025537535</v>
      </c>
      <c r="FI68" s="128">
        <f t="shared" si="168"/>
        <v>0.25</v>
      </c>
      <c r="FJ68" s="2">
        <f t="shared" si="169"/>
        <v>2.3622047244094495E-2</v>
      </c>
      <c r="FK68" s="127">
        <f t="shared" si="170"/>
        <v>2.3622047244094495E-2</v>
      </c>
      <c r="FL68" s="216">
        <f t="shared" si="171"/>
        <v>0.25</v>
      </c>
      <c r="FM68" s="138">
        <f t="shared" si="172"/>
        <v>0</v>
      </c>
      <c r="FN68" s="138">
        <f t="shared" si="173"/>
        <v>0</v>
      </c>
      <c r="FO68" s="238">
        <f t="shared" si="174"/>
        <v>0</v>
      </c>
      <c r="FP68" s="216">
        <f t="shared" si="21"/>
        <v>0.25</v>
      </c>
      <c r="FQ68" s="138">
        <f t="shared" si="22"/>
        <v>0</v>
      </c>
      <c r="FR68" s="138">
        <f t="shared" si="23"/>
        <v>0</v>
      </c>
      <c r="FS68" s="238">
        <f t="shared" si="24"/>
        <v>0</v>
      </c>
      <c r="FT68" s="216">
        <f t="shared" si="175"/>
        <v>2.3622047244094495E-2</v>
      </c>
      <c r="FU68" s="138">
        <f t="shared" si="176"/>
        <v>0</v>
      </c>
      <c r="FV68" s="138">
        <f t="shared" si="177"/>
        <v>0</v>
      </c>
      <c r="FW68" s="238">
        <f t="shared" si="178"/>
        <v>0</v>
      </c>
      <c r="FX68" s="216">
        <f t="shared" si="25"/>
        <v>2.3622047244094495E-2</v>
      </c>
      <c r="FY68" s="138">
        <f t="shared" si="26"/>
        <v>0</v>
      </c>
      <c r="FZ68" s="138">
        <f t="shared" si="27"/>
        <v>0</v>
      </c>
      <c r="GA68" s="238">
        <f t="shared" si="28"/>
        <v>0</v>
      </c>
      <c r="GB68" s="216">
        <f t="shared" si="179"/>
        <v>2.3622047244094495E-2</v>
      </c>
      <c r="GC68" s="138">
        <f t="shared" si="180"/>
        <v>0</v>
      </c>
      <c r="GD68" s="138">
        <f t="shared" si="181"/>
        <v>0</v>
      </c>
      <c r="GE68" s="238">
        <f t="shared" si="182"/>
        <v>0</v>
      </c>
      <c r="GF68" s="216">
        <f t="shared" si="29"/>
        <v>2.3622047244094495E-2</v>
      </c>
      <c r="GG68" s="138">
        <f t="shared" si="30"/>
        <v>0</v>
      </c>
      <c r="GH68" s="138">
        <f t="shared" si="31"/>
        <v>0</v>
      </c>
      <c r="GI68" s="238">
        <f t="shared" si="32"/>
        <v>0</v>
      </c>
      <c r="GJ68" s="216">
        <f t="shared" si="183"/>
        <v>0.25</v>
      </c>
      <c r="GK68" s="216">
        <f t="shared" si="184"/>
        <v>2.3622047244094495E-2</v>
      </c>
      <c r="GL68" s="17">
        <f t="shared" si="185"/>
        <v>2.3622047244094495E-2</v>
      </c>
      <c r="GM68" s="216">
        <f t="shared" si="186"/>
        <v>8.1595722664579828E-3</v>
      </c>
      <c r="GN68" s="2">
        <f t="shared" si="187"/>
        <v>2</v>
      </c>
      <c r="GO68" s="2">
        <f t="shared" si="188"/>
        <v>2</v>
      </c>
      <c r="GP68" s="142">
        <f t="shared" si="189"/>
        <v>2</v>
      </c>
      <c r="GQ68" s="2">
        <f t="shared" si="190"/>
        <v>1.5748031496062995E-2</v>
      </c>
      <c r="GR68" s="8">
        <f t="shared" si="33"/>
        <v>8.5869572845646738E-2</v>
      </c>
      <c r="GS68" s="138">
        <f t="shared" si="191"/>
        <v>0.25</v>
      </c>
      <c r="GT68" s="12">
        <f t="shared" si="34"/>
        <v>7117.6616573001193</v>
      </c>
      <c r="GU68" s="138">
        <f t="shared" si="192"/>
        <v>0.25</v>
      </c>
      <c r="GV68" s="116">
        <f t="shared" si="193"/>
        <v>2175570</v>
      </c>
      <c r="GW68" s="2">
        <f t="shared" si="35"/>
        <v>2.3622047244094495E-2</v>
      </c>
      <c r="GX68" s="8">
        <f t="shared" si="36"/>
        <v>2.2181103071999999</v>
      </c>
      <c r="GY68" s="116">
        <f t="shared" si="194"/>
        <v>2610.6840000000002</v>
      </c>
      <c r="GZ68" s="217">
        <f t="shared" si="195"/>
        <v>4.9360524549834297</v>
      </c>
      <c r="HA68" s="207">
        <f t="shared" si="196"/>
        <v>2</v>
      </c>
      <c r="HB68" s="144">
        <f t="shared" si="197"/>
        <v>136381.8410215014</v>
      </c>
      <c r="HC68" s="138">
        <f t="shared" si="37"/>
        <v>0.25</v>
      </c>
      <c r="HD68" s="116">
        <f t="shared" si="198"/>
        <v>2175570</v>
      </c>
      <c r="HE68" s="2">
        <f t="shared" si="38"/>
        <v>2.3622047244094495E-2</v>
      </c>
      <c r="HF68" s="8">
        <f t="shared" si="199"/>
        <v>2.2181103071999999</v>
      </c>
      <c r="HG68" s="116">
        <f t="shared" si="200"/>
        <v>2610.6840000000002</v>
      </c>
      <c r="HH68" s="217">
        <f t="shared" si="201"/>
        <v>4.9360524549834297</v>
      </c>
      <c r="HI68" s="207">
        <f t="shared" si="202"/>
        <v>2</v>
      </c>
      <c r="HJ68" s="144">
        <f t="shared" si="203"/>
        <v>136381.8410215014</v>
      </c>
      <c r="HK68" s="138">
        <f t="shared" si="39"/>
        <v>0.25</v>
      </c>
      <c r="HL68" s="116">
        <f t="shared" si="204"/>
        <v>2175570</v>
      </c>
      <c r="HM68" s="2">
        <f t="shared" si="40"/>
        <v>2.3622047244094495E-2</v>
      </c>
      <c r="HN68" s="8">
        <f t="shared" si="205"/>
        <v>2.2181103071999999</v>
      </c>
      <c r="HO68" s="116">
        <f t="shared" si="206"/>
        <v>2610.6840000000002</v>
      </c>
      <c r="HP68" s="217">
        <f t="shared" si="207"/>
        <v>4.9360524549834297</v>
      </c>
      <c r="HQ68" s="207">
        <f t="shared" si="208"/>
        <v>2</v>
      </c>
      <c r="HR68" s="144">
        <f t="shared" si="209"/>
        <v>136381.8410215014</v>
      </c>
      <c r="HS68" s="128">
        <f t="shared" si="210"/>
        <v>0.25</v>
      </c>
      <c r="HT68" s="2">
        <f t="shared" si="211"/>
        <v>1.5748031496062995E-2</v>
      </c>
      <c r="HU68" s="127">
        <f t="shared" si="212"/>
        <v>1.5748031496062995E-2</v>
      </c>
      <c r="HV68" s="216">
        <f t="shared" si="213"/>
        <v>0.25</v>
      </c>
      <c r="HW68" s="138">
        <f t="shared" si="214"/>
        <v>0</v>
      </c>
      <c r="HX68" s="138">
        <f t="shared" si="215"/>
        <v>0</v>
      </c>
      <c r="HY68" s="238">
        <f t="shared" si="216"/>
        <v>0</v>
      </c>
      <c r="HZ68" s="138">
        <f t="shared" si="217"/>
        <v>0.25</v>
      </c>
      <c r="IA68" s="138">
        <f t="shared" si="218"/>
        <v>0</v>
      </c>
      <c r="IB68" s="138">
        <f t="shared" si="219"/>
        <v>0</v>
      </c>
      <c r="IC68" s="138">
        <f t="shared" si="220"/>
        <v>0</v>
      </c>
      <c r="ID68" s="216">
        <f t="shared" si="221"/>
        <v>1.5748031496062995E-2</v>
      </c>
      <c r="IE68" s="138">
        <f t="shared" si="222"/>
        <v>0</v>
      </c>
      <c r="IF68" s="138">
        <f t="shared" si="223"/>
        <v>0</v>
      </c>
      <c r="IG68" s="238">
        <f t="shared" si="224"/>
        <v>0</v>
      </c>
      <c r="IH68" s="138">
        <f t="shared" si="225"/>
        <v>1.5748031496062995E-2</v>
      </c>
      <c r="II68" s="138">
        <f t="shared" si="226"/>
        <v>0</v>
      </c>
      <c r="IJ68" s="138">
        <f t="shared" si="227"/>
        <v>0</v>
      </c>
      <c r="IK68" s="138">
        <f t="shared" si="228"/>
        <v>0</v>
      </c>
      <c r="IL68" s="216">
        <f t="shared" si="229"/>
        <v>1.5748031496062995E-2</v>
      </c>
      <c r="IM68" s="138">
        <f t="shared" si="230"/>
        <v>0</v>
      </c>
      <c r="IN68" s="138">
        <f t="shared" si="231"/>
        <v>0</v>
      </c>
      <c r="IO68" s="238">
        <f t="shared" si="232"/>
        <v>0</v>
      </c>
      <c r="IP68" s="138">
        <f t="shared" si="233"/>
        <v>1.5748031496062995E-2</v>
      </c>
      <c r="IQ68" s="138">
        <f t="shared" si="234"/>
        <v>0</v>
      </c>
      <c r="IR68" s="138">
        <f t="shared" si="235"/>
        <v>0</v>
      </c>
      <c r="IS68" s="138">
        <f t="shared" si="236"/>
        <v>0</v>
      </c>
      <c r="IT68" s="17">
        <f t="shared" si="237"/>
        <v>0.25</v>
      </c>
      <c r="IU68" s="17">
        <f t="shared" si="238"/>
        <v>1.5748031496062995E-2</v>
      </c>
      <c r="IV68" s="17">
        <f t="shared" si="239"/>
        <v>1.5748031496062995E-2</v>
      </c>
      <c r="IW68" s="253">
        <f t="shared" si="240"/>
        <v>12.322835039999998</v>
      </c>
      <c r="IX68" s="116">
        <f t="shared" si="241"/>
        <v>424.83098346043101</v>
      </c>
      <c r="IY68" s="8">
        <f t="shared" si="242"/>
        <v>1.0984129593462514E-2</v>
      </c>
      <c r="IZ68" s="8">
        <f t="shared" si="243"/>
        <v>1.0984129593462514E-2</v>
      </c>
      <c r="JA68" s="8">
        <f t="shared" si="244"/>
        <v>5.492064796731257E-3</v>
      </c>
      <c r="JB68" s="134">
        <f t="shared" si="245"/>
        <v>7.4108466430842138E-2</v>
      </c>
      <c r="JC68" s="170">
        <f t="shared" si="246"/>
        <v>6.3945696655626945E-3</v>
      </c>
      <c r="JD68" s="272">
        <f t="shared" si="247"/>
        <v>7.9966053207362275E-2</v>
      </c>
      <c r="JE68" s="8"/>
      <c r="JF68" s="8"/>
    </row>
    <row r="69" spans="1:266" x14ac:dyDescent="0.25">
      <c r="A69" s="186">
        <v>9</v>
      </c>
      <c r="B69" s="187">
        <f>A69/100*'Inputs-Imperial'!$E$5</f>
        <v>0.88582680000000003</v>
      </c>
      <c r="C69" s="188">
        <f>'Inputs-Imperial'!$E$10+('Inputs-Imperial'!$E$9-'Inputs-Imperial'!$E$10)*(100-A69)/100</f>
        <v>2.04396332</v>
      </c>
      <c r="D69" s="187">
        <f t="shared" si="248"/>
        <v>9.842519999999999E-2</v>
      </c>
      <c r="E69" s="188">
        <f t="shared" si="249"/>
        <v>0.201661874563416</v>
      </c>
      <c r="F69" s="423">
        <f>Loads!P29</f>
        <v>107.32372714734528</v>
      </c>
      <c r="G69" s="423">
        <f>Loads!M29</f>
        <v>1073.237271473452</v>
      </c>
      <c r="H69" s="423">
        <f>Loads!N29</f>
        <v>4255.4661944553245</v>
      </c>
      <c r="I69" s="423">
        <f>Loads!V29</f>
        <v>-985.31208706211964</v>
      </c>
      <c r="J69" s="423">
        <f>Loads!Q29</f>
        <v>425.54661944553254</v>
      </c>
      <c r="K69" s="2">
        <v>9</v>
      </c>
      <c r="L69" s="12">
        <f t="shared" si="41"/>
        <v>10.629921599999999</v>
      </c>
      <c r="M69" s="11">
        <f t="shared" si="42"/>
        <v>24.527559840000002</v>
      </c>
      <c r="N69" s="11">
        <f t="shared" si="43"/>
        <v>1.1811023999999999</v>
      </c>
      <c r="O69" s="152">
        <f t="shared" si="44"/>
        <v>29.039309937131904</v>
      </c>
      <c r="P69" s="151">
        <f t="shared" si="45"/>
        <v>107.32372714734528</v>
      </c>
      <c r="Q69" s="12">
        <f t="shared" si="46"/>
        <v>1073.237271473452</v>
      </c>
      <c r="R69" s="12">
        <f t="shared" si="47"/>
        <v>51065.594333463894</v>
      </c>
      <c r="S69" s="12">
        <f t="shared" si="48"/>
        <v>-11823.745044745436</v>
      </c>
      <c r="T69" s="152">
        <f t="shared" si="49"/>
        <v>5106.5594333463905</v>
      </c>
      <c r="U69" s="8">
        <f t="shared" si="0"/>
        <v>4.4149607712000005</v>
      </c>
      <c r="V69" s="8">
        <f t="shared" si="1"/>
        <v>4.4149607712000005</v>
      </c>
      <c r="W69" s="134">
        <f t="shared" si="2"/>
        <v>2.2074803856000003</v>
      </c>
      <c r="X69" s="311">
        <f t="shared" si="3"/>
        <v>6.1318899600000005</v>
      </c>
      <c r="Y69" s="11">
        <f t="shared" si="4"/>
        <v>18.39566988</v>
      </c>
      <c r="Z69" s="11">
        <f t="shared" si="5"/>
        <v>12.263779919999999</v>
      </c>
      <c r="AA69" s="316">
        <f t="shared" si="50"/>
        <v>18.39566988</v>
      </c>
      <c r="AB69" s="170">
        <f t="shared" si="51"/>
        <v>3.3112205784000004</v>
      </c>
      <c r="AC69" s="11">
        <f t="shared" si="52"/>
        <v>18.39566988</v>
      </c>
      <c r="AD69" s="152">
        <f t="shared" si="53"/>
        <v>47.840267695093424</v>
      </c>
      <c r="AE69" s="151">
        <f t="shared" si="6"/>
        <v>5.8341842318027766</v>
      </c>
      <c r="AF69" s="12">
        <f t="shared" si="54"/>
        <v>123.5752391698897</v>
      </c>
      <c r="AG69" s="216">
        <f t="shared" si="7"/>
        <v>8.4783665819832457E-3</v>
      </c>
      <c r="AH69" s="2">
        <f t="shared" si="55"/>
        <v>2</v>
      </c>
      <c r="AI69" s="2">
        <f t="shared" si="56"/>
        <v>3</v>
      </c>
      <c r="AJ69" s="127">
        <f t="shared" si="57"/>
        <v>2</v>
      </c>
      <c r="AK69" s="2">
        <f t="shared" si="58"/>
        <v>1.5748031496062995E-2</v>
      </c>
      <c r="AL69" s="8">
        <f t="shared" si="8"/>
        <v>8.9224495236898238E-2</v>
      </c>
      <c r="AM69" s="138">
        <f t="shared" si="59"/>
        <v>0.25</v>
      </c>
      <c r="AN69" s="12">
        <f t="shared" si="9"/>
        <v>7395.7485474067234</v>
      </c>
      <c r="AO69" s="138">
        <f t="shared" si="60"/>
        <v>0.25</v>
      </c>
      <c r="AP69" s="116">
        <f t="shared" si="61"/>
        <v>2175570</v>
      </c>
      <c r="AQ69" s="2">
        <f t="shared" si="62"/>
        <v>1.5748031496062995E-2</v>
      </c>
      <c r="AR69" s="8">
        <f t="shared" si="63"/>
        <v>12.263779919999999</v>
      </c>
      <c r="AS69" s="116">
        <f t="shared" si="64"/>
        <v>2610.6840000000002</v>
      </c>
      <c r="AT69" s="217">
        <f t="shared" si="65"/>
        <v>0.10764803099984871</v>
      </c>
      <c r="AU69" s="207">
        <f t="shared" si="66"/>
        <v>3.8187446811684174</v>
      </c>
      <c r="AV69" s="144">
        <f t="shared" si="67"/>
        <v>8518.5319972549805</v>
      </c>
      <c r="AW69" s="138">
        <f t="shared" si="68"/>
        <v>0.25</v>
      </c>
      <c r="AX69" s="116">
        <f t="shared" si="69"/>
        <v>2175570</v>
      </c>
      <c r="AY69" s="2">
        <f t="shared" si="70"/>
        <v>1.5748031496062995E-2</v>
      </c>
      <c r="AZ69" s="8">
        <f t="shared" si="71"/>
        <v>12.263779919999999</v>
      </c>
      <c r="BA69" s="116">
        <f t="shared" si="72"/>
        <v>2610.6840000000002</v>
      </c>
      <c r="BB69" s="217">
        <f t="shared" si="73"/>
        <v>0.10764803099984871</v>
      </c>
      <c r="BC69" s="207">
        <f t="shared" si="74"/>
        <v>3.8187446811684174</v>
      </c>
      <c r="BD69" s="144">
        <f t="shared" si="75"/>
        <v>8518.5319972549805</v>
      </c>
      <c r="BE69" s="138">
        <f t="shared" si="76"/>
        <v>0.25</v>
      </c>
      <c r="BF69" s="116">
        <f t="shared" si="77"/>
        <v>2175570</v>
      </c>
      <c r="BG69" s="2">
        <f t="shared" si="78"/>
        <v>1.5748031496062995E-2</v>
      </c>
      <c r="BH69" s="8">
        <f t="shared" si="79"/>
        <v>12.263779919999999</v>
      </c>
      <c r="BI69" s="116">
        <f t="shared" si="80"/>
        <v>2610.6840000000002</v>
      </c>
      <c r="BJ69" s="217">
        <f t="shared" si="81"/>
        <v>0.10764803099984871</v>
      </c>
      <c r="BK69" s="207">
        <f t="shared" si="82"/>
        <v>3.8187446811684174</v>
      </c>
      <c r="BL69" s="144">
        <f t="shared" si="83"/>
        <v>8518.5319972549805</v>
      </c>
      <c r="BM69" s="216">
        <f t="shared" si="84"/>
        <v>0.25</v>
      </c>
      <c r="BN69" s="216">
        <f t="shared" si="85"/>
        <v>2.3622047244094495E-2</v>
      </c>
      <c r="BO69" s="238">
        <f t="shared" si="86"/>
        <v>1.5748031496062995E-2</v>
      </c>
      <c r="BP69" s="216">
        <f t="shared" si="87"/>
        <v>0.25</v>
      </c>
      <c r="BQ69" s="138">
        <f t="shared" si="88"/>
        <v>0</v>
      </c>
      <c r="BR69" s="138">
        <f t="shared" si="89"/>
        <v>0</v>
      </c>
      <c r="BS69" s="238">
        <f t="shared" si="90"/>
        <v>0</v>
      </c>
      <c r="BT69" s="138">
        <f t="shared" si="91"/>
        <v>0.25</v>
      </c>
      <c r="BU69" s="138">
        <f t="shared" si="92"/>
        <v>0</v>
      </c>
      <c r="BV69" s="138">
        <f t="shared" si="93"/>
        <v>0</v>
      </c>
      <c r="BW69" s="238">
        <f t="shared" si="94"/>
        <v>0</v>
      </c>
      <c r="BX69" s="216">
        <f t="shared" si="95"/>
        <v>2.3622047244094495E-2</v>
      </c>
      <c r="BY69" s="138">
        <f t="shared" si="96"/>
        <v>0</v>
      </c>
      <c r="BZ69" s="138">
        <f t="shared" si="97"/>
        <v>0</v>
      </c>
      <c r="CA69" s="238">
        <f t="shared" si="98"/>
        <v>0</v>
      </c>
      <c r="CB69" s="138">
        <f t="shared" si="99"/>
        <v>2.3622047244094495E-2</v>
      </c>
      <c r="CC69" s="138">
        <f t="shared" si="100"/>
        <v>0</v>
      </c>
      <c r="CD69" s="138">
        <f t="shared" si="101"/>
        <v>0</v>
      </c>
      <c r="CE69" s="238">
        <f t="shared" si="102"/>
        <v>0</v>
      </c>
      <c r="CF69" s="216">
        <f t="shared" si="103"/>
        <v>1.5748031496062995E-2</v>
      </c>
      <c r="CG69" s="138">
        <f t="shared" si="104"/>
        <v>0</v>
      </c>
      <c r="CH69" s="138">
        <f t="shared" si="105"/>
        <v>0</v>
      </c>
      <c r="CI69" s="238">
        <f t="shared" si="106"/>
        <v>0</v>
      </c>
      <c r="CJ69" s="138">
        <f t="shared" si="107"/>
        <v>1.5748031496062995E-2</v>
      </c>
      <c r="CK69" s="138">
        <f t="shared" si="108"/>
        <v>0</v>
      </c>
      <c r="CL69" s="138">
        <f t="shared" si="109"/>
        <v>0</v>
      </c>
      <c r="CM69" s="238">
        <f t="shared" si="110"/>
        <v>0</v>
      </c>
      <c r="CN69" s="17">
        <f t="shared" si="111"/>
        <v>0.25</v>
      </c>
      <c r="CO69" s="17">
        <f t="shared" si="112"/>
        <v>2.3622047244094495E-2</v>
      </c>
      <c r="CP69" s="17">
        <f t="shared" si="113"/>
        <v>1.5748031496062995E-2</v>
      </c>
      <c r="CQ69" s="17">
        <f>$U69-IF('Inputs-Imperial'!$E$13,0,2)*($CO69+$CN69+$CP69)</f>
        <v>4.4149607712000005</v>
      </c>
      <c r="CR69" s="116">
        <f t="shared" si="114"/>
        <v>11566.488804742901</v>
      </c>
      <c r="CS69" s="8">
        <f t="shared" si="10"/>
        <v>0.29905495813363309</v>
      </c>
      <c r="CT69" s="8">
        <f t="shared" si="115"/>
        <v>0.54685917577895049</v>
      </c>
      <c r="CU69" s="8">
        <f t="shared" si="11"/>
        <v>0.29905495813363309</v>
      </c>
      <c r="CV69" s="8">
        <f t="shared" si="116"/>
        <v>0.54685917577895049</v>
      </c>
      <c r="CW69" s="216">
        <f t="shared" si="117"/>
        <v>3.8681015954210505</v>
      </c>
      <c r="CX69" s="116">
        <f t="shared" si="118"/>
        <v>13201.720035976796</v>
      </c>
      <c r="CY69" s="8">
        <f t="shared" si="119"/>
        <v>0.34133434089626841</v>
      </c>
      <c r="CZ69" s="8">
        <f t="shared" si="120"/>
        <v>0.58423825696052156</v>
      </c>
      <c r="DA69" s="8">
        <f t="shared" si="121"/>
        <v>0.34133434089626841</v>
      </c>
      <c r="DB69" s="8">
        <f t="shared" si="122"/>
        <v>0.58423825696052156</v>
      </c>
      <c r="DC69" s="216">
        <f t="shared" si="123"/>
        <v>3.8307225142394792</v>
      </c>
      <c r="DD69" s="116">
        <f t="shared" si="124"/>
        <v>13330.538597782524</v>
      </c>
      <c r="DE69" s="8">
        <f t="shared" si="125"/>
        <v>0.34466498256790951</v>
      </c>
      <c r="DF69" s="8">
        <f t="shared" si="126"/>
        <v>0.58708175117943284</v>
      </c>
      <c r="DG69" s="8">
        <f t="shared" si="127"/>
        <v>0.34466498256790951</v>
      </c>
      <c r="DH69" s="8">
        <f t="shared" si="128"/>
        <v>0.58708175117943284</v>
      </c>
      <c r="DI69" s="216">
        <f t="shared" si="129"/>
        <v>3.8278790200205677</v>
      </c>
      <c r="DJ69" s="116">
        <f t="shared" si="130"/>
        <v>13340.441029191543</v>
      </c>
      <c r="DK69" s="8">
        <f t="shared" si="131"/>
        <v>0.34492101283434878</v>
      </c>
      <c r="DL69" s="8">
        <f t="shared" si="132"/>
        <v>0.58729976403396311</v>
      </c>
      <c r="DM69" s="8">
        <f t="shared" si="133"/>
        <v>0.34492101283434878</v>
      </c>
      <c r="DN69" s="8">
        <f t="shared" si="134"/>
        <v>0.58729976403396311</v>
      </c>
      <c r="DO69" s="216">
        <f t="shared" si="135"/>
        <v>3.8276610071660375</v>
      </c>
      <c r="DP69" s="116">
        <f t="shared" si="136"/>
        <v>13341.200863362859</v>
      </c>
      <c r="DQ69" s="170">
        <f t="shared" si="137"/>
        <v>0.34494065856955225</v>
      </c>
      <c r="DR69" s="8">
        <f t="shared" si="138"/>
        <v>0.58731648927094859</v>
      </c>
      <c r="DS69" s="8">
        <f t="shared" si="139"/>
        <v>0.34494065856955225</v>
      </c>
      <c r="DT69" s="134">
        <f t="shared" si="140"/>
        <v>0.58731648927094859</v>
      </c>
      <c r="DU69" s="170">
        <f t="shared" si="141"/>
        <v>0.41283788277202987</v>
      </c>
      <c r="DV69" s="170">
        <f t="shared" si="141"/>
        <v>0.64252461647164139</v>
      </c>
      <c r="DW69" s="170">
        <f t="shared" si="141"/>
        <v>0.41283788277202987</v>
      </c>
      <c r="DX69" s="272">
        <f t="shared" si="141"/>
        <v>0.64252461647164139</v>
      </c>
      <c r="DY69" s="272">
        <f t="shared" si="142"/>
        <v>3.1299115382567173</v>
      </c>
      <c r="DZ69" s="22">
        <f t="shared" si="12"/>
        <v>243.09100965844883</v>
      </c>
      <c r="EA69" s="216">
        <f t="shared" si="13"/>
        <v>1.5926310762325861E-2</v>
      </c>
      <c r="EB69" s="12">
        <f t="shared" si="143"/>
        <v>3</v>
      </c>
      <c r="EC69" s="7">
        <f>ROUND(MAX(DV69,DX69)/'Inputs-Imperial'!$E$21,0)</f>
        <v>5</v>
      </c>
      <c r="ED69" s="12">
        <f t="shared" si="144"/>
        <v>5</v>
      </c>
      <c r="EE69" s="2">
        <f t="shared" si="145"/>
        <v>3</v>
      </c>
      <c r="EF69" s="127">
        <f t="shared" si="146"/>
        <v>3</v>
      </c>
      <c r="EG69" s="2">
        <f t="shared" si="147"/>
        <v>2.3622047244094495E-2</v>
      </c>
      <c r="EH69" s="8">
        <f t="shared" si="14"/>
        <v>0.1676050480966704</v>
      </c>
      <c r="EI69" s="138">
        <f t="shared" si="148"/>
        <v>0.25</v>
      </c>
      <c r="EJ69" s="12">
        <f t="shared" si="15"/>
        <v>9261.7674679868978</v>
      </c>
      <c r="EK69" s="138">
        <f t="shared" si="149"/>
        <v>0.25</v>
      </c>
      <c r="EL69" s="116">
        <f t="shared" si="150"/>
        <v>2175570</v>
      </c>
      <c r="EM69" s="2">
        <f t="shared" si="16"/>
        <v>2.3622047244094495E-2</v>
      </c>
      <c r="EN69" s="8">
        <f t="shared" si="151"/>
        <v>4.4149607712000005</v>
      </c>
      <c r="EO69" s="116">
        <f t="shared" si="152"/>
        <v>2610.6840000000002</v>
      </c>
      <c r="EP69" s="217">
        <f t="shared" si="153"/>
        <v>1.2459262847204706</v>
      </c>
      <c r="EQ69" s="207">
        <f t="shared" si="154"/>
        <v>2</v>
      </c>
      <c r="ER69" s="144">
        <f t="shared" si="155"/>
        <v>34424.618060066285</v>
      </c>
      <c r="ES69" s="138">
        <f t="shared" si="17"/>
        <v>0.25</v>
      </c>
      <c r="ET69" s="116">
        <f t="shared" si="156"/>
        <v>2175570</v>
      </c>
      <c r="EU69" s="2">
        <f t="shared" si="18"/>
        <v>2.3622047244094495E-2</v>
      </c>
      <c r="EV69" s="8">
        <f t="shared" si="157"/>
        <v>4.4149607712000005</v>
      </c>
      <c r="EW69" s="116">
        <f t="shared" si="158"/>
        <v>2610.6840000000002</v>
      </c>
      <c r="EX69" s="217">
        <f t="shared" si="159"/>
        <v>1.2459262847204706</v>
      </c>
      <c r="EY69" s="207">
        <f t="shared" si="160"/>
        <v>2</v>
      </c>
      <c r="EZ69" s="144">
        <f t="shared" si="161"/>
        <v>34424.618060066285</v>
      </c>
      <c r="FA69" s="138">
        <f t="shared" si="19"/>
        <v>0.25</v>
      </c>
      <c r="FB69" s="116">
        <f t="shared" si="162"/>
        <v>2175570</v>
      </c>
      <c r="FC69" s="2">
        <f t="shared" si="20"/>
        <v>2.3622047244094495E-2</v>
      </c>
      <c r="FD69" s="8">
        <f t="shared" si="163"/>
        <v>4.4149607712000005</v>
      </c>
      <c r="FE69" s="116">
        <f t="shared" si="164"/>
        <v>2610.6840000000002</v>
      </c>
      <c r="FF69" s="217">
        <f t="shared" si="165"/>
        <v>1.2459262847204706</v>
      </c>
      <c r="FG69" s="207">
        <f t="shared" si="166"/>
        <v>2</v>
      </c>
      <c r="FH69" s="144">
        <f t="shared" si="167"/>
        <v>34424.618060066285</v>
      </c>
      <c r="FI69" s="128">
        <f t="shared" si="168"/>
        <v>0.25</v>
      </c>
      <c r="FJ69" s="2">
        <f t="shared" si="169"/>
        <v>2.3622047244094495E-2</v>
      </c>
      <c r="FK69" s="127">
        <f t="shared" si="170"/>
        <v>2.3622047244094495E-2</v>
      </c>
      <c r="FL69" s="216">
        <f t="shared" si="171"/>
        <v>0.25</v>
      </c>
      <c r="FM69" s="138">
        <f t="shared" si="172"/>
        <v>0</v>
      </c>
      <c r="FN69" s="138">
        <f t="shared" si="173"/>
        <v>0</v>
      </c>
      <c r="FO69" s="238">
        <f t="shared" si="174"/>
        <v>0</v>
      </c>
      <c r="FP69" s="216">
        <f t="shared" si="21"/>
        <v>0.25</v>
      </c>
      <c r="FQ69" s="138">
        <f t="shared" si="22"/>
        <v>0</v>
      </c>
      <c r="FR69" s="138">
        <f t="shared" si="23"/>
        <v>0</v>
      </c>
      <c r="FS69" s="238">
        <f t="shared" si="24"/>
        <v>0</v>
      </c>
      <c r="FT69" s="216">
        <f t="shared" si="175"/>
        <v>2.3622047244094495E-2</v>
      </c>
      <c r="FU69" s="138">
        <f t="shared" si="176"/>
        <v>0</v>
      </c>
      <c r="FV69" s="138">
        <f t="shared" si="177"/>
        <v>0</v>
      </c>
      <c r="FW69" s="238">
        <f t="shared" si="178"/>
        <v>0</v>
      </c>
      <c r="FX69" s="216">
        <f t="shared" si="25"/>
        <v>2.3622047244094495E-2</v>
      </c>
      <c r="FY69" s="138">
        <f t="shared" si="26"/>
        <v>0</v>
      </c>
      <c r="FZ69" s="138">
        <f t="shared" si="27"/>
        <v>0</v>
      </c>
      <c r="GA69" s="238">
        <f t="shared" si="28"/>
        <v>0</v>
      </c>
      <c r="GB69" s="216">
        <f t="shared" si="179"/>
        <v>2.3622047244094495E-2</v>
      </c>
      <c r="GC69" s="138">
        <f t="shared" si="180"/>
        <v>0</v>
      </c>
      <c r="GD69" s="138">
        <f t="shared" si="181"/>
        <v>0</v>
      </c>
      <c r="GE69" s="238">
        <f t="shared" si="182"/>
        <v>0</v>
      </c>
      <c r="GF69" s="216">
        <f t="shared" si="29"/>
        <v>2.3622047244094495E-2</v>
      </c>
      <c r="GG69" s="138">
        <f t="shared" si="30"/>
        <v>0</v>
      </c>
      <c r="GH69" s="138">
        <f t="shared" si="31"/>
        <v>0</v>
      </c>
      <c r="GI69" s="238">
        <f t="shared" si="32"/>
        <v>0</v>
      </c>
      <c r="GJ69" s="216">
        <f t="shared" si="183"/>
        <v>0.25</v>
      </c>
      <c r="GK69" s="216">
        <f t="shared" si="184"/>
        <v>2.3622047244094495E-2</v>
      </c>
      <c r="GL69" s="17">
        <f t="shared" si="185"/>
        <v>2.3622047244094495E-2</v>
      </c>
      <c r="GM69" s="216">
        <f t="shared" si="186"/>
        <v>8.096135123687424E-3</v>
      </c>
      <c r="GN69" s="2">
        <f t="shared" si="187"/>
        <v>2</v>
      </c>
      <c r="GO69" s="2">
        <f t="shared" si="188"/>
        <v>2</v>
      </c>
      <c r="GP69" s="142">
        <f t="shared" si="189"/>
        <v>2</v>
      </c>
      <c r="GQ69" s="2">
        <f t="shared" si="190"/>
        <v>1.5748031496062995E-2</v>
      </c>
      <c r="GR69" s="8">
        <f t="shared" si="33"/>
        <v>8.5201974082578152E-2</v>
      </c>
      <c r="GS69" s="138">
        <f t="shared" si="191"/>
        <v>0.25</v>
      </c>
      <c r="GT69" s="12">
        <f t="shared" si="34"/>
        <v>7062.3249185591949</v>
      </c>
      <c r="GU69" s="138">
        <f t="shared" si="192"/>
        <v>0.25</v>
      </c>
      <c r="GV69" s="116">
        <f t="shared" si="193"/>
        <v>2175570</v>
      </c>
      <c r="GW69" s="2">
        <f t="shared" si="35"/>
        <v>2.3622047244094495E-2</v>
      </c>
      <c r="GX69" s="8">
        <f t="shared" si="36"/>
        <v>2.2074803856000003</v>
      </c>
      <c r="GY69" s="116">
        <f t="shared" si="194"/>
        <v>2610.6840000000002</v>
      </c>
      <c r="GZ69" s="217">
        <f t="shared" si="195"/>
        <v>4.9837051388818825</v>
      </c>
      <c r="HA69" s="207">
        <f t="shared" si="196"/>
        <v>2</v>
      </c>
      <c r="HB69" s="144">
        <f t="shared" si="197"/>
        <v>137698.47224026514</v>
      </c>
      <c r="HC69" s="138">
        <f t="shared" si="37"/>
        <v>0.25</v>
      </c>
      <c r="HD69" s="116">
        <f t="shared" si="198"/>
        <v>2175570</v>
      </c>
      <c r="HE69" s="2">
        <f t="shared" si="38"/>
        <v>2.3622047244094495E-2</v>
      </c>
      <c r="HF69" s="8">
        <f t="shared" si="199"/>
        <v>2.2074803856000003</v>
      </c>
      <c r="HG69" s="116">
        <f t="shared" si="200"/>
        <v>2610.6840000000002</v>
      </c>
      <c r="HH69" s="217">
        <f t="shared" si="201"/>
        <v>4.9837051388818825</v>
      </c>
      <c r="HI69" s="207">
        <f t="shared" si="202"/>
        <v>2</v>
      </c>
      <c r="HJ69" s="144">
        <f t="shared" si="203"/>
        <v>137698.47224026514</v>
      </c>
      <c r="HK69" s="138">
        <f t="shared" si="39"/>
        <v>0.25</v>
      </c>
      <c r="HL69" s="116">
        <f t="shared" si="204"/>
        <v>2175570</v>
      </c>
      <c r="HM69" s="2">
        <f t="shared" si="40"/>
        <v>2.3622047244094495E-2</v>
      </c>
      <c r="HN69" s="8">
        <f t="shared" si="205"/>
        <v>2.2074803856000003</v>
      </c>
      <c r="HO69" s="116">
        <f t="shared" si="206"/>
        <v>2610.6840000000002</v>
      </c>
      <c r="HP69" s="217">
        <f t="shared" si="207"/>
        <v>4.9837051388818825</v>
      </c>
      <c r="HQ69" s="207">
        <f t="shared" si="208"/>
        <v>2</v>
      </c>
      <c r="HR69" s="144">
        <f t="shared" si="209"/>
        <v>137698.47224026514</v>
      </c>
      <c r="HS69" s="128">
        <f t="shared" si="210"/>
        <v>0.25</v>
      </c>
      <c r="HT69" s="2">
        <f t="shared" si="211"/>
        <v>1.5748031496062995E-2</v>
      </c>
      <c r="HU69" s="127">
        <f t="shared" si="212"/>
        <v>1.5748031496062995E-2</v>
      </c>
      <c r="HV69" s="216">
        <f t="shared" si="213"/>
        <v>0.25</v>
      </c>
      <c r="HW69" s="138">
        <f t="shared" si="214"/>
        <v>0</v>
      </c>
      <c r="HX69" s="138">
        <f t="shared" si="215"/>
        <v>0</v>
      </c>
      <c r="HY69" s="238">
        <f t="shared" si="216"/>
        <v>0</v>
      </c>
      <c r="HZ69" s="138">
        <f t="shared" si="217"/>
        <v>0.25</v>
      </c>
      <c r="IA69" s="138">
        <f t="shared" si="218"/>
        <v>0</v>
      </c>
      <c r="IB69" s="138">
        <f t="shared" si="219"/>
        <v>0</v>
      </c>
      <c r="IC69" s="138">
        <f t="shared" si="220"/>
        <v>0</v>
      </c>
      <c r="ID69" s="216">
        <f t="shared" si="221"/>
        <v>1.5748031496062995E-2</v>
      </c>
      <c r="IE69" s="138">
        <f t="shared" si="222"/>
        <v>0</v>
      </c>
      <c r="IF69" s="138">
        <f t="shared" si="223"/>
        <v>0</v>
      </c>
      <c r="IG69" s="238">
        <f t="shared" si="224"/>
        <v>0</v>
      </c>
      <c r="IH69" s="138">
        <f t="shared" si="225"/>
        <v>1.5748031496062995E-2</v>
      </c>
      <c r="II69" s="138">
        <f t="shared" si="226"/>
        <v>0</v>
      </c>
      <c r="IJ69" s="138">
        <f t="shared" si="227"/>
        <v>0</v>
      </c>
      <c r="IK69" s="138">
        <f t="shared" si="228"/>
        <v>0</v>
      </c>
      <c r="IL69" s="216">
        <f t="shared" si="229"/>
        <v>1.5748031496062995E-2</v>
      </c>
      <c r="IM69" s="138">
        <f t="shared" si="230"/>
        <v>0</v>
      </c>
      <c r="IN69" s="138">
        <f t="shared" si="231"/>
        <v>0</v>
      </c>
      <c r="IO69" s="238">
        <f t="shared" si="232"/>
        <v>0</v>
      </c>
      <c r="IP69" s="138">
        <f t="shared" si="233"/>
        <v>1.5748031496062995E-2</v>
      </c>
      <c r="IQ69" s="138">
        <f t="shared" si="234"/>
        <v>0</v>
      </c>
      <c r="IR69" s="138">
        <f t="shared" si="235"/>
        <v>0</v>
      </c>
      <c r="IS69" s="138">
        <f t="shared" si="236"/>
        <v>0</v>
      </c>
      <c r="IT69" s="17">
        <f t="shared" si="237"/>
        <v>0.25</v>
      </c>
      <c r="IU69" s="17">
        <f t="shared" si="238"/>
        <v>1.5748031496062995E-2</v>
      </c>
      <c r="IV69" s="17">
        <f t="shared" si="239"/>
        <v>1.5748031496062995E-2</v>
      </c>
      <c r="IW69" s="253">
        <f t="shared" si="240"/>
        <v>12.263779919999999</v>
      </c>
      <c r="IX69" s="116">
        <f t="shared" si="241"/>
        <v>416.39359697074462</v>
      </c>
      <c r="IY69" s="8">
        <f t="shared" si="242"/>
        <v>1.0765978492810796E-2</v>
      </c>
      <c r="IZ69" s="8">
        <f t="shared" si="243"/>
        <v>1.0765978492810796E-2</v>
      </c>
      <c r="JA69" s="8">
        <f t="shared" si="244"/>
        <v>5.3829892464053982E-3</v>
      </c>
      <c r="JB69" s="134">
        <f t="shared" si="245"/>
        <v>7.3368857469674406E-2</v>
      </c>
      <c r="JC69" s="170">
        <f t="shared" si="246"/>
        <v>6.3945696655626945E-3</v>
      </c>
      <c r="JD69" s="272">
        <f t="shared" si="247"/>
        <v>7.9966053207362275E-2</v>
      </c>
      <c r="JE69" s="8"/>
      <c r="JF69" s="8"/>
    </row>
    <row r="70" spans="1:266" x14ac:dyDescent="0.25">
      <c r="A70" s="186">
        <v>10</v>
      </c>
      <c r="B70" s="187">
        <f>A70/100*'Inputs-Imperial'!$E$5</f>
        <v>0.98425200000000013</v>
      </c>
      <c r="C70" s="188">
        <f>'Inputs-Imperial'!$E$10+('Inputs-Imperial'!$E$9-'Inputs-Imperial'!$E$10)*(100-A70)/100</f>
        <v>2.0341208000000002</v>
      </c>
      <c r="D70" s="187">
        <f t="shared" si="248"/>
        <v>9.8425200000000101E-2</v>
      </c>
      <c r="E70" s="188">
        <f t="shared" si="249"/>
        <v>0.2006931225639122</v>
      </c>
      <c r="F70" s="423">
        <f>Loads!P30</f>
        <v>105.80204300232114</v>
      </c>
      <c r="G70" s="423">
        <f>Loads!M30</f>
        <v>1058.0204300232106</v>
      </c>
      <c r="H70" s="423">
        <f>Loads!N30</f>
        <v>4149.8326013630958</v>
      </c>
      <c r="I70" s="423">
        <f>Loads!V30</f>
        <v>-968.10363181134301</v>
      </c>
      <c r="J70" s="423">
        <f>Loads!Q30</f>
        <v>414.98326013630964</v>
      </c>
      <c r="K70" s="2">
        <v>10</v>
      </c>
      <c r="L70" s="12">
        <f t="shared" si="41"/>
        <v>11.811024000000002</v>
      </c>
      <c r="M70" s="11">
        <f t="shared" si="42"/>
        <v>24.409449600000002</v>
      </c>
      <c r="N70" s="11">
        <f t="shared" si="43"/>
        <v>1.1811024000000012</v>
      </c>
      <c r="O70" s="152">
        <f t="shared" si="44"/>
        <v>28.899809649203359</v>
      </c>
      <c r="P70" s="151">
        <f t="shared" si="45"/>
        <v>105.80204300232114</v>
      </c>
      <c r="Q70" s="12">
        <f t="shared" si="46"/>
        <v>1058.0204300232106</v>
      </c>
      <c r="R70" s="12">
        <f t="shared" si="47"/>
        <v>49797.99121635715</v>
      </c>
      <c r="S70" s="12">
        <f t="shared" si="48"/>
        <v>-11617.243581736117</v>
      </c>
      <c r="T70" s="152">
        <f t="shared" si="49"/>
        <v>4979.7991216357159</v>
      </c>
      <c r="U70" s="8">
        <f t="shared" si="0"/>
        <v>4.3937009280000003</v>
      </c>
      <c r="V70" s="8">
        <f t="shared" si="1"/>
        <v>4.3937009280000003</v>
      </c>
      <c r="W70" s="134">
        <f t="shared" si="2"/>
        <v>2.1968504640000002</v>
      </c>
      <c r="X70" s="311">
        <f t="shared" si="3"/>
        <v>6.1023624000000005</v>
      </c>
      <c r="Y70" s="11">
        <f t="shared" si="4"/>
        <v>18.307087200000002</v>
      </c>
      <c r="Z70" s="11">
        <f t="shared" si="5"/>
        <v>12.204724800000001</v>
      </c>
      <c r="AA70" s="316">
        <f t="shared" si="50"/>
        <v>18.307087200000002</v>
      </c>
      <c r="AB70" s="170">
        <f t="shared" si="51"/>
        <v>3.295275696</v>
      </c>
      <c r="AC70" s="11">
        <f t="shared" si="52"/>
        <v>18.307087200000002</v>
      </c>
      <c r="AD70" s="152">
        <f t="shared" si="53"/>
        <v>47.380636082317764</v>
      </c>
      <c r="AE70" s="151">
        <f t="shared" si="6"/>
        <v>5.7792942070173314</v>
      </c>
      <c r="AF70" s="12">
        <f t="shared" si="54"/>
        <v>122.59484614719661</v>
      </c>
      <c r="AG70" s="216">
        <f t="shared" si="7"/>
        <v>8.4105391474587135E-3</v>
      </c>
      <c r="AH70" s="2">
        <f t="shared" si="55"/>
        <v>2</v>
      </c>
      <c r="AI70" s="2">
        <f t="shared" si="56"/>
        <v>3</v>
      </c>
      <c r="AJ70" s="127">
        <f t="shared" si="57"/>
        <v>2</v>
      </c>
      <c r="AK70" s="2">
        <f t="shared" si="58"/>
        <v>1.5748031496062995E-2</v>
      </c>
      <c r="AL70" s="8">
        <f t="shared" si="8"/>
        <v>8.8510693993445813E-2</v>
      </c>
      <c r="AM70" s="138">
        <f t="shared" si="59"/>
        <v>0.25</v>
      </c>
      <c r="AN70" s="12">
        <f t="shared" si="9"/>
        <v>7336.5821212433257</v>
      </c>
      <c r="AO70" s="138">
        <f t="shared" si="60"/>
        <v>0.25</v>
      </c>
      <c r="AP70" s="116">
        <f t="shared" si="61"/>
        <v>2175570</v>
      </c>
      <c r="AQ70" s="2">
        <f t="shared" si="62"/>
        <v>1.5748031496062995E-2</v>
      </c>
      <c r="AR70" s="8">
        <f t="shared" si="63"/>
        <v>12.204724800000001</v>
      </c>
      <c r="AS70" s="116">
        <f t="shared" si="64"/>
        <v>2610.6840000000002</v>
      </c>
      <c r="AT70" s="217">
        <f t="shared" si="65"/>
        <v>0.10869230651389247</v>
      </c>
      <c r="AU70" s="207">
        <f t="shared" si="66"/>
        <v>3.8083055694221013</v>
      </c>
      <c r="AV70" s="144">
        <f t="shared" si="67"/>
        <v>8577.6562630087719</v>
      </c>
      <c r="AW70" s="138">
        <f t="shared" si="68"/>
        <v>0.25</v>
      </c>
      <c r="AX70" s="116">
        <f t="shared" si="69"/>
        <v>2175570</v>
      </c>
      <c r="AY70" s="2">
        <f t="shared" si="70"/>
        <v>1.5748031496062995E-2</v>
      </c>
      <c r="AZ70" s="8">
        <f t="shared" si="71"/>
        <v>12.204724800000001</v>
      </c>
      <c r="BA70" s="116">
        <f t="shared" si="72"/>
        <v>2610.6840000000002</v>
      </c>
      <c r="BB70" s="217">
        <f t="shared" si="73"/>
        <v>0.10869230651389247</v>
      </c>
      <c r="BC70" s="207">
        <f t="shared" si="74"/>
        <v>3.8083055694221013</v>
      </c>
      <c r="BD70" s="144">
        <f t="shared" si="75"/>
        <v>8577.6562630087719</v>
      </c>
      <c r="BE70" s="138">
        <f t="shared" si="76"/>
        <v>0.25</v>
      </c>
      <c r="BF70" s="116">
        <f t="shared" si="77"/>
        <v>2175570</v>
      </c>
      <c r="BG70" s="2">
        <f t="shared" si="78"/>
        <v>1.5748031496062995E-2</v>
      </c>
      <c r="BH70" s="8">
        <f t="shared" si="79"/>
        <v>12.204724800000001</v>
      </c>
      <c r="BI70" s="116">
        <f t="shared" si="80"/>
        <v>2610.6840000000002</v>
      </c>
      <c r="BJ70" s="217">
        <f t="shared" si="81"/>
        <v>0.10869230651389247</v>
      </c>
      <c r="BK70" s="207">
        <f t="shared" si="82"/>
        <v>3.8083055694221013</v>
      </c>
      <c r="BL70" s="144">
        <f t="shared" si="83"/>
        <v>8577.6562630087719</v>
      </c>
      <c r="BM70" s="216">
        <f t="shared" si="84"/>
        <v>0.25</v>
      </c>
      <c r="BN70" s="216">
        <f t="shared" si="85"/>
        <v>2.3622047244094495E-2</v>
      </c>
      <c r="BO70" s="238">
        <f t="shared" si="86"/>
        <v>1.5748031496062995E-2</v>
      </c>
      <c r="BP70" s="216">
        <f t="shared" si="87"/>
        <v>0.25</v>
      </c>
      <c r="BQ70" s="138">
        <f t="shared" si="88"/>
        <v>0</v>
      </c>
      <c r="BR70" s="138">
        <f t="shared" si="89"/>
        <v>0</v>
      </c>
      <c r="BS70" s="238">
        <f t="shared" si="90"/>
        <v>0</v>
      </c>
      <c r="BT70" s="138">
        <f t="shared" si="91"/>
        <v>0.25</v>
      </c>
      <c r="BU70" s="138">
        <f t="shared" si="92"/>
        <v>0</v>
      </c>
      <c r="BV70" s="138">
        <f t="shared" si="93"/>
        <v>0</v>
      </c>
      <c r="BW70" s="238">
        <f t="shared" si="94"/>
        <v>0</v>
      </c>
      <c r="BX70" s="216">
        <f t="shared" si="95"/>
        <v>2.3622047244094495E-2</v>
      </c>
      <c r="BY70" s="138">
        <f t="shared" si="96"/>
        <v>0</v>
      </c>
      <c r="BZ70" s="138">
        <f t="shared" si="97"/>
        <v>0</v>
      </c>
      <c r="CA70" s="238">
        <f t="shared" si="98"/>
        <v>0</v>
      </c>
      <c r="CB70" s="138">
        <f t="shared" si="99"/>
        <v>2.3622047244094495E-2</v>
      </c>
      <c r="CC70" s="138">
        <f t="shared" si="100"/>
        <v>0</v>
      </c>
      <c r="CD70" s="138">
        <f t="shared" si="101"/>
        <v>0</v>
      </c>
      <c r="CE70" s="238">
        <f t="shared" si="102"/>
        <v>0</v>
      </c>
      <c r="CF70" s="216">
        <f t="shared" si="103"/>
        <v>1.5748031496062995E-2</v>
      </c>
      <c r="CG70" s="138">
        <f t="shared" si="104"/>
        <v>0</v>
      </c>
      <c r="CH70" s="138">
        <f t="shared" si="105"/>
        <v>0</v>
      </c>
      <c r="CI70" s="238">
        <f t="shared" si="106"/>
        <v>0</v>
      </c>
      <c r="CJ70" s="138">
        <f t="shared" si="107"/>
        <v>1.5748031496062995E-2</v>
      </c>
      <c r="CK70" s="138">
        <f t="shared" si="108"/>
        <v>0</v>
      </c>
      <c r="CL70" s="138">
        <f t="shared" si="109"/>
        <v>0</v>
      </c>
      <c r="CM70" s="238">
        <f t="shared" si="110"/>
        <v>0</v>
      </c>
      <c r="CN70" s="17">
        <f t="shared" si="111"/>
        <v>0.25</v>
      </c>
      <c r="CO70" s="17">
        <f t="shared" si="112"/>
        <v>2.3622047244094495E-2</v>
      </c>
      <c r="CP70" s="17">
        <f t="shared" si="113"/>
        <v>1.5748031496062995E-2</v>
      </c>
      <c r="CQ70" s="17">
        <f>$U70-IF('Inputs-Imperial'!$E$13,0,2)*($CO70+$CN70+$CP70)</f>
        <v>4.3937009280000003</v>
      </c>
      <c r="CR70" s="116">
        <f t="shared" si="114"/>
        <v>11333.951043186968</v>
      </c>
      <c r="CS70" s="8">
        <f t="shared" si="10"/>
        <v>0.29304262615280907</v>
      </c>
      <c r="CT70" s="8">
        <f t="shared" si="115"/>
        <v>0.54133411693039357</v>
      </c>
      <c r="CU70" s="8">
        <f t="shared" si="11"/>
        <v>0.29304262615280907</v>
      </c>
      <c r="CV70" s="8">
        <f t="shared" si="116"/>
        <v>0.54133411693039357</v>
      </c>
      <c r="CW70" s="216">
        <f t="shared" si="117"/>
        <v>3.852366811069607</v>
      </c>
      <c r="CX70" s="116">
        <f t="shared" si="118"/>
        <v>12926.596468764295</v>
      </c>
      <c r="CY70" s="8">
        <f t="shared" si="119"/>
        <v>0.33422094042848155</v>
      </c>
      <c r="CZ70" s="8">
        <f t="shared" si="120"/>
        <v>0.57811844844156424</v>
      </c>
      <c r="DA70" s="8">
        <f t="shared" si="121"/>
        <v>0.33422094042848155</v>
      </c>
      <c r="DB70" s="8">
        <f t="shared" si="122"/>
        <v>0.57811844844156424</v>
      </c>
      <c r="DC70" s="216">
        <f t="shared" si="123"/>
        <v>3.8155824795584357</v>
      </c>
      <c r="DD70" s="116">
        <f t="shared" si="124"/>
        <v>13051.216028783134</v>
      </c>
      <c r="DE70" s="8">
        <f t="shared" si="125"/>
        <v>0.33744301567821361</v>
      </c>
      <c r="DF70" s="8">
        <f t="shared" si="126"/>
        <v>0.58089845556535402</v>
      </c>
      <c r="DG70" s="8">
        <f t="shared" si="127"/>
        <v>0.33744301567821361</v>
      </c>
      <c r="DH70" s="8">
        <f t="shared" si="128"/>
        <v>0.58089845556535402</v>
      </c>
      <c r="DI70" s="216">
        <f t="shared" si="129"/>
        <v>3.8128024724346465</v>
      </c>
      <c r="DJ70" s="116">
        <f t="shared" si="130"/>
        <v>13060.731988184765</v>
      </c>
      <c r="DK70" s="8">
        <f t="shared" si="131"/>
        <v>0.33768905359762869</v>
      </c>
      <c r="DL70" s="8">
        <f t="shared" si="132"/>
        <v>0.58111019058146685</v>
      </c>
      <c r="DM70" s="8">
        <f t="shared" si="133"/>
        <v>0.33768905359762869</v>
      </c>
      <c r="DN70" s="8">
        <f t="shared" si="134"/>
        <v>0.58111019058146685</v>
      </c>
      <c r="DO70" s="216">
        <f t="shared" si="135"/>
        <v>3.812590737418533</v>
      </c>
      <c r="DP70" s="116">
        <f t="shared" si="136"/>
        <v>13061.457325491712</v>
      </c>
      <c r="DQ70" s="170">
        <f t="shared" si="137"/>
        <v>0.33770780740629297</v>
      </c>
      <c r="DR70" s="8">
        <f t="shared" si="138"/>
        <v>0.58112632654724306</v>
      </c>
      <c r="DS70" s="8">
        <f t="shared" si="139"/>
        <v>0.33770780740629297</v>
      </c>
      <c r="DT70" s="134">
        <f t="shared" si="140"/>
        <v>0.58112632654724306</v>
      </c>
      <c r="DU70" s="170">
        <f>MAX(DQ$70:DQ$79)</f>
        <v>0.33770780740629297</v>
      </c>
      <c r="DV70" s="170">
        <f>MAX(DR$70:DR$79)</f>
        <v>0.58112632654724306</v>
      </c>
      <c r="DW70" s="170">
        <f>MAX(DS$70:DS$79)</f>
        <v>0.33770780740629297</v>
      </c>
      <c r="DX70" s="272">
        <f>MAX(DT$70:DT$79)</f>
        <v>0.58112632654724306</v>
      </c>
      <c r="DY70" s="272">
        <f t="shared" si="142"/>
        <v>3.2314482749055147</v>
      </c>
      <c r="DZ70" s="22">
        <f t="shared" si="12"/>
        <v>240.80392529238861</v>
      </c>
      <c r="EA70" s="216">
        <f t="shared" si="13"/>
        <v>1.5776470517700154E-2</v>
      </c>
      <c r="EB70" s="12">
        <f t="shared" si="143"/>
        <v>3</v>
      </c>
      <c r="EC70" s="7">
        <f>ROUND(MAX(DV70,DX70)/'Inputs-Imperial'!$E$21,0)</f>
        <v>5</v>
      </c>
      <c r="ED70" s="12">
        <f t="shared" si="144"/>
        <v>5</v>
      </c>
      <c r="EE70" s="2">
        <f t="shared" si="145"/>
        <v>3</v>
      </c>
      <c r="EF70" s="127">
        <f t="shared" si="146"/>
        <v>3</v>
      </c>
      <c r="EG70" s="2">
        <f t="shared" si="147"/>
        <v>2.3622047244094495E-2</v>
      </c>
      <c r="EH70" s="8">
        <f t="shared" si="14"/>
        <v>0.16602816178683422</v>
      </c>
      <c r="EI70" s="138">
        <f t="shared" si="148"/>
        <v>0.25</v>
      </c>
      <c r="EJ70" s="12">
        <f t="shared" si="15"/>
        <v>9174.6295536400048</v>
      </c>
      <c r="EK70" s="138">
        <f t="shared" si="149"/>
        <v>0.25</v>
      </c>
      <c r="EL70" s="116">
        <f t="shared" si="150"/>
        <v>2175570</v>
      </c>
      <c r="EM70" s="2">
        <f t="shared" si="16"/>
        <v>2.3622047244094495E-2</v>
      </c>
      <c r="EN70" s="8">
        <f t="shared" si="151"/>
        <v>4.3937009280000003</v>
      </c>
      <c r="EO70" s="116">
        <f t="shared" si="152"/>
        <v>2610.6840000000002</v>
      </c>
      <c r="EP70" s="217">
        <f t="shared" si="153"/>
        <v>1.2580128068737553</v>
      </c>
      <c r="EQ70" s="207">
        <f t="shared" si="154"/>
        <v>2</v>
      </c>
      <c r="ER70" s="144">
        <f t="shared" si="155"/>
        <v>34758.565512579262</v>
      </c>
      <c r="ES70" s="138">
        <f t="shared" si="17"/>
        <v>0.25</v>
      </c>
      <c r="ET70" s="116">
        <f t="shared" si="156"/>
        <v>2175570</v>
      </c>
      <c r="EU70" s="2">
        <f t="shared" si="18"/>
        <v>2.3622047244094495E-2</v>
      </c>
      <c r="EV70" s="8">
        <f t="shared" si="157"/>
        <v>4.3937009280000003</v>
      </c>
      <c r="EW70" s="116">
        <f t="shared" si="158"/>
        <v>2610.6840000000002</v>
      </c>
      <c r="EX70" s="217">
        <f t="shared" si="159"/>
        <v>1.2580128068737553</v>
      </c>
      <c r="EY70" s="207">
        <f t="shared" si="160"/>
        <v>2</v>
      </c>
      <c r="EZ70" s="144">
        <f t="shared" si="161"/>
        <v>34758.565512579262</v>
      </c>
      <c r="FA70" s="138">
        <f t="shared" si="19"/>
        <v>0.25</v>
      </c>
      <c r="FB70" s="116">
        <f t="shared" si="162"/>
        <v>2175570</v>
      </c>
      <c r="FC70" s="2">
        <f t="shared" si="20"/>
        <v>2.3622047244094495E-2</v>
      </c>
      <c r="FD70" s="8">
        <f t="shared" si="163"/>
        <v>4.3937009280000003</v>
      </c>
      <c r="FE70" s="116">
        <f t="shared" si="164"/>
        <v>2610.6840000000002</v>
      </c>
      <c r="FF70" s="217">
        <f t="shared" si="165"/>
        <v>1.2580128068737553</v>
      </c>
      <c r="FG70" s="207">
        <f t="shared" si="166"/>
        <v>2</v>
      </c>
      <c r="FH70" s="144">
        <f t="shared" si="167"/>
        <v>34758.565512579262</v>
      </c>
      <c r="FI70" s="128">
        <f t="shared" si="168"/>
        <v>0.25</v>
      </c>
      <c r="FJ70" s="2">
        <f t="shared" si="169"/>
        <v>2.3622047244094495E-2</v>
      </c>
      <c r="FK70" s="127">
        <f t="shared" si="170"/>
        <v>2.3622047244094495E-2</v>
      </c>
      <c r="FL70" s="216">
        <f t="shared" si="171"/>
        <v>0.25</v>
      </c>
      <c r="FM70" s="138">
        <f t="shared" si="172"/>
        <v>0</v>
      </c>
      <c r="FN70" s="138">
        <f t="shared" si="173"/>
        <v>0</v>
      </c>
      <c r="FO70" s="238">
        <f t="shared" si="174"/>
        <v>0</v>
      </c>
      <c r="FP70" s="216">
        <f t="shared" si="21"/>
        <v>0.25</v>
      </c>
      <c r="FQ70" s="138">
        <f t="shared" si="22"/>
        <v>0</v>
      </c>
      <c r="FR70" s="138">
        <f t="shared" si="23"/>
        <v>0</v>
      </c>
      <c r="FS70" s="238">
        <f t="shared" si="24"/>
        <v>0</v>
      </c>
      <c r="FT70" s="216">
        <f t="shared" si="175"/>
        <v>2.3622047244094495E-2</v>
      </c>
      <c r="FU70" s="138">
        <f t="shared" si="176"/>
        <v>0</v>
      </c>
      <c r="FV70" s="138">
        <f t="shared" si="177"/>
        <v>0</v>
      </c>
      <c r="FW70" s="238">
        <f t="shared" si="178"/>
        <v>0</v>
      </c>
      <c r="FX70" s="216">
        <f t="shared" si="25"/>
        <v>2.3622047244094495E-2</v>
      </c>
      <c r="FY70" s="138">
        <f t="shared" si="26"/>
        <v>0</v>
      </c>
      <c r="FZ70" s="138">
        <f t="shared" si="27"/>
        <v>0</v>
      </c>
      <c r="GA70" s="238">
        <f t="shared" si="28"/>
        <v>0</v>
      </c>
      <c r="GB70" s="216">
        <f t="shared" si="179"/>
        <v>2.3622047244094495E-2</v>
      </c>
      <c r="GC70" s="138">
        <f t="shared" si="180"/>
        <v>0</v>
      </c>
      <c r="GD70" s="138">
        <f t="shared" si="181"/>
        <v>0</v>
      </c>
      <c r="GE70" s="238">
        <f t="shared" si="182"/>
        <v>0</v>
      </c>
      <c r="GF70" s="216">
        <f t="shared" si="29"/>
        <v>2.3622047244094495E-2</v>
      </c>
      <c r="GG70" s="138">
        <f t="shared" si="30"/>
        <v>0</v>
      </c>
      <c r="GH70" s="138">
        <f t="shared" si="31"/>
        <v>0</v>
      </c>
      <c r="GI70" s="238">
        <f t="shared" si="32"/>
        <v>0</v>
      </c>
      <c r="GJ70" s="216">
        <f t="shared" si="183"/>
        <v>0.25</v>
      </c>
      <c r="GK70" s="216">
        <f t="shared" si="184"/>
        <v>2.3622047244094495E-2</v>
      </c>
      <c r="GL70" s="17">
        <f t="shared" si="185"/>
        <v>2.3622047244094495E-2</v>
      </c>
      <c r="GM70" s="216">
        <f t="shared" si="186"/>
        <v>8.0319038550339082E-3</v>
      </c>
      <c r="GN70" s="2">
        <f t="shared" si="187"/>
        <v>2</v>
      </c>
      <c r="GO70" s="2">
        <f t="shared" si="188"/>
        <v>2</v>
      </c>
      <c r="GP70" s="142">
        <f t="shared" si="189"/>
        <v>2</v>
      </c>
      <c r="GQ70" s="2">
        <f t="shared" si="190"/>
        <v>1.5748031496062995E-2</v>
      </c>
      <c r="GR70" s="8">
        <f t="shared" si="33"/>
        <v>8.452601811056179E-2</v>
      </c>
      <c r="GS70" s="138">
        <f t="shared" si="191"/>
        <v>0.25</v>
      </c>
      <c r="GT70" s="12">
        <f t="shared" si="34"/>
        <v>7006.2954573122852</v>
      </c>
      <c r="GU70" s="138">
        <f t="shared" si="192"/>
        <v>0.25</v>
      </c>
      <c r="GV70" s="116">
        <f t="shared" si="193"/>
        <v>2175570</v>
      </c>
      <c r="GW70" s="2">
        <f t="shared" si="35"/>
        <v>2.3622047244094495E-2</v>
      </c>
      <c r="GX70" s="8">
        <f t="shared" si="36"/>
        <v>2.1968504640000002</v>
      </c>
      <c r="GY70" s="116">
        <f t="shared" si="194"/>
        <v>2610.6840000000002</v>
      </c>
      <c r="GZ70" s="217">
        <f t="shared" si="195"/>
        <v>5.0320512274950211</v>
      </c>
      <c r="HA70" s="207">
        <f t="shared" si="196"/>
        <v>2</v>
      </c>
      <c r="HB70" s="144">
        <f t="shared" si="197"/>
        <v>139034.26205031705</v>
      </c>
      <c r="HC70" s="138">
        <f t="shared" si="37"/>
        <v>0.25</v>
      </c>
      <c r="HD70" s="116">
        <f t="shared" si="198"/>
        <v>2175570</v>
      </c>
      <c r="HE70" s="2">
        <f t="shared" si="38"/>
        <v>2.3622047244094495E-2</v>
      </c>
      <c r="HF70" s="8">
        <f t="shared" si="199"/>
        <v>2.1968504640000002</v>
      </c>
      <c r="HG70" s="116">
        <f t="shared" si="200"/>
        <v>2610.6840000000002</v>
      </c>
      <c r="HH70" s="217">
        <f t="shared" si="201"/>
        <v>5.0320512274950211</v>
      </c>
      <c r="HI70" s="207">
        <f t="shared" si="202"/>
        <v>2</v>
      </c>
      <c r="HJ70" s="144">
        <f t="shared" si="203"/>
        <v>139034.26205031705</v>
      </c>
      <c r="HK70" s="138">
        <f t="shared" si="39"/>
        <v>0.25</v>
      </c>
      <c r="HL70" s="116">
        <f t="shared" si="204"/>
        <v>2175570</v>
      </c>
      <c r="HM70" s="2">
        <f t="shared" si="40"/>
        <v>2.3622047244094495E-2</v>
      </c>
      <c r="HN70" s="8">
        <f t="shared" si="205"/>
        <v>2.1968504640000002</v>
      </c>
      <c r="HO70" s="116">
        <f t="shared" si="206"/>
        <v>2610.6840000000002</v>
      </c>
      <c r="HP70" s="217">
        <f t="shared" si="207"/>
        <v>5.0320512274950211</v>
      </c>
      <c r="HQ70" s="207">
        <f t="shared" si="208"/>
        <v>2</v>
      </c>
      <c r="HR70" s="144">
        <f t="shared" si="209"/>
        <v>139034.26205031705</v>
      </c>
      <c r="HS70" s="128">
        <f t="shared" si="210"/>
        <v>0.25</v>
      </c>
      <c r="HT70" s="2">
        <f t="shared" si="211"/>
        <v>1.5748031496062995E-2</v>
      </c>
      <c r="HU70" s="127">
        <f t="shared" si="212"/>
        <v>1.5748031496062995E-2</v>
      </c>
      <c r="HV70" s="216">
        <f t="shared" si="213"/>
        <v>0.25</v>
      </c>
      <c r="HW70" s="138">
        <f t="shared" si="214"/>
        <v>0</v>
      </c>
      <c r="HX70" s="138">
        <f t="shared" si="215"/>
        <v>0</v>
      </c>
      <c r="HY70" s="238">
        <f t="shared" si="216"/>
        <v>0</v>
      </c>
      <c r="HZ70" s="138">
        <f t="shared" si="217"/>
        <v>0.25</v>
      </c>
      <c r="IA70" s="138">
        <f t="shared" si="218"/>
        <v>0</v>
      </c>
      <c r="IB70" s="138">
        <f t="shared" si="219"/>
        <v>0</v>
      </c>
      <c r="IC70" s="138">
        <f t="shared" si="220"/>
        <v>0</v>
      </c>
      <c r="ID70" s="216">
        <f t="shared" si="221"/>
        <v>1.5748031496062995E-2</v>
      </c>
      <c r="IE70" s="138">
        <f t="shared" si="222"/>
        <v>0</v>
      </c>
      <c r="IF70" s="138">
        <f t="shared" si="223"/>
        <v>0</v>
      </c>
      <c r="IG70" s="238">
        <f t="shared" si="224"/>
        <v>0</v>
      </c>
      <c r="IH70" s="138">
        <f t="shared" si="225"/>
        <v>1.5748031496062995E-2</v>
      </c>
      <c r="II70" s="138">
        <f t="shared" si="226"/>
        <v>0</v>
      </c>
      <c r="IJ70" s="138">
        <f t="shared" si="227"/>
        <v>0</v>
      </c>
      <c r="IK70" s="138">
        <f t="shared" si="228"/>
        <v>0</v>
      </c>
      <c r="IL70" s="216">
        <f t="shared" si="229"/>
        <v>1.5748031496062995E-2</v>
      </c>
      <c r="IM70" s="138">
        <f t="shared" si="230"/>
        <v>0</v>
      </c>
      <c r="IN70" s="138">
        <f t="shared" si="231"/>
        <v>0</v>
      </c>
      <c r="IO70" s="238">
        <f t="shared" si="232"/>
        <v>0</v>
      </c>
      <c r="IP70" s="138">
        <f t="shared" si="233"/>
        <v>1.5748031496062995E-2</v>
      </c>
      <c r="IQ70" s="138">
        <f t="shared" si="234"/>
        <v>0</v>
      </c>
      <c r="IR70" s="138">
        <f t="shared" si="235"/>
        <v>0</v>
      </c>
      <c r="IS70" s="138">
        <f t="shared" si="236"/>
        <v>0</v>
      </c>
      <c r="IT70" s="17">
        <f t="shared" si="237"/>
        <v>0.25</v>
      </c>
      <c r="IU70" s="17">
        <f t="shared" si="238"/>
        <v>1.5748031496062995E-2</v>
      </c>
      <c r="IV70" s="17">
        <f t="shared" si="239"/>
        <v>1.5748031496062995E-2</v>
      </c>
      <c r="IW70" s="253">
        <f t="shared" si="240"/>
        <v>12.204724800000001</v>
      </c>
      <c r="IX70" s="116">
        <f t="shared" si="241"/>
        <v>408.02223755473091</v>
      </c>
      <c r="IY70" s="8">
        <f t="shared" si="242"/>
        <v>1.054953454150113E-2</v>
      </c>
      <c r="IZ70" s="8">
        <f t="shared" si="243"/>
        <v>1.054953454150113E-2</v>
      </c>
      <c r="JA70" s="8">
        <f t="shared" si="244"/>
        <v>5.2747672707505648E-3</v>
      </c>
      <c r="JB70" s="134">
        <f t="shared" si="245"/>
        <v>7.2627593039770802E-2</v>
      </c>
      <c r="JC70" s="170">
        <f>MAX(JA$70:JA$79)</f>
        <v>5.2747672707505648E-3</v>
      </c>
      <c r="JD70" s="272">
        <f>MAX(JB$70:JB$79)</f>
        <v>7.2627593039770802E-2</v>
      </c>
      <c r="JE70" s="8"/>
      <c r="JF70" s="8"/>
    </row>
    <row r="71" spans="1:266" x14ac:dyDescent="0.25">
      <c r="A71" s="186">
        <v>11</v>
      </c>
      <c r="B71" s="187">
        <f>A71/100*'Inputs-Imperial'!$E$5</f>
        <v>1.0826772</v>
      </c>
      <c r="C71" s="188">
        <f>'Inputs-Imperial'!$E$10+('Inputs-Imperial'!$E$9-'Inputs-Imperial'!$E$10)*(100-A71)/100</f>
        <v>2.0242782799999999</v>
      </c>
      <c r="D71" s="187">
        <f t="shared" si="248"/>
        <v>9.8425199999999879E-2</v>
      </c>
      <c r="E71" s="188">
        <f t="shared" si="249"/>
        <v>0.19972437056440775</v>
      </c>
      <c r="F71" s="423">
        <f>Loads!P31</f>
        <v>104.2847713600455</v>
      </c>
      <c r="G71" s="423">
        <f>Loads!M31</f>
        <v>1042.8477136004542</v>
      </c>
      <c r="H71" s="423">
        <f>Loads!N31</f>
        <v>4045.696728933975</v>
      </c>
      <c r="I71" s="423">
        <f>Loads!V31</f>
        <v>-950.99534625548131</v>
      </c>
      <c r="J71" s="423">
        <f>Loads!Q31</f>
        <v>404.56967289339758</v>
      </c>
      <c r="K71" s="2">
        <v>11</v>
      </c>
      <c r="L71" s="12">
        <f t="shared" si="41"/>
        <v>12.9921264</v>
      </c>
      <c r="M71" s="11">
        <f t="shared" si="42"/>
        <v>24.291339359999998</v>
      </c>
      <c r="N71" s="11">
        <f t="shared" si="43"/>
        <v>1.1811023999999986</v>
      </c>
      <c r="O71" s="152">
        <f t="shared" si="44"/>
        <v>28.760309361274718</v>
      </c>
      <c r="P71" s="151">
        <f t="shared" si="45"/>
        <v>104.2847713600455</v>
      </c>
      <c r="Q71" s="12">
        <f t="shared" si="46"/>
        <v>1042.8477136004542</v>
      </c>
      <c r="R71" s="12">
        <f t="shared" si="47"/>
        <v>48548.360747207698</v>
      </c>
      <c r="S71" s="12">
        <f t="shared" si="48"/>
        <v>-11411.944155065776</v>
      </c>
      <c r="T71" s="152">
        <f t="shared" si="49"/>
        <v>4854.8360747207707</v>
      </c>
      <c r="U71" s="8">
        <f t="shared" si="0"/>
        <v>4.3724410847999993</v>
      </c>
      <c r="V71" s="8">
        <f t="shared" si="1"/>
        <v>4.3724410847999993</v>
      </c>
      <c r="W71" s="134">
        <f t="shared" si="2"/>
        <v>2.1862205423999996</v>
      </c>
      <c r="X71" s="311">
        <f t="shared" si="3"/>
        <v>6.0728348399999996</v>
      </c>
      <c r="Y71" s="11">
        <f t="shared" si="4"/>
        <v>18.21850452</v>
      </c>
      <c r="Z71" s="11">
        <f t="shared" si="5"/>
        <v>12.145669680000001</v>
      </c>
      <c r="AA71" s="316">
        <f t="shared" si="50"/>
        <v>18.21850452</v>
      </c>
      <c r="AB71" s="170">
        <f t="shared" si="51"/>
        <v>3.2793308135999997</v>
      </c>
      <c r="AC71" s="11">
        <f t="shared" si="52"/>
        <v>18.21850452</v>
      </c>
      <c r="AD71" s="152">
        <f t="shared" si="53"/>
        <v>46.923223125758227</v>
      </c>
      <c r="AE71" s="151">
        <f t="shared" si="6"/>
        <v>5.7241126046083117</v>
      </c>
      <c r="AF71" s="12">
        <f t="shared" si="54"/>
        <v>121.60230473171883</v>
      </c>
      <c r="AG71" s="216">
        <f t="shared" si="7"/>
        <v>8.3418966978709968E-3</v>
      </c>
      <c r="AH71" s="2">
        <f t="shared" si="55"/>
        <v>2</v>
      </c>
      <c r="AI71" s="2">
        <f t="shared" si="56"/>
        <v>3</v>
      </c>
      <c r="AJ71" s="127">
        <f t="shared" si="57"/>
        <v>2</v>
      </c>
      <c r="AK71" s="2">
        <f t="shared" si="58"/>
        <v>1.5748031496062995E-2</v>
      </c>
      <c r="AL71" s="8">
        <f t="shared" si="8"/>
        <v>8.77883157078332E-2</v>
      </c>
      <c r="AM71" s="138">
        <f t="shared" si="59"/>
        <v>0.25</v>
      </c>
      <c r="AN71" s="12">
        <f t="shared" si="9"/>
        <v>7276.704750771094</v>
      </c>
      <c r="AO71" s="138">
        <f t="shared" si="60"/>
        <v>0.25</v>
      </c>
      <c r="AP71" s="116">
        <f t="shared" si="61"/>
        <v>2175570</v>
      </c>
      <c r="AQ71" s="2">
        <f t="shared" si="62"/>
        <v>1.5748031496062995E-2</v>
      </c>
      <c r="AR71" s="8">
        <f t="shared" si="63"/>
        <v>12.145669680000001</v>
      </c>
      <c r="AS71" s="116">
        <f t="shared" si="64"/>
        <v>2610.6840000000002</v>
      </c>
      <c r="AT71" s="217">
        <f t="shared" si="65"/>
        <v>0.10975185157422532</v>
      </c>
      <c r="AU71" s="207">
        <f t="shared" si="66"/>
        <v>3.7977783163547452</v>
      </c>
      <c r="AV71" s="144">
        <f t="shared" si="67"/>
        <v>8637.329989092088</v>
      </c>
      <c r="AW71" s="138">
        <f t="shared" si="68"/>
        <v>0.25</v>
      </c>
      <c r="AX71" s="116">
        <f t="shared" si="69"/>
        <v>2175570</v>
      </c>
      <c r="AY71" s="2">
        <f t="shared" si="70"/>
        <v>1.5748031496062995E-2</v>
      </c>
      <c r="AZ71" s="8">
        <f t="shared" si="71"/>
        <v>12.145669680000001</v>
      </c>
      <c r="BA71" s="116">
        <f t="shared" si="72"/>
        <v>2610.6840000000002</v>
      </c>
      <c r="BB71" s="217">
        <f t="shared" si="73"/>
        <v>0.10975185157422532</v>
      </c>
      <c r="BC71" s="207">
        <f t="shared" si="74"/>
        <v>3.7977783163547452</v>
      </c>
      <c r="BD71" s="144">
        <f t="shared" si="75"/>
        <v>8637.329989092088</v>
      </c>
      <c r="BE71" s="138">
        <f t="shared" si="76"/>
        <v>0.25</v>
      </c>
      <c r="BF71" s="116">
        <f t="shared" si="77"/>
        <v>2175570</v>
      </c>
      <c r="BG71" s="2">
        <f t="shared" si="78"/>
        <v>1.5748031496062995E-2</v>
      </c>
      <c r="BH71" s="8">
        <f t="shared" si="79"/>
        <v>12.145669680000001</v>
      </c>
      <c r="BI71" s="116">
        <f t="shared" si="80"/>
        <v>2610.6840000000002</v>
      </c>
      <c r="BJ71" s="217">
        <f t="shared" si="81"/>
        <v>0.10975185157422532</v>
      </c>
      <c r="BK71" s="207">
        <f t="shared" si="82"/>
        <v>3.7977783163547452</v>
      </c>
      <c r="BL71" s="144">
        <f t="shared" si="83"/>
        <v>8637.329989092088</v>
      </c>
      <c r="BM71" s="216">
        <f t="shared" si="84"/>
        <v>0.25</v>
      </c>
      <c r="BN71" s="216">
        <f t="shared" si="85"/>
        <v>2.3622047244094495E-2</v>
      </c>
      <c r="BO71" s="238">
        <f t="shared" si="86"/>
        <v>1.5748031496062995E-2</v>
      </c>
      <c r="BP71" s="216">
        <f t="shared" si="87"/>
        <v>0.25</v>
      </c>
      <c r="BQ71" s="138">
        <f t="shared" si="88"/>
        <v>0</v>
      </c>
      <c r="BR71" s="138">
        <f t="shared" si="89"/>
        <v>0</v>
      </c>
      <c r="BS71" s="238">
        <f t="shared" si="90"/>
        <v>0</v>
      </c>
      <c r="BT71" s="138">
        <f t="shared" si="91"/>
        <v>0.25</v>
      </c>
      <c r="BU71" s="138">
        <f t="shared" si="92"/>
        <v>0</v>
      </c>
      <c r="BV71" s="138">
        <f t="shared" si="93"/>
        <v>0</v>
      </c>
      <c r="BW71" s="238">
        <f t="shared" si="94"/>
        <v>0</v>
      </c>
      <c r="BX71" s="216">
        <f t="shared" si="95"/>
        <v>2.3622047244094495E-2</v>
      </c>
      <c r="BY71" s="138">
        <f t="shared" si="96"/>
        <v>0</v>
      </c>
      <c r="BZ71" s="138">
        <f t="shared" si="97"/>
        <v>0</v>
      </c>
      <c r="CA71" s="238">
        <f t="shared" si="98"/>
        <v>0</v>
      </c>
      <c r="CB71" s="138">
        <f t="shared" si="99"/>
        <v>2.3622047244094495E-2</v>
      </c>
      <c r="CC71" s="138">
        <f t="shared" si="100"/>
        <v>0</v>
      </c>
      <c r="CD71" s="138">
        <f t="shared" si="101"/>
        <v>0</v>
      </c>
      <c r="CE71" s="238">
        <f t="shared" si="102"/>
        <v>0</v>
      </c>
      <c r="CF71" s="216">
        <f t="shared" si="103"/>
        <v>1.5748031496062995E-2</v>
      </c>
      <c r="CG71" s="138">
        <f t="shared" si="104"/>
        <v>0</v>
      </c>
      <c r="CH71" s="138">
        <f t="shared" si="105"/>
        <v>0</v>
      </c>
      <c r="CI71" s="238">
        <f t="shared" si="106"/>
        <v>0</v>
      </c>
      <c r="CJ71" s="138">
        <f t="shared" si="107"/>
        <v>1.5748031496062995E-2</v>
      </c>
      <c r="CK71" s="138">
        <f t="shared" si="108"/>
        <v>0</v>
      </c>
      <c r="CL71" s="138">
        <f t="shared" si="109"/>
        <v>0</v>
      </c>
      <c r="CM71" s="238">
        <f t="shared" si="110"/>
        <v>0</v>
      </c>
      <c r="CN71" s="17">
        <f t="shared" si="111"/>
        <v>0.25</v>
      </c>
      <c r="CO71" s="17">
        <f t="shared" si="112"/>
        <v>2.3622047244094495E-2</v>
      </c>
      <c r="CP71" s="17">
        <f t="shared" si="113"/>
        <v>1.5748031496062995E-2</v>
      </c>
      <c r="CQ71" s="17">
        <f>$U71-IF('Inputs-Imperial'!$E$13,0,2)*($CO71+$CN71+$CP71)</f>
        <v>4.3724410847999993</v>
      </c>
      <c r="CR71" s="116">
        <f t="shared" si="114"/>
        <v>11103.26241238042</v>
      </c>
      <c r="CS71" s="8">
        <f t="shared" si="10"/>
        <v>0.28707810398948258</v>
      </c>
      <c r="CT71" s="8">
        <f t="shared" si="115"/>
        <v>0.53579670024131598</v>
      </c>
      <c r="CU71" s="8">
        <f t="shared" si="11"/>
        <v>0.28707810398948258</v>
      </c>
      <c r="CV71" s="8">
        <f t="shared" si="116"/>
        <v>0.53579670024131598</v>
      </c>
      <c r="CW71" s="216">
        <f t="shared" si="117"/>
        <v>3.8366443845586837</v>
      </c>
      <c r="CX71" s="116">
        <f t="shared" si="118"/>
        <v>12653.859957049955</v>
      </c>
      <c r="CY71" s="8">
        <f t="shared" si="119"/>
        <v>0.32716925798023505</v>
      </c>
      <c r="CZ71" s="8">
        <f t="shared" si="120"/>
        <v>0.57198711347392706</v>
      </c>
      <c r="DA71" s="8">
        <f t="shared" si="121"/>
        <v>0.32716925798023505</v>
      </c>
      <c r="DB71" s="8">
        <f t="shared" si="122"/>
        <v>0.57198711347392706</v>
      </c>
      <c r="DC71" s="216">
        <f t="shared" si="123"/>
        <v>3.8004539713260721</v>
      </c>
      <c r="DD71" s="116">
        <f t="shared" si="124"/>
        <v>12774.358303902303</v>
      </c>
      <c r="DE71" s="8">
        <f t="shared" si="125"/>
        <v>0.33028477805563805</v>
      </c>
      <c r="DF71" s="8">
        <f t="shared" si="126"/>
        <v>0.57470407868366313</v>
      </c>
      <c r="DG71" s="8">
        <f t="shared" si="127"/>
        <v>0.33028477805563805</v>
      </c>
      <c r="DH71" s="8">
        <f t="shared" si="128"/>
        <v>0.57470407868366313</v>
      </c>
      <c r="DI71" s="216">
        <f t="shared" si="129"/>
        <v>3.7977370061163365</v>
      </c>
      <c r="DJ71" s="116">
        <f t="shared" si="130"/>
        <v>12783.497295631458</v>
      </c>
      <c r="DK71" s="8">
        <f t="shared" si="131"/>
        <v>0.33052106936539366</v>
      </c>
      <c r="DL71" s="8">
        <f t="shared" si="132"/>
        <v>0.57490961843179633</v>
      </c>
      <c r="DM71" s="8">
        <f t="shared" si="133"/>
        <v>0.33052106936539366</v>
      </c>
      <c r="DN71" s="8">
        <f t="shared" si="134"/>
        <v>0.57490961843179633</v>
      </c>
      <c r="DO71" s="216">
        <f t="shared" si="135"/>
        <v>3.7975314663682029</v>
      </c>
      <c r="DP71" s="116">
        <f t="shared" si="136"/>
        <v>12784.189196893549</v>
      </c>
      <c r="DQ71" s="170">
        <f t="shared" si="137"/>
        <v>0.33053895867531824</v>
      </c>
      <c r="DR71" s="8">
        <f t="shared" si="138"/>
        <v>0.57492517658850029</v>
      </c>
      <c r="DS71" s="8">
        <f t="shared" si="139"/>
        <v>0.33053895867531824</v>
      </c>
      <c r="DT71" s="134">
        <f t="shared" si="140"/>
        <v>0.57492517658850029</v>
      </c>
      <c r="DU71" s="170">
        <f t="shared" ref="DU71:DX79" si="250">MAX(DQ$70:DQ$79)</f>
        <v>0.33770780740629297</v>
      </c>
      <c r="DV71" s="170">
        <f t="shared" si="250"/>
        <v>0.58112632654724306</v>
      </c>
      <c r="DW71" s="170">
        <f t="shared" si="250"/>
        <v>0.33770780740629297</v>
      </c>
      <c r="DX71" s="272">
        <f t="shared" si="250"/>
        <v>0.58112632654724306</v>
      </c>
      <c r="DY71" s="272">
        <f t="shared" si="142"/>
        <v>3.2101884317055136</v>
      </c>
      <c r="DZ71" s="22">
        <f t="shared" si="12"/>
        <v>238.50469185867951</v>
      </c>
      <c r="EA71" s="216">
        <f t="shared" si="13"/>
        <v>1.5625834316748785E-2</v>
      </c>
      <c r="EB71" s="12">
        <f t="shared" si="143"/>
        <v>2</v>
      </c>
      <c r="EC71" s="7">
        <f>ROUND(MAX(DV71,DX71)/'Inputs-Imperial'!$E$21,0)</f>
        <v>5</v>
      </c>
      <c r="ED71" s="12">
        <f t="shared" si="144"/>
        <v>5</v>
      </c>
      <c r="EE71" s="2">
        <f t="shared" si="145"/>
        <v>3</v>
      </c>
      <c r="EF71" s="127">
        <f t="shared" si="146"/>
        <v>3</v>
      </c>
      <c r="EG71" s="2">
        <f t="shared" si="147"/>
        <v>2.3622047244094495E-2</v>
      </c>
      <c r="EH71" s="8">
        <f t="shared" si="14"/>
        <v>0.16444289900486733</v>
      </c>
      <c r="EI71" s="138">
        <f t="shared" si="148"/>
        <v>0.25</v>
      </c>
      <c r="EJ71" s="12">
        <f t="shared" si="15"/>
        <v>9087.0287598156865</v>
      </c>
      <c r="EK71" s="138">
        <f t="shared" si="149"/>
        <v>0.25</v>
      </c>
      <c r="EL71" s="116">
        <f t="shared" si="150"/>
        <v>2175570</v>
      </c>
      <c r="EM71" s="2">
        <f t="shared" si="16"/>
        <v>2.3622047244094495E-2</v>
      </c>
      <c r="EN71" s="8">
        <f t="shared" si="151"/>
        <v>4.3724410847999993</v>
      </c>
      <c r="EO71" s="116">
        <f t="shared" si="152"/>
        <v>2610.6840000000002</v>
      </c>
      <c r="EP71" s="217">
        <f t="shared" si="153"/>
        <v>1.2702760598868676</v>
      </c>
      <c r="EQ71" s="207">
        <f t="shared" si="154"/>
        <v>2</v>
      </c>
      <c r="ER71" s="144">
        <f t="shared" si="155"/>
        <v>35097.395992622522</v>
      </c>
      <c r="ES71" s="138">
        <f t="shared" si="17"/>
        <v>0.25</v>
      </c>
      <c r="ET71" s="116">
        <f t="shared" si="156"/>
        <v>2175570</v>
      </c>
      <c r="EU71" s="2">
        <f t="shared" si="18"/>
        <v>2.3622047244094495E-2</v>
      </c>
      <c r="EV71" s="8">
        <f t="shared" si="157"/>
        <v>4.3724410847999993</v>
      </c>
      <c r="EW71" s="116">
        <f t="shared" si="158"/>
        <v>2610.6840000000002</v>
      </c>
      <c r="EX71" s="217">
        <f t="shared" si="159"/>
        <v>1.2702760598868676</v>
      </c>
      <c r="EY71" s="207">
        <f t="shared" si="160"/>
        <v>2</v>
      </c>
      <c r="EZ71" s="144">
        <f t="shared" si="161"/>
        <v>35097.395992622522</v>
      </c>
      <c r="FA71" s="138">
        <f t="shared" si="19"/>
        <v>0.25</v>
      </c>
      <c r="FB71" s="116">
        <f t="shared" si="162"/>
        <v>2175570</v>
      </c>
      <c r="FC71" s="2">
        <f t="shared" si="20"/>
        <v>2.3622047244094495E-2</v>
      </c>
      <c r="FD71" s="8">
        <f t="shared" si="163"/>
        <v>4.3724410847999993</v>
      </c>
      <c r="FE71" s="116">
        <f t="shared" si="164"/>
        <v>2610.6840000000002</v>
      </c>
      <c r="FF71" s="217">
        <f t="shared" si="165"/>
        <v>1.2702760598868676</v>
      </c>
      <c r="FG71" s="207">
        <f t="shared" si="166"/>
        <v>2</v>
      </c>
      <c r="FH71" s="144">
        <f t="shared" si="167"/>
        <v>35097.395992622522</v>
      </c>
      <c r="FI71" s="128">
        <f t="shared" si="168"/>
        <v>0.25</v>
      </c>
      <c r="FJ71" s="2">
        <f t="shared" si="169"/>
        <v>2.3622047244094495E-2</v>
      </c>
      <c r="FK71" s="127">
        <f t="shared" si="170"/>
        <v>2.3622047244094495E-2</v>
      </c>
      <c r="FL71" s="216">
        <f t="shared" si="171"/>
        <v>0.25</v>
      </c>
      <c r="FM71" s="138">
        <f t="shared" si="172"/>
        <v>0</v>
      </c>
      <c r="FN71" s="138">
        <f t="shared" si="173"/>
        <v>0</v>
      </c>
      <c r="FO71" s="238">
        <f t="shared" si="174"/>
        <v>0</v>
      </c>
      <c r="FP71" s="216">
        <f t="shared" si="21"/>
        <v>0.25</v>
      </c>
      <c r="FQ71" s="138">
        <f t="shared" si="22"/>
        <v>0</v>
      </c>
      <c r="FR71" s="138">
        <f t="shared" si="23"/>
        <v>0</v>
      </c>
      <c r="FS71" s="238">
        <f t="shared" si="24"/>
        <v>0</v>
      </c>
      <c r="FT71" s="216">
        <f t="shared" si="175"/>
        <v>2.3622047244094495E-2</v>
      </c>
      <c r="FU71" s="138">
        <f t="shared" si="176"/>
        <v>0</v>
      </c>
      <c r="FV71" s="138">
        <f t="shared" si="177"/>
        <v>0</v>
      </c>
      <c r="FW71" s="238">
        <f t="shared" si="178"/>
        <v>0</v>
      </c>
      <c r="FX71" s="216">
        <f t="shared" si="25"/>
        <v>2.3622047244094495E-2</v>
      </c>
      <c r="FY71" s="138">
        <f t="shared" si="26"/>
        <v>0</v>
      </c>
      <c r="FZ71" s="138">
        <f t="shared" si="27"/>
        <v>0</v>
      </c>
      <c r="GA71" s="238">
        <f t="shared" si="28"/>
        <v>0</v>
      </c>
      <c r="GB71" s="216">
        <f t="shared" si="179"/>
        <v>2.3622047244094495E-2</v>
      </c>
      <c r="GC71" s="138">
        <f t="shared" si="180"/>
        <v>0</v>
      </c>
      <c r="GD71" s="138">
        <f t="shared" si="181"/>
        <v>0</v>
      </c>
      <c r="GE71" s="238">
        <f t="shared" si="182"/>
        <v>0</v>
      </c>
      <c r="GF71" s="216">
        <f t="shared" si="29"/>
        <v>2.3622047244094495E-2</v>
      </c>
      <c r="GG71" s="138">
        <f t="shared" si="30"/>
        <v>0</v>
      </c>
      <c r="GH71" s="138">
        <f t="shared" si="31"/>
        <v>0</v>
      </c>
      <c r="GI71" s="238">
        <f t="shared" si="32"/>
        <v>0</v>
      </c>
      <c r="GJ71" s="216">
        <f t="shared" si="183"/>
        <v>0.25</v>
      </c>
      <c r="GK71" s="216">
        <f t="shared" si="184"/>
        <v>2.3622047244094495E-2</v>
      </c>
      <c r="GL71" s="17">
        <f t="shared" si="185"/>
        <v>2.3622047244094495E-2</v>
      </c>
      <c r="GM71" s="216">
        <f t="shared" si="186"/>
        <v>7.9668766742690255E-3</v>
      </c>
      <c r="GN71" s="2">
        <f t="shared" si="187"/>
        <v>2</v>
      </c>
      <c r="GO71" s="2">
        <f t="shared" si="188"/>
        <v>2</v>
      </c>
      <c r="GP71" s="142">
        <f t="shared" si="189"/>
        <v>2</v>
      </c>
      <c r="GQ71" s="2">
        <f t="shared" si="190"/>
        <v>1.5748031496062995E-2</v>
      </c>
      <c r="GR71" s="8">
        <f t="shared" si="33"/>
        <v>8.38416861317164E-2</v>
      </c>
      <c r="GS71" s="138">
        <f t="shared" si="191"/>
        <v>0.25</v>
      </c>
      <c r="GT71" s="12">
        <f t="shared" si="34"/>
        <v>6949.57171541773</v>
      </c>
      <c r="GU71" s="138">
        <f t="shared" si="192"/>
        <v>0.25</v>
      </c>
      <c r="GV71" s="116">
        <f t="shared" si="193"/>
        <v>2175570</v>
      </c>
      <c r="GW71" s="2">
        <f t="shared" si="35"/>
        <v>2.3622047244094495E-2</v>
      </c>
      <c r="GX71" s="8">
        <f t="shared" si="36"/>
        <v>2.1862205423999996</v>
      </c>
      <c r="GY71" s="116">
        <f t="shared" si="194"/>
        <v>2610.6840000000002</v>
      </c>
      <c r="GZ71" s="217">
        <f t="shared" si="195"/>
        <v>5.0811042395474706</v>
      </c>
      <c r="HA71" s="207">
        <f t="shared" si="196"/>
        <v>2</v>
      </c>
      <c r="HB71" s="144">
        <f t="shared" si="197"/>
        <v>140389.58397049009</v>
      </c>
      <c r="HC71" s="138">
        <f t="shared" si="37"/>
        <v>0.25</v>
      </c>
      <c r="HD71" s="116">
        <f t="shared" si="198"/>
        <v>2175570</v>
      </c>
      <c r="HE71" s="2">
        <f t="shared" si="38"/>
        <v>2.3622047244094495E-2</v>
      </c>
      <c r="HF71" s="8">
        <f t="shared" si="199"/>
        <v>2.1862205423999996</v>
      </c>
      <c r="HG71" s="116">
        <f t="shared" si="200"/>
        <v>2610.6840000000002</v>
      </c>
      <c r="HH71" s="217">
        <f t="shared" si="201"/>
        <v>5.0811042395474706</v>
      </c>
      <c r="HI71" s="207">
        <f t="shared" si="202"/>
        <v>2</v>
      </c>
      <c r="HJ71" s="144">
        <f t="shared" si="203"/>
        <v>140389.58397049009</v>
      </c>
      <c r="HK71" s="138">
        <f t="shared" si="39"/>
        <v>0.25</v>
      </c>
      <c r="HL71" s="116">
        <f t="shared" si="204"/>
        <v>2175570</v>
      </c>
      <c r="HM71" s="2">
        <f t="shared" si="40"/>
        <v>2.3622047244094495E-2</v>
      </c>
      <c r="HN71" s="8">
        <f t="shared" si="205"/>
        <v>2.1862205423999996</v>
      </c>
      <c r="HO71" s="116">
        <f t="shared" si="206"/>
        <v>2610.6840000000002</v>
      </c>
      <c r="HP71" s="217">
        <f t="shared" si="207"/>
        <v>5.0811042395474706</v>
      </c>
      <c r="HQ71" s="207">
        <f t="shared" si="208"/>
        <v>2</v>
      </c>
      <c r="HR71" s="144">
        <f t="shared" si="209"/>
        <v>140389.58397049009</v>
      </c>
      <c r="HS71" s="128">
        <f t="shared" si="210"/>
        <v>0.25</v>
      </c>
      <c r="HT71" s="2">
        <f t="shared" si="211"/>
        <v>1.5748031496062995E-2</v>
      </c>
      <c r="HU71" s="127">
        <f t="shared" si="212"/>
        <v>1.5748031496062995E-2</v>
      </c>
      <c r="HV71" s="216">
        <f t="shared" si="213"/>
        <v>0.25</v>
      </c>
      <c r="HW71" s="138">
        <f t="shared" si="214"/>
        <v>0</v>
      </c>
      <c r="HX71" s="138">
        <f t="shared" si="215"/>
        <v>0</v>
      </c>
      <c r="HY71" s="238">
        <f t="shared" si="216"/>
        <v>0</v>
      </c>
      <c r="HZ71" s="138">
        <f t="shared" si="217"/>
        <v>0.25</v>
      </c>
      <c r="IA71" s="138">
        <f t="shared" si="218"/>
        <v>0</v>
      </c>
      <c r="IB71" s="138">
        <f t="shared" si="219"/>
        <v>0</v>
      </c>
      <c r="IC71" s="138">
        <f t="shared" si="220"/>
        <v>0</v>
      </c>
      <c r="ID71" s="216">
        <f t="shared" si="221"/>
        <v>1.5748031496062995E-2</v>
      </c>
      <c r="IE71" s="138">
        <f t="shared" si="222"/>
        <v>0</v>
      </c>
      <c r="IF71" s="138">
        <f t="shared" si="223"/>
        <v>0</v>
      </c>
      <c r="IG71" s="238">
        <f t="shared" si="224"/>
        <v>0</v>
      </c>
      <c r="IH71" s="138">
        <f t="shared" si="225"/>
        <v>1.5748031496062995E-2</v>
      </c>
      <c r="II71" s="138">
        <f t="shared" si="226"/>
        <v>0</v>
      </c>
      <c r="IJ71" s="138">
        <f t="shared" si="227"/>
        <v>0</v>
      </c>
      <c r="IK71" s="138">
        <f t="shared" si="228"/>
        <v>0</v>
      </c>
      <c r="IL71" s="216">
        <f t="shared" si="229"/>
        <v>1.5748031496062995E-2</v>
      </c>
      <c r="IM71" s="138">
        <f t="shared" si="230"/>
        <v>0</v>
      </c>
      <c r="IN71" s="138">
        <f t="shared" si="231"/>
        <v>0</v>
      </c>
      <c r="IO71" s="238">
        <f t="shared" si="232"/>
        <v>0</v>
      </c>
      <c r="IP71" s="138">
        <f t="shared" si="233"/>
        <v>1.5748031496062995E-2</v>
      </c>
      <c r="IQ71" s="138">
        <f t="shared" si="234"/>
        <v>0</v>
      </c>
      <c r="IR71" s="138">
        <f t="shared" si="235"/>
        <v>0</v>
      </c>
      <c r="IS71" s="138">
        <f t="shared" si="236"/>
        <v>0</v>
      </c>
      <c r="IT71" s="17">
        <f t="shared" si="237"/>
        <v>0.25</v>
      </c>
      <c r="IU71" s="17">
        <f t="shared" si="238"/>
        <v>1.5748031496062995E-2</v>
      </c>
      <c r="IV71" s="17">
        <f t="shared" si="239"/>
        <v>1.5748031496062995E-2</v>
      </c>
      <c r="IW71" s="253">
        <f t="shared" si="240"/>
        <v>12.145669680000001</v>
      </c>
      <c r="IX71" s="116">
        <f t="shared" si="241"/>
        <v>399.71744684569506</v>
      </c>
      <c r="IY71" s="8">
        <f t="shared" si="242"/>
        <v>1.033481174362137E-2</v>
      </c>
      <c r="IZ71" s="8">
        <f t="shared" si="243"/>
        <v>1.033481174362137E-2</v>
      </c>
      <c r="JA71" s="8">
        <f t="shared" si="244"/>
        <v>5.1674058718106852E-3</v>
      </c>
      <c r="JB71" s="134">
        <f t="shared" si="245"/>
        <v>7.188467063157962E-2</v>
      </c>
      <c r="JC71" s="170">
        <f t="shared" ref="JC71:JC79" si="251">MAX(JA$70:JA$79)</f>
        <v>5.2747672707505648E-3</v>
      </c>
      <c r="JD71" s="272">
        <f t="shared" ref="JD71:JD79" si="252">MAX(JB$70:JB$79)</f>
        <v>7.2627593039770802E-2</v>
      </c>
      <c r="JE71" s="8"/>
      <c r="JF71" s="8"/>
    </row>
    <row r="72" spans="1:266" x14ac:dyDescent="0.25">
      <c r="A72" s="186">
        <v>12</v>
      </c>
      <c r="B72" s="187">
        <f>A72/100*'Inputs-Imperial'!$E$5</f>
        <v>1.1811024000000001</v>
      </c>
      <c r="C72" s="188">
        <f>'Inputs-Imperial'!$E$10+('Inputs-Imperial'!$E$9-'Inputs-Imperial'!$E$10)*(100-A72)/100</f>
        <v>2.01443576</v>
      </c>
      <c r="D72" s="187">
        <f t="shared" si="248"/>
        <v>9.8425200000000101E-2</v>
      </c>
      <c r="E72" s="188">
        <f t="shared" si="249"/>
        <v>0.19875561856490423</v>
      </c>
      <c r="F72" s="423">
        <f>Loads!P32</f>
        <v>102.77199069554824</v>
      </c>
      <c r="G72" s="423">
        <f>Loads!M32</f>
        <v>1027.7199069554815</v>
      </c>
      <c r="H72" s="423">
        <f>Loads!N32</f>
        <v>3943.0542341533073</v>
      </c>
      <c r="I72" s="423">
        <f>Loads!V32</f>
        <v>-933.98870521348647</v>
      </c>
      <c r="J72" s="423">
        <f>Loads!Q32</f>
        <v>394.30542341533084</v>
      </c>
      <c r="K72" s="2">
        <v>12</v>
      </c>
      <c r="L72" s="12">
        <f t="shared" si="41"/>
        <v>14.1732288</v>
      </c>
      <c r="M72" s="11">
        <f t="shared" si="42"/>
        <v>24.173229120000002</v>
      </c>
      <c r="N72" s="11">
        <f t="shared" si="43"/>
        <v>1.1811024000000012</v>
      </c>
      <c r="O72" s="152">
        <f t="shared" si="44"/>
        <v>28.620809073346209</v>
      </c>
      <c r="P72" s="151">
        <f t="shared" si="45"/>
        <v>102.77199069554824</v>
      </c>
      <c r="Q72" s="12">
        <f t="shared" si="46"/>
        <v>1027.7199069554815</v>
      </c>
      <c r="R72" s="12">
        <f t="shared" si="47"/>
        <v>47316.650809839688</v>
      </c>
      <c r="S72" s="12">
        <f t="shared" si="48"/>
        <v>-11207.864462561838</v>
      </c>
      <c r="T72" s="152">
        <f t="shared" si="49"/>
        <v>4731.6650809839703</v>
      </c>
      <c r="U72" s="8">
        <f t="shared" si="0"/>
        <v>4.3511812416</v>
      </c>
      <c r="V72" s="8">
        <f t="shared" si="1"/>
        <v>4.3511812416</v>
      </c>
      <c r="W72" s="134">
        <f t="shared" si="2"/>
        <v>2.1755906208</v>
      </c>
      <c r="X72" s="311">
        <f t="shared" si="3"/>
        <v>6.0433072800000005</v>
      </c>
      <c r="Y72" s="11">
        <f t="shared" si="4"/>
        <v>18.129921840000002</v>
      </c>
      <c r="Z72" s="11">
        <f t="shared" si="5"/>
        <v>12.086614560000001</v>
      </c>
      <c r="AA72" s="316">
        <f t="shared" si="50"/>
        <v>18.129921840000002</v>
      </c>
      <c r="AB72" s="170">
        <f t="shared" si="51"/>
        <v>3.2633859312000002</v>
      </c>
      <c r="AC72" s="11">
        <f t="shared" si="52"/>
        <v>18.129921840000002</v>
      </c>
      <c r="AD72" s="152">
        <f t="shared" si="53"/>
        <v>46.468028825414855</v>
      </c>
      <c r="AE72" s="151">
        <f t="shared" si="6"/>
        <v>5.6686394791180321</v>
      </c>
      <c r="AF72" s="12">
        <f t="shared" si="54"/>
        <v>120.59758877088302</v>
      </c>
      <c r="AG72" s="216">
        <f t="shared" si="7"/>
        <v>8.2724375233857728E-3</v>
      </c>
      <c r="AH72" s="2">
        <f t="shared" si="55"/>
        <v>2</v>
      </c>
      <c r="AI72" s="2">
        <f t="shared" si="56"/>
        <v>3</v>
      </c>
      <c r="AJ72" s="127">
        <f t="shared" si="57"/>
        <v>2</v>
      </c>
      <c r="AK72" s="2">
        <f t="shared" si="58"/>
        <v>1.5748031496062995E-2</v>
      </c>
      <c r="AL72" s="8">
        <f t="shared" si="8"/>
        <v>8.705734238613401E-2</v>
      </c>
      <c r="AM72" s="138">
        <f t="shared" si="59"/>
        <v>0.25</v>
      </c>
      <c r="AN72" s="12">
        <f t="shared" si="9"/>
        <v>7216.1149444875591</v>
      </c>
      <c r="AO72" s="138">
        <f t="shared" si="60"/>
        <v>0.25</v>
      </c>
      <c r="AP72" s="116">
        <f t="shared" si="61"/>
        <v>2175570</v>
      </c>
      <c r="AQ72" s="2">
        <f t="shared" si="62"/>
        <v>1.5748031496062995E-2</v>
      </c>
      <c r="AR72" s="8">
        <f t="shared" si="63"/>
        <v>12.086614560000001</v>
      </c>
      <c r="AS72" s="116">
        <f t="shared" si="64"/>
        <v>2610.6840000000002</v>
      </c>
      <c r="AT72" s="217">
        <f t="shared" si="65"/>
        <v>0.1108269653363438</v>
      </c>
      <c r="AU72" s="207">
        <f t="shared" si="66"/>
        <v>3.7871624142935674</v>
      </c>
      <c r="AV72" s="144">
        <f t="shared" si="67"/>
        <v>8697.5596880803023</v>
      </c>
      <c r="AW72" s="138">
        <f t="shared" si="68"/>
        <v>0.25</v>
      </c>
      <c r="AX72" s="116">
        <f t="shared" si="69"/>
        <v>2175570</v>
      </c>
      <c r="AY72" s="2">
        <f t="shared" si="70"/>
        <v>1.5748031496062995E-2</v>
      </c>
      <c r="AZ72" s="8">
        <f t="shared" si="71"/>
        <v>12.086614560000001</v>
      </c>
      <c r="BA72" s="116">
        <f t="shared" si="72"/>
        <v>2610.6840000000002</v>
      </c>
      <c r="BB72" s="217">
        <f t="shared" si="73"/>
        <v>0.1108269653363438</v>
      </c>
      <c r="BC72" s="207">
        <f t="shared" si="74"/>
        <v>3.7871624142935674</v>
      </c>
      <c r="BD72" s="144">
        <f t="shared" si="75"/>
        <v>8697.5596880803023</v>
      </c>
      <c r="BE72" s="138">
        <f t="shared" si="76"/>
        <v>0.25</v>
      </c>
      <c r="BF72" s="116">
        <f t="shared" si="77"/>
        <v>2175570</v>
      </c>
      <c r="BG72" s="2">
        <f t="shared" si="78"/>
        <v>1.5748031496062995E-2</v>
      </c>
      <c r="BH72" s="8">
        <f t="shared" si="79"/>
        <v>12.086614560000001</v>
      </c>
      <c r="BI72" s="116">
        <f t="shared" si="80"/>
        <v>2610.6840000000002</v>
      </c>
      <c r="BJ72" s="217">
        <f t="shared" si="81"/>
        <v>0.1108269653363438</v>
      </c>
      <c r="BK72" s="207">
        <f t="shared" si="82"/>
        <v>3.7871624142935674</v>
      </c>
      <c r="BL72" s="144">
        <f t="shared" si="83"/>
        <v>8697.5596880803023</v>
      </c>
      <c r="BM72" s="216">
        <f t="shared" si="84"/>
        <v>0.25</v>
      </c>
      <c r="BN72" s="216">
        <f t="shared" si="85"/>
        <v>2.3622047244094495E-2</v>
      </c>
      <c r="BO72" s="238">
        <f t="shared" si="86"/>
        <v>1.5748031496062995E-2</v>
      </c>
      <c r="BP72" s="216">
        <f t="shared" si="87"/>
        <v>0.25</v>
      </c>
      <c r="BQ72" s="138">
        <f t="shared" si="88"/>
        <v>0</v>
      </c>
      <c r="BR72" s="138">
        <f t="shared" si="89"/>
        <v>0</v>
      </c>
      <c r="BS72" s="238">
        <f t="shared" si="90"/>
        <v>0</v>
      </c>
      <c r="BT72" s="138">
        <f t="shared" si="91"/>
        <v>0.25</v>
      </c>
      <c r="BU72" s="138">
        <f t="shared" si="92"/>
        <v>0</v>
      </c>
      <c r="BV72" s="138">
        <f t="shared" si="93"/>
        <v>0</v>
      </c>
      <c r="BW72" s="238">
        <f t="shared" si="94"/>
        <v>0</v>
      </c>
      <c r="BX72" s="216">
        <f t="shared" si="95"/>
        <v>2.3622047244094495E-2</v>
      </c>
      <c r="BY72" s="138">
        <f t="shared" si="96"/>
        <v>0</v>
      </c>
      <c r="BZ72" s="138">
        <f t="shared" si="97"/>
        <v>0</v>
      </c>
      <c r="CA72" s="238">
        <f t="shared" si="98"/>
        <v>0</v>
      </c>
      <c r="CB72" s="138">
        <f t="shared" si="99"/>
        <v>2.3622047244094495E-2</v>
      </c>
      <c r="CC72" s="138">
        <f t="shared" si="100"/>
        <v>0</v>
      </c>
      <c r="CD72" s="138">
        <f t="shared" si="101"/>
        <v>0</v>
      </c>
      <c r="CE72" s="238">
        <f t="shared" si="102"/>
        <v>0</v>
      </c>
      <c r="CF72" s="216">
        <f t="shared" si="103"/>
        <v>1.5748031496062995E-2</v>
      </c>
      <c r="CG72" s="138">
        <f t="shared" si="104"/>
        <v>0</v>
      </c>
      <c r="CH72" s="138">
        <f t="shared" si="105"/>
        <v>0</v>
      </c>
      <c r="CI72" s="238">
        <f t="shared" si="106"/>
        <v>0</v>
      </c>
      <c r="CJ72" s="138">
        <f t="shared" si="107"/>
        <v>1.5748031496062995E-2</v>
      </c>
      <c r="CK72" s="138">
        <f t="shared" si="108"/>
        <v>0</v>
      </c>
      <c r="CL72" s="138">
        <f t="shared" si="109"/>
        <v>0</v>
      </c>
      <c r="CM72" s="238">
        <f t="shared" si="110"/>
        <v>0</v>
      </c>
      <c r="CN72" s="17">
        <f t="shared" si="111"/>
        <v>0.25</v>
      </c>
      <c r="CO72" s="17">
        <f t="shared" si="112"/>
        <v>2.3622047244094495E-2</v>
      </c>
      <c r="CP72" s="17">
        <f t="shared" si="113"/>
        <v>1.5748031496062995E-2</v>
      </c>
      <c r="CQ72" s="17">
        <f>$U72-IF('Inputs-Imperial'!$E$13,0,2)*($CO72+$CN72+$CP72)</f>
        <v>4.3511812416</v>
      </c>
      <c r="CR72" s="116">
        <f t="shared" si="114"/>
        <v>10874.438039368039</v>
      </c>
      <c r="CS72" s="8">
        <f t="shared" si="10"/>
        <v>0.28116178275782994</v>
      </c>
      <c r="CT72" s="8">
        <f t="shared" si="115"/>
        <v>0.53024690735338564</v>
      </c>
      <c r="CU72" s="8">
        <f t="shared" si="11"/>
        <v>0.28116178275782994</v>
      </c>
      <c r="CV72" s="8">
        <f t="shared" si="116"/>
        <v>0.53024690735338564</v>
      </c>
      <c r="CW72" s="216">
        <f t="shared" si="117"/>
        <v>3.8209343342466147</v>
      </c>
      <c r="CX72" s="116">
        <f t="shared" si="118"/>
        <v>12383.528914837856</v>
      </c>
      <c r="CY72" s="8">
        <f t="shared" si="119"/>
        <v>0.32017976965100153</v>
      </c>
      <c r="CZ72" s="8">
        <f t="shared" si="120"/>
        <v>0.56584429806352343</v>
      </c>
      <c r="DA72" s="8">
        <f t="shared" si="121"/>
        <v>0.32017976965100153</v>
      </c>
      <c r="DB72" s="8">
        <f t="shared" si="122"/>
        <v>0.56584429806352343</v>
      </c>
      <c r="DC72" s="216">
        <f t="shared" si="123"/>
        <v>3.785336943536477</v>
      </c>
      <c r="DD72" s="116">
        <f t="shared" si="124"/>
        <v>12499.98388931628</v>
      </c>
      <c r="DE72" s="8">
        <f t="shared" si="125"/>
        <v>0.32319074714858204</v>
      </c>
      <c r="DF72" s="8">
        <f t="shared" si="126"/>
        <v>0.56849867822940625</v>
      </c>
      <c r="DG72" s="8">
        <f t="shared" si="127"/>
        <v>0.32319074714858204</v>
      </c>
      <c r="DH72" s="8">
        <f t="shared" si="128"/>
        <v>0.56849867822940625</v>
      </c>
      <c r="DI72" s="216">
        <f t="shared" si="129"/>
        <v>3.7826825633705936</v>
      </c>
      <c r="DJ72" s="116">
        <f t="shared" si="130"/>
        <v>12508.755365313487</v>
      </c>
      <c r="DK72" s="8">
        <f t="shared" si="131"/>
        <v>0.32341753623137093</v>
      </c>
      <c r="DL72" s="8">
        <f t="shared" si="132"/>
        <v>0.56869810640740748</v>
      </c>
      <c r="DM72" s="8">
        <f t="shared" si="133"/>
        <v>0.32341753623137093</v>
      </c>
      <c r="DN72" s="8">
        <f t="shared" si="134"/>
        <v>0.56869810640740748</v>
      </c>
      <c r="DO72" s="216">
        <f t="shared" si="135"/>
        <v>3.7824831351925927</v>
      </c>
      <c r="DP72" s="116">
        <f t="shared" si="136"/>
        <v>12509.414878707837</v>
      </c>
      <c r="DQ72" s="170">
        <f t="shared" si="137"/>
        <v>0.3234345881434823</v>
      </c>
      <c r="DR72" s="8">
        <f t="shared" si="138"/>
        <v>0.56871309826966554</v>
      </c>
      <c r="DS72" s="8">
        <f t="shared" si="139"/>
        <v>0.3234345881434823</v>
      </c>
      <c r="DT72" s="134">
        <f t="shared" si="140"/>
        <v>0.56871309826966554</v>
      </c>
      <c r="DU72" s="170">
        <f t="shared" si="250"/>
        <v>0.33770780740629297</v>
      </c>
      <c r="DV72" s="170">
        <f t="shared" si="250"/>
        <v>0.58112632654724306</v>
      </c>
      <c r="DW72" s="170">
        <f t="shared" si="250"/>
        <v>0.33770780740629297</v>
      </c>
      <c r="DX72" s="272">
        <f t="shared" si="250"/>
        <v>0.58112632654724306</v>
      </c>
      <c r="DY72" s="272">
        <f t="shared" si="142"/>
        <v>3.1889285885055143</v>
      </c>
      <c r="DZ72" s="22">
        <f t="shared" si="12"/>
        <v>236.19331162991782</v>
      </c>
      <c r="EA72" s="216">
        <f t="shared" si="13"/>
        <v>1.5474402308362807E-2</v>
      </c>
      <c r="EB72" s="12">
        <f t="shared" si="143"/>
        <v>2</v>
      </c>
      <c r="EC72" s="7">
        <f>ROUND(MAX(DV72,DX72)/'Inputs-Imperial'!$E$21,0)</f>
        <v>5</v>
      </c>
      <c r="ED72" s="12">
        <f t="shared" si="144"/>
        <v>5</v>
      </c>
      <c r="EE72" s="2">
        <f t="shared" si="145"/>
        <v>3</v>
      </c>
      <c r="EF72" s="127">
        <f t="shared" si="146"/>
        <v>3</v>
      </c>
      <c r="EG72" s="2">
        <f t="shared" si="147"/>
        <v>2.3622047244094495E-2</v>
      </c>
      <c r="EH72" s="8">
        <f t="shared" si="14"/>
        <v>0.16284926131766694</v>
      </c>
      <c r="EI72" s="138">
        <f t="shared" si="148"/>
        <v>0.25</v>
      </c>
      <c r="EJ72" s="12">
        <f t="shared" si="15"/>
        <v>8998.9651730998667</v>
      </c>
      <c r="EK72" s="138">
        <f t="shared" si="149"/>
        <v>0.25</v>
      </c>
      <c r="EL72" s="116">
        <f t="shared" si="150"/>
        <v>2175570</v>
      </c>
      <c r="EM72" s="2">
        <f t="shared" si="16"/>
        <v>2.3622047244094495E-2</v>
      </c>
      <c r="EN72" s="8">
        <f t="shared" si="151"/>
        <v>4.3511812416</v>
      </c>
      <c r="EO72" s="116">
        <f t="shared" si="152"/>
        <v>2610.6840000000002</v>
      </c>
      <c r="EP72" s="217">
        <f t="shared" si="153"/>
        <v>1.2827195062076828</v>
      </c>
      <c r="EQ72" s="207">
        <f t="shared" si="154"/>
        <v>2</v>
      </c>
      <c r="ER72" s="144">
        <f t="shared" si="155"/>
        <v>35441.205166727152</v>
      </c>
      <c r="ES72" s="138">
        <f t="shared" si="17"/>
        <v>0.25</v>
      </c>
      <c r="ET72" s="116">
        <f t="shared" si="156"/>
        <v>2175570</v>
      </c>
      <c r="EU72" s="2">
        <f t="shared" si="18"/>
        <v>2.3622047244094495E-2</v>
      </c>
      <c r="EV72" s="8">
        <f t="shared" si="157"/>
        <v>4.3511812416</v>
      </c>
      <c r="EW72" s="116">
        <f t="shared" si="158"/>
        <v>2610.6840000000002</v>
      </c>
      <c r="EX72" s="217">
        <f t="shared" si="159"/>
        <v>1.2827195062076828</v>
      </c>
      <c r="EY72" s="207">
        <f t="shared" si="160"/>
        <v>2</v>
      </c>
      <c r="EZ72" s="144">
        <f t="shared" si="161"/>
        <v>35441.205166727152</v>
      </c>
      <c r="FA72" s="138">
        <f t="shared" si="19"/>
        <v>0.25</v>
      </c>
      <c r="FB72" s="116">
        <f t="shared" si="162"/>
        <v>2175570</v>
      </c>
      <c r="FC72" s="2">
        <f t="shared" si="20"/>
        <v>2.3622047244094495E-2</v>
      </c>
      <c r="FD72" s="8">
        <f t="shared" si="163"/>
        <v>4.3511812416</v>
      </c>
      <c r="FE72" s="116">
        <f t="shared" si="164"/>
        <v>2610.6840000000002</v>
      </c>
      <c r="FF72" s="217">
        <f t="shared" si="165"/>
        <v>1.2827195062076828</v>
      </c>
      <c r="FG72" s="207">
        <f t="shared" si="166"/>
        <v>2</v>
      </c>
      <c r="FH72" s="144">
        <f t="shared" si="167"/>
        <v>35441.205166727152</v>
      </c>
      <c r="FI72" s="128">
        <f t="shared" si="168"/>
        <v>0.25</v>
      </c>
      <c r="FJ72" s="2">
        <f t="shared" si="169"/>
        <v>2.3622047244094495E-2</v>
      </c>
      <c r="FK72" s="127">
        <f t="shared" si="170"/>
        <v>2.3622047244094495E-2</v>
      </c>
      <c r="FL72" s="216">
        <f t="shared" si="171"/>
        <v>0.25</v>
      </c>
      <c r="FM72" s="138">
        <f t="shared" si="172"/>
        <v>0</v>
      </c>
      <c r="FN72" s="138">
        <f t="shared" si="173"/>
        <v>0</v>
      </c>
      <c r="FO72" s="238">
        <f t="shared" si="174"/>
        <v>0</v>
      </c>
      <c r="FP72" s="216">
        <f t="shared" si="21"/>
        <v>0.25</v>
      </c>
      <c r="FQ72" s="138">
        <f t="shared" si="22"/>
        <v>0</v>
      </c>
      <c r="FR72" s="138">
        <f t="shared" si="23"/>
        <v>0</v>
      </c>
      <c r="FS72" s="238">
        <f t="shared" si="24"/>
        <v>0</v>
      </c>
      <c r="FT72" s="216">
        <f t="shared" si="175"/>
        <v>2.3622047244094495E-2</v>
      </c>
      <c r="FU72" s="138">
        <f t="shared" si="176"/>
        <v>0</v>
      </c>
      <c r="FV72" s="138">
        <f t="shared" si="177"/>
        <v>0</v>
      </c>
      <c r="FW72" s="238">
        <f t="shared" si="178"/>
        <v>0</v>
      </c>
      <c r="FX72" s="216">
        <f t="shared" si="25"/>
        <v>2.3622047244094495E-2</v>
      </c>
      <c r="FY72" s="138">
        <f t="shared" si="26"/>
        <v>0</v>
      </c>
      <c r="FZ72" s="138">
        <f t="shared" si="27"/>
        <v>0</v>
      </c>
      <c r="GA72" s="238">
        <f t="shared" si="28"/>
        <v>0</v>
      </c>
      <c r="GB72" s="216">
        <f t="shared" si="179"/>
        <v>2.3622047244094495E-2</v>
      </c>
      <c r="GC72" s="138">
        <f t="shared" si="180"/>
        <v>0</v>
      </c>
      <c r="GD72" s="138">
        <f t="shared" si="181"/>
        <v>0</v>
      </c>
      <c r="GE72" s="238">
        <f t="shared" si="182"/>
        <v>0</v>
      </c>
      <c r="GF72" s="216">
        <f t="shared" si="29"/>
        <v>2.3622047244094495E-2</v>
      </c>
      <c r="GG72" s="138">
        <f t="shared" si="30"/>
        <v>0</v>
      </c>
      <c r="GH72" s="138">
        <f t="shared" si="31"/>
        <v>0</v>
      </c>
      <c r="GI72" s="238">
        <f t="shared" si="32"/>
        <v>0</v>
      </c>
      <c r="GJ72" s="216">
        <f t="shared" si="183"/>
        <v>0.25</v>
      </c>
      <c r="GK72" s="216">
        <f t="shared" si="184"/>
        <v>2.3622047244094495E-2</v>
      </c>
      <c r="GL72" s="17">
        <f t="shared" si="185"/>
        <v>2.3622047244094495E-2</v>
      </c>
      <c r="GM72" s="216">
        <f t="shared" si="186"/>
        <v>7.901051867985065E-3</v>
      </c>
      <c r="GN72" s="2">
        <f t="shared" si="187"/>
        <v>2</v>
      </c>
      <c r="GO72" s="2">
        <f t="shared" si="188"/>
        <v>2</v>
      </c>
      <c r="GP72" s="142">
        <f t="shared" si="189"/>
        <v>2</v>
      </c>
      <c r="GQ72" s="2">
        <f t="shared" si="190"/>
        <v>1.5748031496062995E-2</v>
      </c>
      <c r="GR72" s="8">
        <f t="shared" si="33"/>
        <v>8.3148960114510007E-2</v>
      </c>
      <c r="GS72" s="138">
        <f t="shared" si="191"/>
        <v>0.25</v>
      </c>
      <c r="GT72" s="12">
        <f t="shared" si="34"/>
        <v>6892.1521982559634</v>
      </c>
      <c r="GU72" s="138">
        <f t="shared" si="192"/>
        <v>0.25</v>
      </c>
      <c r="GV72" s="116">
        <f t="shared" si="193"/>
        <v>2175570</v>
      </c>
      <c r="GW72" s="2">
        <f t="shared" si="35"/>
        <v>2.3622047244094495E-2</v>
      </c>
      <c r="GX72" s="8">
        <f t="shared" si="36"/>
        <v>2.1755906208</v>
      </c>
      <c r="GY72" s="116">
        <f t="shared" si="194"/>
        <v>2610.6840000000002</v>
      </c>
      <c r="GZ72" s="217">
        <f t="shared" si="195"/>
        <v>5.1308780248307313</v>
      </c>
      <c r="HA72" s="207">
        <f t="shared" si="196"/>
        <v>2</v>
      </c>
      <c r="HB72" s="144">
        <f t="shared" si="197"/>
        <v>141764.82066690861</v>
      </c>
      <c r="HC72" s="138">
        <f t="shared" si="37"/>
        <v>0.25</v>
      </c>
      <c r="HD72" s="116">
        <f t="shared" si="198"/>
        <v>2175570</v>
      </c>
      <c r="HE72" s="2">
        <f t="shared" si="38"/>
        <v>2.3622047244094495E-2</v>
      </c>
      <c r="HF72" s="8">
        <f t="shared" si="199"/>
        <v>2.1755906208</v>
      </c>
      <c r="HG72" s="116">
        <f t="shared" si="200"/>
        <v>2610.6840000000002</v>
      </c>
      <c r="HH72" s="217">
        <f t="shared" si="201"/>
        <v>5.1308780248307313</v>
      </c>
      <c r="HI72" s="207">
        <f t="shared" si="202"/>
        <v>2</v>
      </c>
      <c r="HJ72" s="144">
        <f t="shared" si="203"/>
        <v>141764.82066690861</v>
      </c>
      <c r="HK72" s="138">
        <f t="shared" si="39"/>
        <v>0.25</v>
      </c>
      <c r="HL72" s="116">
        <f t="shared" si="204"/>
        <v>2175570</v>
      </c>
      <c r="HM72" s="2">
        <f t="shared" si="40"/>
        <v>2.3622047244094495E-2</v>
      </c>
      <c r="HN72" s="8">
        <f t="shared" si="205"/>
        <v>2.1755906208</v>
      </c>
      <c r="HO72" s="116">
        <f t="shared" si="206"/>
        <v>2610.6840000000002</v>
      </c>
      <c r="HP72" s="217">
        <f t="shared" si="207"/>
        <v>5.1308780248307313</v>
      </c>
      <c r="HQ72" s="207">
        <f t="shared" si="208"/>
        <v>2</v>
      </c>
      <c r="HR72" s="144">
        <f t="shared" si="209"/>
        <v>141764.82066690861</v>
      </c>
      <c r="HS72" s="128">
        <f t="shared" si="210"/>
        <v>0.25</v>
      </c>
      <c r="HT72" s="2">
        <f t="shared" si="211"/>
        <v>1.5748031496062995E-2</v>
      </c>
      <c r="HU72" s="127">
        <f t="shared" si="212"/>
        <v>1.5748031496062995E-2</v>
      </c>
      <c r="HV72" s="216">
        <f t="shared" si="213"/>
        <v>0.25</v>
      </c>
      <c r="HW72" s="138">
        <f t="shared" si="214"/>
        <v>0</v>
      </c>
      <c r="HX72" s="138">
        <f t="shared" si="215"/>
        <v>0</v>
      </c>
      <c r="HY72" s="238">
        <f t="shared" si="216"/>
        <v>0</v>
      </c>
      <c r="HZ72" s="138">
        <f t="shared" si="217"/>
        <v>0.25</v>
      </c>
      <c r="IA72" s="138">
        <f t="shared" si="218"/>
        <v>0</v>
      </c>
      <c r="IB72" s="138">
        <f t="shared" si="219"/>
        <v>0</v>
      </c>
      <c r="IC72" s="138">
        <f t="shared" si="220"/>
        <v>0</v>
      </c>
      <c r="ID72" s="216">
        <f t="shared" si="221"/>
        <v>1.5748031496062995E-2</v>
      </c>
      <c r="IE72" s="138">
        <f t="shared" si="222"/>
        <v>0</v>
      </c>
      <c r="IF72" s="138">
        <f t="shared" si="223"/>
        <v>0</v>
      </c>
      <c r="IG72" s="238">
        <f t="shared" si="224"/>
        <v>0</v>
      </c>
      <c r="IH72" s="138">
        <f t="shared" si="225"/>
        <v>1.5748031496062995E-2</v>
      </c>
      <c r="II72" s="138">
        <f t="shared" si="226"/>
        <v>0</v>
      </c>
      <c r="IJ72" s="138">
        <f t="shared" si="227"/>
        <v>0</v>
      </c>
      <c r="IK72" s="138">
        <f t="shared" si="228"/>
        <v>0</v>
      </c>
      <c r="IL72" s="216">
        <f t="shared" si="229"/>
        <v>1.5748031496062995E-2</v>
      </c>
      <c r="IM72" s="138">
        <f t="shared" si="230"/>
        <v>0</v>
      </c>
      <c r="IN72" s="138">
        <f t="shared" si="231"/>
        <v>0</v>
      </c>
      <c r="IO72" s="238">
        <f t="shared" si="232"/>
        <v>0</v>
      </c>
      <c r="IP72" s="138">
        <f t="shared" si="233"/>
        <v>1.5748031496062995E-2</v>
      </c>
      <c r="IQ72" s="138">
        <f t="shared" si="234"/>
        <v>0</v>
      </c>
      <c r="IR72" s="138">
        <f t="shared" si="235"/>
        <v>0</v>
      </c>
      <c r="IS72" s="138">
        <f t="shared" si="236"/>
        <v>0</v>
      </c>
      <c r="IT72" s="17">
        <f t="shared" si="237"/>
        <v>0.25</v>
      </c>
      <c r="IU72" s="17">
        <f t="shared" si="238"/>
        <v>1.5748031496062995E-2</v>
      </c>
      <c r="IV72" s="17">
        <f t="shared" si="239"/>
        <v>1.5748031496062995E-2</v>
      </c>
      <c r="IW72" s="253">
        <f t="shared" si="240"/>
        <v>12.086614560000001</v>
      </c>
      <c r="IX72" s="116">
        <f t="shared" si="241"/>
        <v>391.47976941724943</v>
      </c>
      <c r="IY72" s="8">
        <f t="shared" si="242"/>
        <v>1.0121824179281879E-2</v>
      </c>
      <c r="IZ72" s="8">
        <f t="shared" si="243"/>
        <v>1.0121824179281879E-2</v>
      </c>
      <c r="JA72" s="8">
        <f t="shared" si="244"/>
        <v>5.0609120896409395E-3</v>
      </c>
      <c r="JB72" s="134">
        <f t="shared" si="245"/>
        <v>7.1140087782072203E-2</v>
      </c>
      <c r="JC72" s="170">
        <f t="shared" si="251"/>
        <v>5.2747672707505648E-3</v>
      </c>
      <c r="JD72" s="272">
        <f t="shared" si="252"/>
        <v>7.2627593039770802E-2</v>
      </c>
      <c r="JE72" s="8"/>
      <c r="JF72" s="8"/>
    </row>
    <row r="73" spans="1:266" x14ac:dyDescent="0.25">
      <c r="A73" s="186">
        <v>13</v>
      </c>
      <c r="B73" s="187">
        <f>A73/100*'Inputs-Imperial'!$E$5</f>
        <v>1.2795276</v>
      </c>
      <c r="C73" s="188">
        <f>'Inputs-Imperial'!$E$10+('Inputs-Imperial'!$E$9-'Inputs-Imperial'!$E$10)*(100-A73)/100</f>
        <v>2.0045932400000002</v>
      </c>
      <c r="D73" s="187">
        <f t="shared" si="248"/>
        <v>9.8425199999999879E-2</v>
      </c>
      <c r="E73" s="188">
        <f t="shared" si="249"/>
        <v>0.19778686656539973</v>
      </c>
      <c r="F73" s="423">
        <f>Loads!P33</f>
        <v>101.26377974651177</v>
      </c>
      <c r="G73" s="423">
        <f>Loads!M33</f>
        <v>1012.6377974651168</v>
      </c>
      <c r="H73" s="423">
        <f>Loads!N33</f>
        <v>3841.9006967672326</v>
      </c>
      <c r="I73" s="423">
        <f>Loads!V33</f>
        <v>-917.08517371937899</v>
      </c>
      <c r="J73" s="423">
        <f>Loads!Q33</f>
        <v>384.1900696767234</v>
      </c>
      <c r="K73" s="2">
        <v>13</v>
      </c>
      <c r="L73" s="12">
        <f t="shared" si="41"/>
        <v>15.354331200000001</v>
      </c>
      <c r="M73" s="11">
        <f t="shared" si="42"/>
        <v>24.055118880000002</v>
      </c>
      <c r="N73" s="11">
        <f t="shared" si="43"/>
        <v>1.1811023999999986</v>
      </c>
      <c r="O73" s="152">
        <f t="shared" si="44"/>
        <v>28.481308785417564</v>
      </c>
      <c r="P73" s="151">
        <f t="shared" si="45"/>
        <v>101.26377974651177</v>
      </c>
      <c r="Q73" s="12">
        <f t="shared" si="46"/>
        <v>1012.6377974651168</v>
      </c>
      <c r="R73" s="12">
        <f t="shared" si="47"/>
        <v>46102.808361206793</v>
      </c>
      <c r="S73" s="12">
        <f t="shared" si="48"/>
        <v>-11005.022084632548</v>
      </c>
      <c r="T73" s="152">
        <f t="shared" si="49"/>
        <v>4610.2808361206808</v>
      </c>
      <c r="U73" s="8">
        <f t="shared" si="0"/>
        <v>4.3299213983999998</v>
      </c>
      <c r="V73" s="8">
        <f t="shared" si="1"/>
        <v>4.3299213983999998</v>
      </c>
      <c r="W73" s="134">
        <f t="shared" si="2"/>
        <v>2.1649606991999999</v>
      </c>
      <c r="X73" s="311">
        <f t="shared" si="3"/>
        <v>6.0137797200000005</v>
      </c>
      <c r="Y73" s="11">
        <f t="shared" si="4"/>
        <v>18.04133916</v>
      </c>
      <c r="Z73" s="11">
        <f t="shared" si="5"/>
        <v>12.027559439999999</v>
      </c>
      <c r="AA73" s="316">
        <f t="shared" si="50"/>
        <v>18.04133916</v>
      </c>
      <c r="AB73" s="170">
        <f t="shared" si="51"/>
        <v>3.2474410487999998</v>
      </c>
      <c r="AC73" s="11">
        <f t="shared" si="52"/>
        <v>18.04133916</v>
      </c>
      <c r="AD73" s="152">
        <f t="shared" si="53"/>
        <v>46.015053181287591</v>
      </c>
      <c r="AE73" s="151">
        <f t="shared" si="6"/>
        <v>5.6128749007183885</v>
      </c>
      <c r="AF73" s="12">
        <f t="shared" si="54"/>
        <v>119.58067332091917</v>
      </c>
      <c r="AG73" s="216">
        <f t="shared" si="7"/>
        <v>8.202159994388461E-3</v>
      </c>
      <c r="AH73" s="2">
        <f t="shared" si="55"/>
        <v>2</v>
      </c>
      <c r="AI73" s="2">
        <f t="shared" si="56"/>
        <v>3</v>
      </c>
      <c r="AJ73" s="127">
        <f t="shared" si="57"/>
        <v>2</v>
      </c>
      <c r="AK73" s="2">
        <f t="shared" si="58"/>
        <v>1.5748031496062995E-2</v>
      </c>
      <c r="AL73" s="8">
        <f t="shared" si="8"/>
        <v>8.631775687863702E-2</v>
      </c>
      <c r="AM73" s="138">
        <f t="shared" si="59"/>
        <v>0.25</v>
      </c>
      <c r="AN73" s="12">
        <f t="shared" si="9"/>
        <v>7154.8112808665865</v>
      </c>
      <c r="AO73" s="138">
        <f t="shared" si="60"/>
        <v>0.25</v>
      </c>
      <c r="AP73" s="116">
        <f t="shared" si="61"/>
        <v>2175570</v>
      </c>
      <c r="AQ73" s="2">
        <f t="shared" si="62"/>
        <v>1.5748031496062995E-2</v>
      </c>
      <c r="AR73" s="8">
        <f t="shared" si="63"/>
        <v>12.027559439999999</v>
      </c>
      <c r="AS73" s="116">
        <f t="shared" si="64"/>
        <v>2610.6840000000002</v>
      </c>
      <c r="AT73" s="217">
        <f t="shared" si="65"/>
        <v>0.11191795431797374</v>
      </c>
      <c r="AU73" s="207">
        <f t="shared" si="66"/>
        <v>3.7764573663335854</v>
      </c>
      <c r="AV73" s="144">
        <f t="shared" si="67"/>
        <v>8758.3519950062982</v>
      </c>
      <c r="AW73" s="138">
        <f t="shared" si="68"/>
        <v>0.25</v>
      </c>
      <c r="AX73" s="116">
        <f t="shared" si="69"/>
        <v>2175570</v>
      </c>
      <c r="AY73" s="2">
        <f t="shared" si="70"/>
        <v>1.5748031496062995E-2</v>
      </c>
      <c r="AZ73" s="8">
        <f t="shared" si="71"/>
        <v>12.027559439999999</v>
      </c>
      <c r="BA73" s="116">
        <f t="shared" si="72"/>
        <v>2610.6840000000002</v>
      </c>
      <c r="BB73" s="217">
        <f t="shared" si="73"/>
        <v>0.11191795431797374</v>
      </c>
      <c r="BC73" s="207">
        <f t="shared" si="74"/>
        <v>3.7764573663335854</v>
      </c>
      <c r="BD73" s="144">
        <f t="shared" si="75"/>
        <v>8758.3519950062982</v>
      </c>
      <c r="BE73" s="138">
        <f t="shared" si="76"/>
        <v>0.25</v>
      </c>
      <c r="BF73" s="116">
        <f t="shared" si="77"/>
        <v>2175570</v>
      </c>
      <c r="BG73" s="2">
        <f t="shared" si="78"/>
        <v>1.5748031496062995E-2</v>
      </c>
      <c r="BH73" s="8">
        <f t="shared" si="79"/>
        <v>12.027559439999999</v>
      </c>
      <c r="BI73" s="116">
        <f t="shared" si="80"/>
        <v>2610.6840000000002</v>
      </c>
      <c r="BJ73" s="217">
        <f t="shared" si="81"/>
        <v>0.11191795431797374</v>
      </c>
      <c r="BK73" s="207">
        <f t="shared" si="82"/>
        <v>3.7764573663335854</v>
      </c>
      <c r="BL73" s="144">
        <f t="shared" si="83"/>
        <v>8758.3519950062982</v>
      </c>
      <c r="BM73" s="216">
        <f t="shared" si="84"/>
        <v>0.25</v>
      </c>
      <c r="BN73" s="216">
        <f t="shared" si="85"/>
        <v>2.3622047244094495E-2</v>
      </c>
      <c r="BO73" s="238">
        <f t="shared" si="86"/>
        <v>1.5748031496062995E-2</v>
      </c>
      <c r="BP73" s="216">
        <f t="shared" si="87"/>
        <v>0.25</v>
      </c>
      <c r="BQ73" s="138">
        <f t="shared" si="88"/>
        <v>0</v>
      </c>
      <c r="BR73" s="138">
        <f t="shared" si="89"/>
        <v>0</v>
      </c>
      <c r="BS73" s="238">
        <f t="shared" si="90"/>
        <v>0</v>
      </c>
      <c r="BT73" s="138">
        <f t="shared" si="91"/>
        <v>0.25</v>
      </c>
      <c r="BU73" s="138">
        <f t="shared" si="92"/>
        <v>0</v>
      </c>
      <c r="BV73" s="138">
        <f t="shared" si="93"/>
        <v>0</v>
      </c>
      <c r="BW73" s="238">
        <f t="shared" si="94"/>
        <v>0</v>
      </c>
      <c r="BX73" s="216">
        <f t="shared" si="95"/>
        <v>2.3622047244094495E-2</v>
      </c>
      <c r="BY73" s="138">
        <f t="shared" si="96"/>
        <v>0</v>
      </c>
      <c r="BZ73" s="138">
        <f t="shared" si="97"/>
        <v>0</v>
      </c>
      <c r="CA73" s="238">
        <f t="shared" si="98"/>
        <v>0</v>
      </c>
      <c r="CB73" s="138">
        <f t="shared" si="99"/>
        <v>2.3622047244094495E-2</v>
      </c>
      <c r="CC73" s="138">
        <f t="shared" si="100"/>
        <v>0</v>
      </c>
      <c r="CD73" s="138">
        <f t="shared" si="101"/>
        <v>0</v>
      </c>
      <c r="CE73" s="238">
        <f t="shared" si="102"/>
        <v>0</v>
      </c>
      <c r="CF73" s="216">
        <f t="shared" si="103"/>
        <v>1.5748031496062995E-2</v>
      </c>
      <c r="CG73" s="138">
        <f t="shared" si="104"/>
        <v>0</v>
      </c>
      <c r="CH73" s="138">
        <f t="shared" si="105"/>
        <v>0</v>
      </c>
      <c r="CI73" s="238">
        <f t="shared" si="106"/>
        <v>0</v>
      </c>
      <c r="CJ73" s="138">
        <f t="shared" si="107"/>
        <v>1.5748031496062995E-2</v>
      </c>
      <c r="CK73" s="138">
        <f t="shared" si="108"/>
        <v>0</v>
      </c>
      <c r="CL73" s="138">
        <f t="shared" si="109"/>
        <v>0</v>
      </c>
      <c r="CM73" s="238">
        <f t="shared" si="110"/>
        <v>0</v>
      </c>
      <c r="CN73" s="17">
        <f t="shared" si="111"/>
        <v>0.25</v>
      </c>
      <c r="CO73" s="17">
        <f t="shared" si="112"/>
        <v>2.3622047244094495E-2</v>
      </c>
      <c r="CP73" s="17">
        <f t="shared" si="113"/>
        <v>1.5748031496062995E-2</v>
      </c>
      <c r="CQ73" s="17">
        <f>$U73-IF('Inputs-Imperial'!$E$13,0,2)*($CO73+$CN73+$CP73)</f>
        <v>4.3299213983999998</v>
      </c>
      <c r="CR73" s="116">
        <f t="shared" si="114"/>
        <v>10647.493134227052</v>
      </c>
      <c r="CS73" s="8">
        <f t="shared" si="10"/>
        <v>0.27529405571885601</v>
      </c>
      <c r="CT73" s="8">
        <f t="shared" si="115"/>
        <v>0.52468472030244606</v>
      </c>
      <c r="CU73" s="8">
        <f t="shared" si="11"/>
        <v>0.27529405571885601</v>
      </c>
      <c r="CV73" s="8">
        <f t="shared" si="116"/>
        <v>0.52468472030244606</v>
      </c>
      <c r="CW73" s="216">
        <f t="shared" si="117"/>
        <v>3.8052366780975539</v>
      </c>
      <c r="CX73" s="116">
        <f t="shared" si="118"/>
        <v>12115.621776319078</v>
      </c>
      <c r="CY73" s="8">
        <f t="shared" si="119"/>
        <v>0.31325295206219433</v>
      </c>
      <c r="CZ73" s="8">
        <f t="shared" si="120"/>
        <v>0.55969004999391792</v>
      </c>
      <c r="DA73" s="8">
        <f t="shared" si="121"/>
        <v>0.31325295206219433</v>
      </c>
      <c r="DB73" s="8">
        <f t="shared" si="122"/>
        <v>0.55969004999391792</v>
      </c>
      <c r="DC73" s="216">
        <f t="shared" si="123"/>
        <v>3.7702313484060817</v>
      </c>
      <c r="DD73" s="116">
        <f t="shared" si="124"/>
        <v>12228.111248583566</v>
      </c>
      <c r="DE73" s="8">
        <f t="shared" si="125"/>
        <v>0.3161614003377623</v>
      </c>
      <c r="DF73" s="8">
        <f t="shared" si="126"/>
        <v>0.56228231373373494</v>
      </c>
      <c r="DG73" s="8">
        <f t="shared" si="127"/>
        <v>0.3161614003377623</v>
      </c>
      <c r="DH73" s="8">
        <f t="shared" si="128"/>
        <v>0.56228231373373494</v>
      </c>
      <c r="DI73" s="216">
        <f t="shared" si="129"/>
        <v>3.7676390846662646</v>
      </c>
      <c r="DJ73" s="116">
        <f t="shared" si="130"/>
        <v>12236.524604715569</v>
      </c>
      <c r="DK73" s="8">
        <f t="shared" si="131"/>
        <v>0.31637893012647295</v>
      </c>
      <c r="DL73" s="8">
        <f t="shared" si="132"/>
        <v>0.56247571514374994</v>
      </c>
      <c r="DM73" s="8">
        <f t="shared" si="133"/>
        <v>0.31637893012647295</v>
      </c>
      <c r="DN73" s="8">
        <f t="shared" si="134"/>
        <v>0.56247571514374994</v>
      </c>
      <c r="DO73" s="216">
        <f t="shared" si="135"/>
        <v>3.7674456832562502</v>
      </c>
      <c r="DP73" s="116">
        <f t="shared" si="136"/>
        <v>12237.152765361056</v>
      </c>
      <c r="DQ73" s="170">
        <f t="shared" si="137"/>
        <v>0.31639517140407308</v>
      </c>
      <c r="DR73" s="8">
        <f t="shared" si="138"/>
        <v>0.56249015227297361</v>
      </c>
      <c r="DS73" s="8">
        <f t="shared" si="139"/>
        <v>0.31639517140407308</v>
      </c>
      <c r="DT73" s="134">
        <f t="shared" si="140"/>
        <v>0.56249015227297361</v>
      </c>
      <c r="DU73" s="170">
        <f t="shared" si="250"/>
        <v>0.33770780740629297</v>
      </c>
      <c r="DV73" s="170">
        <f t="shared" si="250"/>
        <v>0.58112632654724306</v>
      </c>
      <c r="DW73" s="170">
        <f t="shared" si="250"/>
        <v>0.33770780740629297</v>
      </c>
      <c r="DX73" s="272">
        <f t="shared" si="250"/>
        <v>0.58112632654724306</v>
      </c>
      <c r="DY73" s="272">
        <f t="shared" si="142"/>
        <v>3.1676687453055141</v>
      </c>
      <c r="DZ73" s="22">
        <f t="shared" si="12"/>
        <v>233.86978752993267</v>
      </c>
      <c r="EA73" s="216">
        <f t="shared" si="13"/>
        <v>1.5322174684099325E-2</v>
      </c>
      <c r="EB73" s="12">
        <f t="shared" si="143"/>
        <v>2</v>
      </c>
      <c r="EC73" s="7">
        <f>ROUND(MAX(DV73,DX73)/'Inputs-Imperial'!$E$21,0)</f>
        <v>5</v>
      </c>
      <c r="ED73" s="12">
        <f t="shared" si="144"/>
        <v>5</v>
      </c>
      <c r="EE73" s="2">
        <f t="shared" si="145"/>
        <v>3</v>
      </c>
      <c r="EF73" s="127">
        <f t="shared" si="146"/>
        <v>3</v>
      </c>
      <c r="EG73" s="2">
        <f t="shared" si="147"/>
        <v>2.3622047244094495E-2</v>
      </c>
      <c r="EH73" s="8">
        <f t="shared" si="14"/>
        <v>0.16124725074113863</v>
      </c>
      <c r="EI73" s="138">
        <f t="shared" si="148"/>
        <v>0.25</v>
      </c>
      <c r="EJ73" s="12">
        <f t="shared" si="15"/>
        <v>8910.4389048904322</v>
      </c>
      <c r="EK73" s="138">
        <f t="shared" si="149"/>
        <v>0.25</v>
      </c>
      <c r="EL73" s="116">
        <f t="shared" si="150"/>
        <v>2175570</v>
      </c>
      <c r="EM73" s="2">
        <f t="shared" si="16"/>
        <v>2.3622047244094495E-2</v>
      </c>
      <c r="EN73" s="8">
        <f t="shared" si="151"/>
        <v>4.3299213983999998</v>
      </c>
      <c r="EO73" s="116">
        <f t="shared" si="152"/>
        <v>2610.6840000000002</v>
      </c>
      <c r="EP73" s="217">
        <f t="shared" si="153"/>
        <v>1.2953466934950664</v>
      </c>
      <c r="EQ73" s="207">
        <f t="shared" si="154"/>
        <v>2</v>
      </c>
      <c r="ER73" s="144">
        <f t="shared" si="155"/>
        <v>35790.091055781675</v>
      </c>
      <c r="ES73" s="138">
        <f t="shared" si="17"/>
        <v>0.25</v>
      </c>
      <c r="ET73" s="116">
        <f t="shared" si="156"/>
        <v>2175570</v>
      </c>
      <c r="EU73" s="2">
        <f t="shared" si="18"/>
        <v>2.3622047244094495E-2</v>
      </c>
      <c r="EV73" s="8">
        <f t="shared" si="157"/>
        <v>4.3299213983999998</v>
      </c>
      <c r="EW73" s="116">
        <f t="shared" si="158"/>
        <v>2610.6840000000002</v>
      </c>
      <c r="EX73" s="217">
        <f t="shared" si="159"/>
        <v>1.2953466934950664</v>
      </c>
      <c r="EY73" s="207">
        <f t="shared" si="160"/>
        <v>2</v>
      </c>
      <c r="EZ73" s="144">
        <f t="shared" si="161"/>
        <v>35790.091055781675</v>
      </c>
      <c r="FA73" s="138">
        <f t="shared" si="19"/>
        <v>0.25</v>
      </c>
      <c r="FB73" s="116">
        <f t="shared" si="162"/>
        <v>2175570</v>
      </c>
      <c r="FC73" s="2">
        <f t="shared" si="20"/>
        <v>2.3622047244094495E-2</v>
      </c>
      <c r="FD73" s="8">
        <f t="shared" si="163"/>
        <v>4.3299213983999998</v>
      </c>
      <c r="FE73" s="116">
        <f t="shared" si="164"/>
        <v>2610.6840000000002</v>
      </c>
      <c r="FF73" s="217">
        <f t="shared" si="165"/>
        <v>1.2953466934950664</v>
      </c>
      <c r="FG73" s="207">
        <f t="shared" si="166"/>
        <v>2</v>
      </c>
      <c r="FH73" s="144">
        <f t="shared" si="167"/>
        <v>35790.091055781675</v>
      </c>
      <c r="FI73" s="128">
        <f t="shared" si="168"/>
        <v>0.25</v>
      </c>
      <c r="FJ73" s="2">
        <f t="shared" si="169"/>
        <v>2.3622047244094495E-2</v>
      </c>
      <c r="FK73" s="127">
        <f t="shared" si="170"/>
        <v>2.3622047244094495E-2</v>
      </c>
      <c r="FL73" s="216">
        <f t="shared" si="171"/>
        <v>0.25</v>
      </c>
      <c r="FM73" s="138">
        <f t="shared" si="172"/>
        <v>0</v>
      </c>
      <c r="FN73" s="138">
        <f t="shared" si="173"/>
        <v>0</v>
      </c>
      <c r="FO73" s="238">
        <f t="shared" si="174"/>
        <v>0</v>
      </c>
      <c r="FP73" s="216">
        <f t="shared" si="21"/>
        <v>0.25</v>
      </c>
      <c r="FQ73" s="138">
        <f t="shared" si="22"/>
        <v>0</v>
      </c>
      <c r="FR73" s="138">
        <f t="shared" si="23"/>
        <v>0</v>
      </c>
      <c r="FS73" s="238">
        <f t="shared" si="24"/>
        <v>0</v>
      </c>
      <c r="FT73" s="216">
        <f t="shared" si="175"/>
        <v>2.3622047244094495E-2</v>
      </c>
      <c r="FU73" s="138">
        <f t="shared" si="176"/>
        <v>0</v>
      </c>
      <c r="FV73" s="138">
        <f t="shared" si="177"/>
        <v>0</v>
      </c>
      <c r="FW73" s="238">
        <f t="shared" si="178"/>
        <v>0</v>
      </c>
      <c r="FX73" s="216">
        <f t="shared" si="25"/>
        <v>2.3622047244094495E-2</v>
      </c>
      <c r="FY73" s="138">
        <f t="shared" si="26"/>
        <v>0</v>
      </c>
      <c r="FZ73" s="138">
        <f t="shared" si="27"/>
        <v>0</v>
      </c>
      <c r="GA73" s="238">
        <f t="shared" si="28"/>
        <v>0</v>
      </c>
      <c r="GB73" s="216">
        <f t="shared" si="179"/>
        <v>2.3622047244094495E-2</v>
      </c>
      <c r="GC73" s="138">
        <f t="shared" si="180"/>
        <v>0</v>
      </c>
      <c r="GD73" s="138">
        <f t="shared" si="181"/>
        <v>0</v>
      </c>
      <c r="GE73" s="238">
        <f t="shared" si="182"/>
        <v>0</v>
      </c>
      <c r="GF73" s="216">
        <f t="shared" si="29"/>
        <v>2.3622047244094495E-2</v>
      </c>
      <c r="GG73" s="138">
        <f t="shared" si="30"/>
        <v>0</v>
      </c>
      <c r="GH73" s="138">
        <f t="shared" si="31"/>
        <v>0</v>
      </c>
      <c r="GI73" s="238">
        <f t="shared" si="32"/>
        <v>0</v>
      </c>
      <c r="GJ73" s="216">
        <f t="shared" si="183"/>
        <v>0.25</v>
      </c>
      <c r="GK73" s="216">
        <f t="shared" si="184"/>
        <v>2.3622047244094495E-2</v>
      </c>
      <c r="GL73" s="17">
        <f t="shared" si="185"/>
        <v>2.3622047244094495E-2</v>
      </c>
      <c r="GM73" s="216">
        <f t="shared" si="186"/>
        <v>7.8344278019700769E-3</v>
      </c>
      <c r="GN73" s="2">
        <f t="shared" si="187"/>
        <v>1</v>
      </c>
      <c r="GO73" s="2">
        <f t="shared" si="188"/>
        <v>2</v>
      </c>
      <c r="GP73" s="142">
        <f t="shared" si="189"/>
        <v>2</v>
      </c>
      <c r="GQ73" s="2">
        <f t="shared" si="190"/>
        <v>1.5748031496062995E-2</v>
      </c>
      <c r="GR73" s="8">
        <f t="shared" si="33"/>
        <v>8.2447822860849687E-2</v>
      </c>
      <c r="GS73" s="138">
        <f t="shared" si="191"/>
        <v>0.25</v>
      </c>
      <c r="GT73" s="12">
        <f t="shared" si="34"/>
        <v>6834.0354802905294</v>
      </c>
      <c r="GU73" s="138">
        <f t="shared" si="192"/>
        <v>0.25</v>
      </c>
      <c r="GV73" s="116">
        <f t="shared" si="193"/>
        <v>2175570</v>
      </c>
      <c r="GW73" s="2">
        <f t="shared" si="35"/>
        <v>2.3622047244094495E-2</v>
      </c>
      <c r="GX73" s="8">
        <f t="shared" si="36"/>
        <v>2.1649606991999999</v>
      </c>
      <c r="GY73" s="116">
        <f t="shared" si="194"/>
        <v>2610.6840000000002</v>
      </c>
      <c r="GZ73" s="217">
        <f t="shared" si="195"/>
        <v>5.1813867739802655</v>
      </c>
      <c r="HA73" s="207">
        <f t="shared" si="196"/>
        <v>2</v>
      </c>
      <c r="HB73" s="144">
        <f t="shared" si="197"/>
        <v>143160.3642231267</v>
      </c>
      <c r="HC73" s="138">
        <f t="shared" si="37"/>
        <v>0.25</v>
      </c>
      <c r="HD73" s="116">
        <f t="shared" si="198"/>
        <v>2175570</v>
      </c>
      <c r="HE73" s="2">
        <f t="shared" si="38"/>
        <v>2.3622047244094495E-2</v>
      </c>
      <c r="HF73" s="8">
        <f t="shared" si="199"/>
        <v>2.1649606991999999</v>
      </c>
      <c r="HG73" s="116">
        <f t="shared" si="200"/>
        <v>2610.6840000000002</v>
      </c>
      <c r="HH73" s="217">
        <f t="shared" si="201"/>
        <v>5.1813867739802655</v>
      </c>
      <c r="HI73" s="207">
        <f t="shared" si="202"/>
        <v>2</v>
      </c>
      <c r="HJ73" s="144">
        <f t="shared" si="203"/>
        <v>143160.3642231267</v>
      </c>
      <c r="HK73" s="138">
        <f t="shared" si="39"/>
        <v>0.25</v>
      </c>
      <c r="HL73" s="116">
        <f t="shared" si="204"/>
        <v>2175570</v>
      </c>
      <c r="HM73" s="2">
        <f t="shared" si="40"/>
        <v>2.3622047244094495E-2</v>
      </c>
      <c r="HN73" s="8">
        <f t="shared" si="205"/>
        <v>2.1649606991999999</v>
      </c>
      <c r="HO73" s="116">
        <f t="shared" si="206"/>
        <v>2610.6840000000002</v>
      </c>
      <c r="HP73" s="217">
        <f t="shared" si="207"/>
        <v>5.1813867739802655</v>
      </c>
      <c r="HQ73" s="207">
        <f t="shared" si="208"/>
        <v>2</v>
      </c>
      <c r="HR73" s="144">
        <f t="shared" si="209"/>
        <v>143160.3642231267</v>
      </c>
      <c r="HS73" s="128">
        <f t="shared" si="210"/>
        <v>0.25</v>
      </c>
      <c r="HT73" s="2">
        <f t="shared" si="211"/>
        <v>1.5748031496062995E-2</v>
      </c>
      <c r="HU73" s="127">
        <f t="shared" si="212"/>
        <v>1.5748031496062995E-2</v>
      </c>
      <c r="HV73" s="216">
        <f t="shared" si="213"/>
        <v>0.25</v>
      </c>
      <c r="HW73" s="138">
        <f t="shared" si="214"/>
        <v>0</v>
      </c>
      <c r="HX73" s="138">
        <f t="shared" si="215"/>
        <v>0</v>
      </c>
      <c r="HY73" s="238">
        <f t="shared" si="216"/>
        <v>0</v>
      </c>
      <c r="HZ73" s="138">
        <f t="shared" si="217"/>
        <v>0.25</v>
      </c>
      <c r="IA73" s="138">
        <f t="shared" si="218"/>
        <v>0</v>
      </c>
      <c r="IB73" s="138">
        <f t="shared" si="219"/>
        <v>0</v>
      </c>
      <c r="IC73" s="138">
        <f t="shared" si="220"/>
        <v>0</v>
      </c>
      <c r="ID73" s="216">
        <f t="shared" si="221"/>
        <v>1.5748031496062995E-2</v>
      </c>
      <c r="IE73" s="138">
        <f t="shared" si="222"/>
        <v>0</v>
      </c>
      <c r="IF73" s="138">
        <f t="shared" si="223"/>
        <v>0</v>
      </c>
      <c r="IG73" s="238">
        <f t="shared" si="224"/>
        <v>0</v>
      </c>
      <c r="IH73" s="138">
        <f t="shared" si="225"/>
        <v>1.5748031496062995E-2</v>
      </c>
      <c r="II73" s="138">
        <f t="shared" si="226"/>
        <v>0</v>
      </c>
      <c r="IJ73" s="138">
        <f t="shared" si="227"/>
        <v>0</v>
      </c>
      <c r="IK73" s="138">
        <f t="shared" si="228"/>
        <v>0</v>
      </c>
      <c r="IL73" s="216">
        <f t="shared" si="229"/>
        <v>1.5748031496062995E-2</v>
      </c>
      <c r="IM73" s="138">
        <f t="shared" si="230"/>
        <v>0</v>
      </c>
      <c r="IN73" s="138">
        <f t="shared" si="231"/>
        <v>0</v>
      </c>
      <c r="IO73" s="238">
        <f t="shared" si="232"/>
        <v>0</v>
      </c>
      <c r="IP73" s="138">
        <f t="shared" si="233"/>
        <v>1.5748031496062995E-2</v>
      </c>
      <c r="IQ73" s="138">
        <f t="shared" si="234"/>
        <v>0</v>
      </c>
      <c r="IR73" s="138">
        <f t="shared" si="235"/>
        <v>0</v>
      </c>
      <c r="IS73" s="138">
        <f t="shared" si="236"/>
        <v>0</v>
      </c>
      <c r="IT73" s="17">
        <f t="shared" si="237"/>
        <v>0.25</v>
      </c>
      <c r="IU73" s="17">
        <f t="shared" si="238"/>
        <v>1.5748031496062995E-2</v>
      </c>
      <c r="IV73" s="17">
        <f t="shared" si="239"/>
        <v>1.5748031496062995E-2</v>
      </c>
      <c r="IW73" s="253">
        <f t="shared" si="240"/>
        <v>12.027559439999999</v>
      </c>
      <c r="IX73" s="116">
        <f t="shared" si="241"/>
        <v>383.30975283217401</v>
      </c>
      <c r="IY73" s="8">
        <f t="shared" si="242"/>
        <v>9.9105860058788207E-3</v>
      </c>
      <c r="IZ73" s="8">
        <f t="shared" si="243"/>
        <v>9.9105860058788207E-3</v>
      </c>
      <c r="JA73" s="8">
        <f t="shared" si="244"/>
        <v>4.9552930029394104E-3</v>
      </c>
      <c r="JB73" s="134">
        <f t="shared" si="245"/>
        <v>7.0393842081104011E-2</v>
      </c>
      <c r="JC73" s="170">
        <f t="shared" si="251"/>
        <v>5.2747672707505648E-3</v>
      </c>
      <c r="JD73" s="272">
        <f t="shared" si="252"/>
        <v>7.2627593039770802E-2</v>
      </c>
      <c r="JE73" s="8"/>
      <c r="JF73" s="8"/>
    </row>
    <row r="74" spans="1:266" x14ac:dyDescent="0.25">
      <c r="A74" s="186">
        <v>14</v>
      </c>
      <c r="B74" s="187">
        <f>A74/100*'Inputs-Imperial'!$E$5</f>
        <v>1.3779528000000001</v>
      </c>
      <c r="C74" s="188">
        <f>'Inputs-Imperial'!$E$10+('Inputs-Imperial'!$E$9-'Inputs-Imperial'!$E$10)*(100-A74)/100</f>
        <v>1.9947507199999999</v>
      </c>
      <c r="D74" s="187">
        <f t="shared" si="248"/>
        <v>9.8425200000000101E-2</v>
      </c>
      <c r="E74" s="188">
        <f t="shared" si="249"/>
        <v>0.19681811456589621</v>
      </c>
      <c r="F74" s="423">
        <f>Loads!P34</f>
        <v>99.760217538823909</v>
      </c>
      <c r="G74" s="423">
        <f>Loads!M34</f>
        <v>997.60217538823815</v>
      </c>
      <c r="H74" s="423">
        <f>Loads!N34</f>
        <v>3742.231619024169</v>
      </c>
      <c r="I74" s="423">
        <f>Loads!V34</f>
        <v>-900.28620724591212</v>
      </c>
      <c r="J74" s="423">
        <f>Loads!Q34</f>
        <v>374.22316190241702</v>
      </c>
      <c r="K74" s="2">
        <v>14</v>
      </c>
      <c r="L74" s="12">
        <f t="shared" si="41"/>
        <v>16.535433600000001</v>
      </c>
      <c r="M74" s="11">
        <f t="shared" si="42"/>
        <v>23.937008639999998</v>
      </c>
      <c r="N74" s="11">
        <f t="shared" si="43"/>
        <v>1.1811024000000012</v>
      </c>
      <c r="O74" s="152">
        <f t="shared" si="44"/>
        <v>28.341808497489051</v>
      </c>
      <c r="P74" s="151">
        <f t="shared" si="45"/>
        <v>99.760217538823909</v>
      </c>
      <c r="Q74" s="12">
        <f t="shared" si="46"/>
        <v>997.60217538823815</v>
      </c>
      <c r="R74" s="12">
        <f t="shared" si="47"/>
        <v>44906.779428290029</v>
      </c>
      <c r="S74" s="12">
        <f t="shared" si="48"/>
        <v>-10803.434486950946</v>
      </c>
      <c r="T74" s="152">
        <f t="shared" si="49"/>
        <v>4490.6779428290047</v>
      </c>
      <c r="U74" s="8">
        <f t="shared" si="0"/>
        <v>4.3086615551999996</v>
      </c>
      <c r="V74" s="8">
        <f t="shared" si="1"/>
        <v>4.3086615551999996</v>
      </c>
      <c r="W74" s="134">
        <f t="shared" si="2"/>
        <v>2.1543307775999998</v>
      </c>
      <c r="X74" s="311">
        <f t="shared" si="3"/>
        <v>5.9842521599999996</v>
      </c>
      <c r="Y74" s="11">
        <f t="shared" si="4"/>
        <v>17.952756479999998</v>
      </c>
      <c r="Z74" s="11">
        <f t="shared" si="5"/>
        <v>11.968504319999997</v>
      </c>
      <c r="AA74" s="316">
        <f t="shared" si="50"/>
        <v>17.952756479999998</v>
      </c>
      <c r="AB74" s="170">
        <f t="shared" si="51"/>
        <v>3.2314961663999995</v>
      </c>
      <c r="AC74" s="11">
        <f t="shared" si="52"/>
        <v>17.952756479999998</v>
      </c>
      <c r="AD74" s="152">
        <f t="shared" si="53"/>
        <v>45.564296193376457</v>
      </c>
      <c r="AE74" s="151">
        <f t="shared" si="6"/>
        <v>5.5568189570197921</v>
      </c>
      <c r="AF74" s="12">
        <f t="shared" si="54"/>
        <v>118.55153474883925</v>
      </c>
      <c r="AG74" s="216">
        <f t="shared" si="7"/>
        <v>8.1310625682839578E-3</v>
      </c>
      <c r="AH74" s="2">
        <f t="shared" si="55"/>
        <v>2</v>
      </c>
      <c r="AI74" s="2">
        <f t="shared" si="56"/>
        <v>3</v>
      </c>
      <c r="AJ74" s="127">
        <f t="shared" si="57"/>
        <v>2</v>
      </c>
      <c r="AK74" s="2">
        <f t="shared" si="58"/>
        <v>1.5748031496062995E-2</v>
      </c>
      <c r="AL74" s="8">
        <f t="shared" si="8"/>
        <v>8.5569542951405161E-2</v>
      </c>
      <c r="AM74" s="138">
        <f t="shared" si="59"/>
        <v>0.25</v>
      </c>
      <c r="AN74" s="12">
        <f t="shared" si="9"/>
        <v>7092.7924142898428</v>
      </c>
      <c r="AO74" s="138">
        <f t="shared" si="60"/>
        <v>0.25</v>
      </c>
      <c r="AP74" s="116">
        <f t="shared" si="61"/>
        <v>2175570</v>
      </c>
      <c r="AQ74" s="2">
        <f t="shared" si="62"/>
        <v>1.5748031496062995E-2</v>
      </c>
      <c r="AR74" s="8">
        <f t="shared" si="63"/>
        <v>11.968504319999997</v>
      </c>
      <c r="AS74" s="116">
        <f t="shared" si="64"/>
        <v>2610.6840000000002</v>
      </c>
      <c r="AT74" s="217">
        <f t="shared" si="65"/>
        <v>0.113025132617567</v>
      </c>
      <c r="AU74" s="207">
        <f t="shared" si="66"/>
        <v>3.765662686946154</v>
      </c>
      <c r="AV74" s="144">
        <f t="shared" si="67"/>
        <v>8819.7136716718087</v>
      </c>
      <c r="AW74" s="138">
        <f t="shared" si="68"/>
        <v>0.25</v>
      </c>
      <c r="AX74" s="116">
        <f t="shared" si="69"/>
        <v>2175570</v>
      </c>
      <c r="AY74" s="2">
        <f t="shared" si="70"/>
        <v>1.5748031496062995E-2</v>
      </c>
      <c r="AZ74" s="8">
        <f t="shared" si="71"/>
        <v>11.968504319999997</v>
      </c>
      <c r="BA74" s="116">
        <f t="shared" si="72"/>
        <v>2610.6840000000002</v>
      </c>
      <c r="BB74" s="217">
        <f t="shared" si="73"/>
        <v>0.113025132617567</v>
      </c>
      <c r="BC74" s="207">
        <f t="shared" si="74"/>
        <v>3.765662686946154</v>
      </c>
      <c r="BD74" s="144">
        <f t="shared" si="75"/>
        <v>8819.7136716718087</v>
      </c>
      <c r="BE74" s="138">
        <f t="shared" si="76"/>
        <v>0.25</v>
      </c>
      <c r="BF74" s="116">
        <f t="shared" si="77"/>
        <v>2175570</v>
      </c>
      <c r="BG74" s="2">
        <f t="shared" si="78"/>
        <v>1.5748031496062995E-2</v>
      </c>
      <c r="BH74" s="8">
        <f t="shared" si="79"/>
        <v>11.968504319999997</v>
      </c>
      <c r="BI74" s="116">
        <f t="shared" si="80"/>
        <v>2610.6840000000002</v>
      </c>
      <c r="BJ74" s="217">
        <f t="shared" si="81"/>
        <v>0.113025132617567</v>
      </c>
      <c r="BK74" s="207">
        <f t="shared" si="82"/>
        <v>3.765662686946154</v>
      </c>
      <c r="BL74" s="144">
        <f t="shared" si="83"/>
        <v>8819.7136716718087</v>
      </c>
      <c r="BM74" s="216">
        <f t="shared" si="84"/>
        <v>0.25</v>
      </c>
      <c r="BN74" s="216">
        <f t="shared" si="85"/>
        <v>2.3622047244094495E-2</v>
      </c>
      <c r="BO74" s="238">
        <f t="shared" si="86"/>
        <v>1.5748031496062995E-2</v>
      </c>
      <c r="BP74" s="216">
        <f t="shared" si="87"/>
        <v>0.25</v>
      </c>
      <c r="BQ74" s="138">
        <f t="shared" si="88"/>
        <v>0</v>
      </c>
      <c r="BR74" s="138">
        <f t="shared" si="89"/>
        <v>0</v>
      </c>
      <c r="BS74" s="238">
        <f t="shared" si="90"/>
        <v>0</v>
      </c>
      <c r="BT74" s="138">
        <f t="shared" si="91"/>
        <v>0.25</v>
      </c>
      <c r="BU74" s="138">
        <f t="shared" si="92"/>
        <v>0</v>
      </c>
      <c r="BV74" s="138">
        <f t="shared" si="93"/>
        <v>0</v>
      </c>
      <c r="BW74" s="238">
        <f t="shared" si="94"/>
        <v>0</v>
      </c>
      <c r="BX74" s="216">
        <f t="shared" si="95"/>
        <v>2.3622047244094495E-2</v>
      </c>
      <c r="BY74" s="138">
        <f t="shared" si="96"/>
        <v>0</v>
      </c>
      <c r="BZ74" s="138">
        <f t="shared" si="97"/>
        <v>0</v>
      </c>
      <c r="CA74" s="238">
        <f t="shared" si="98"/>
        <v>0</v>
      </c>
      <c r="CB74" s="138">
        <f t="shared" si="99"/>
        <v>2.3622047244094495E-2</v>
      </c>
      <c r="CC74" s="138">
        <f t="shared" si="100"/>
        <v>0</v>
      </c>
      <c r="CD74" s="138">
        <f t="shared" si="101"/>
        <v>0</v>
      </c>
      <c r="CE74" s="238">
        <f t="shared" si="102"/>
        <v>0</v>
      </c>
      <c r="CF74" s="216">
        <f t="shared" si="103"/>
        <v>1.5748031496062995E-2</v>
      </c>
      <c r="CG74" s="138">
        <f t="shared" si="104"/>
        <v>0</v>
      </c>
      <c r="CH74" s="138">
        <f t="shared" si="105"/>
        <v>0</v>
      </c>
      <c r="CI74" s="238">
        <f t="shared" si="106"/>
        <v>0</v>
      </c>
      <c r="CJ74" s="138">
        <f t="shared" si="107"/>
        <v>1.5748031496062995E-2</v>
      </c>
      <c r="CK74" s="138">
        <f t="shared" si="108"/>
        <v>0</v>
      </c>
      <c r="CL74" s="138">
        <f t="shared" si="109"/>
        <v>0</v>
      </c>
      <c r="CM74" s="238">
        <f t="shared" si="110"/>
        <v>0</v>
      </c>
      <c r="CN74" s="17">
        <f t="shared" si="111"/>
        <v>0.25</v>
      </c>
      <c r="CO74" s="17">
        <f t="shared" si="112"/>
        <v>2.3622047244094495E-2</v>
      </c>
      <c r="CP74" s="17">
        <f t="shared" si="113"/>
        <v>1.5748031496062995E-2</v>
      </c>
      <c r="CQ74" s="17">
        <f>$U74-IF('Inputs-Imperial'!$E$13,0,2)*($CO74+$CN74+$CP74)</f>
        <v>4.3086615551999996</v>
      </c>
      <c r="CR74" s="116">
        <f t="shared" si="114"/>
        <v>10422.44299139563</v>
      </c>
      <c r="CS74" s="8">
        <f t="shared" si="10"/>
        <v>0.26947531831474242</v>
      </c>
      <c r="CT74" s="8">
        <f t="shared" si="115"/>
        <v>0.51911012156838399</v>
      </c>
      <c r="CU74" s="8">
        <f t="shared" si="11"/>
        <v>0.26947531831474242</v>
      </c>
      <c r="CV74" s="8">
        <f t="shared" si="116"/>
        <v>0.51911012156838399</v>
      </c>
      <c r="CW74" s="216">
        <f t="shared" si="117"/>
        <v>3.7895514336316158</v>
      </c>
      <c r="CX74" s="116">
        <f t="shared" si="118"/>
        <v>11850.156994769908</v>
      </c>
      <c r="CY74" s="8">
        <f t="shared" si="119"/>
        <v>0.30638928232868046</v>
      </c>
      <c r="CZ74" s="8">
        <f t="shared" si="120"/>
        <v>0.5535244189091213</v>
      </c>
      <c r="DA74" s="8">
        <f t="shared" si="121"/>
        <v>0.30638928232868046</v>
      </c>
      <c r="DB74" s="8">
        <f t="shared" si="122"/>
        <v>0.5535244189091213</v>
      </c>
      <c r="DC74" s="216">
        <f t="shared" si="123"/>
        <v>3.7551371362908781</v>
      </c>
      <c r="DD74" s="116">
        <f t="shared" si="124"/>
        <v>11958.758841134235</v>
      </c>
      <c r="DE74" s="8">
        <f t="shared" si="125"/>
        <v>0.30919721489715368</v>
      </c>
      <c r="DF74" s="8">
        <f t="shared" si="126"/>
        <v>0.55605504664300431</v>
      </c>
      <c r="DG74" s="8">
        <f t="shared" si="127"/>
        <v>0.30919721489715368</v>
      </c>
      <c r="DH74" s="8">
        <f t="shared" si="128"/>
        <v>0.55605504664300431</v>
      </c>
      <c r="DI74" s="216">
        <f t="shared" si="129"/>
        <v>3.7526065085569948</v>
      </c>
      <c r="DJ74" s="116">
        <f t="shared" si="130"/>
        <v>11966.823413510045</v>
      </c>
      <c r="DK74" s="8">
        <f t="shared" si="131"/>
        <v>0.30940572677962097</v>
      </c>
      <c r="DL74" s="8">
        <f t="shared" si="132"/>
        <v>0.55624250716717161</v>
      </c>
      <c r="DM74" s="8">
        <f t="shared" si="133"/>
        <v>0.30940572677962097</v>
      </c>
      <c r="DN74" s="8">
        <f t="shared" si="134"/>
        <v>0.55624250716717161</v>
      </c>
      <c r="DO74" s="216">
        <f t="shared" si="135"/>
        <v>3.7524190480328281</v>
      </c>
      <c r="DP74" s="116">
        <f t="shared" si="136"/>
        <v>11967.421243059727</v>
      </c>
      <c r="DQ74" s="170">
        <f t="shared" si="137"/>
        <v>0.30942118383784922</v>
      </c>
      <c r="DR74" s="8">
        <f t="shared" si="138"/>
        <v>0.55625640116572972</v>
      </c>
      <c r="DS74" s="8">
        <f t="shared" si="139"/>
        <v>0.30942118383784922</v>
      </c>
      <c r="DT74" s="134">
        <f t="shared" si="140"/>
        <v>0.55625640116572972</v>
      </c>
      <c r="DU74" s="170">
        <f t="shared" si="250"/>
        <v>0.33770780740629297</v>
      </c>
      <c r="DV74" s="170">
        <f t="shared" si="250"/>
        <v>0.58112632654724306</v>
      </c>
      <c r="DW74" s="170">
        <f t="shared" si="250"/>
        <v>0.33770780740629297</v>
      </c>
      <c r="DX74" s="272">
        <f t="shared" si="250"/>
        <v>0.58112632654724306</v>
      </c>
      <c r="DY74" s="272">
        <f t="shared" si="142"/>
        <v>3.1464089021055139</v>
      </c>
      <c r="DZ74" s="22">
        <f t="shared" si="12"/>
        <v>231.5341232091578</v>
      </c>
      <c r="EA74" s="216">
        <f t="shared" si="13"/>
        <v>1.5169151683119558E-2</v>
      </c>
      <c r="EB74" s="12">
        <f t="shared" si="143"/>
        <v>2</v>
      </c>
      <c r="EC74" s="7">
        <f>ROUND(MAX(DV74,DX74)/'Inputs-Imperial'!$E$21,0)</f>
        <v>5</v>
      </c>
      <c r="ED74" s="12">
        <f t="shared" si="144"/>
        <v>5</v>
      </c>
      <c r="EE74" s="2">
        <f t="shared" si="145"/>
        <v>3</v>
      </c>
      <c r="EF74" s="127">
        <f t="shared" si="146"/>
        <v>3</v>
      </c>
      <c r="EG74" s="2">
        <f t="shared" si="147"/>
        <v>2.3622047244094495E-2</v>
      </c>
      <c r="EH74" s="8">
        <f t="shared" si="14"/>
        <v>0.15963686979216329</v>
      </c>
      <c r="EI74" s="138">
        <f t="shared" si="148"/>
        <v>0.25</v>
      </c>
      <c r="EJ74" s="12">
        <f t="shared" si="15"/>
        <v>8821.4500942689101</v>
      </c>
      <c r="EK74" s="138">
        <f t="shared" si="149"/>
        <v>0.25</v>
      </c>
      <c r="EL74" s="116">
        <f t="shared" si="150"/>
        <v>2175570</v>
      </c>
      <c r="EM74" s="2">
        <f t="shared" si="16"/>
        <v>2.3622047244094495E-2</v>
      </c>
      <c r="EN74" s="8">
        <f t="shared" si="151"/>
        <v>4.3086615551999996</v>
      </c>
      <c r="EO74" s="116">
        <f t="shared" si="152"/>
        <v>2610.6840000000002</v>
      </c>
      <c r="EP74" s="217">
        <f t="shared" si="153"/>
        <v>1.3081612571477659</v>
      </c>
      <c r="EQ74" s="207">
        <f t="shared" si="154"/>
        <v>2</v>
      </c>
      <c r="ER74" s="144">
        <f t="shared" si="155"/>
        <v>36144.15410490465</v>
      </c>
      <c r="ES74" s="138">
        <f t="shared" si="17"/>
        <v>0.25</v>
      </c>
      <c r="ET74" s="116">
        <f t="shared" si="156"/>
        <v>2175570</v>
      </c>
      <c r="EU74" s="2">
        <f t="shared" si="18"/>
        <v>2.3622047244094495E-2</v>
      </c>
      <c r="EV74" s="8">
        <f t="shared" si="157"/>
        <v>4.3086615551999996</v>
      </c>
      <c r="EW74" s="116">
        <f t="shared" si="158"/>
        <v>2610.6840000000002</v>
      </c>
      <c r="EX74" s="217">
        <f t="shared" si="159"/>
        <v>1.3081612571477659</v>
      </c>
      <c r="EY74" s="207">
        <f t="shared" si="160"/>
        <v>2</v>
      </c>
      <c r="EZ74" s="144">
        <f t="shared" si="161"/>
        <v>36144.15410490465</v>
      </c>
      <c r="FA74" s="138">
        <f t="shared" si="19"/>
        <v>0.25</v>
      </c>
      <c r="FB74" s="116">
        <f t="shared" si="162"/>
        <v>2175570</v>
      </c>
      <c r="FC74" s="2">
        <f t="shared" si="20"/>
        <v>2.3622047244094495E-2</v>
      </c>
      <c r="FD74" s="8">
        <f t="shared" si="163"/>
        <v>4.3086615551999996</v>
      </c>
      <c r="FE74" s="116">
        <f t="shared" si="164"/>
        <v>2610.6840000000002</v>
      </c>
      <c r="FF74" s="217">
        <f t="shared" si="165"/>
        <v>1.3081612571477659</v>
      </c>
      <c r="FG74" s="207">
        <f t="shared" si="166"/>
        <v>2</v>
      </c>
      <c r="FH74" s="144">
        <f t="shared" si="167"/>
        <v>36144.15410490465</v>
      </c>
      <c r="FI74" s="128">
        <f t="shared" si="168"/>
        <v>0.25</v>
      </c>
      <c r="FJ74" s="2">
        <f t="shared" si="169"/>
        <v>2.3622047244094495E-2</v>
      </c>
      <c r="FK74" s="127">
        <f t="shared" si="170"/>
        <v>2.3622047244094495E-2</v>
      </c>
      <c r="FL74" s="216">
        <f t="shared" si="171"/>
        <v>0.25</v>
      </c>
      <c r="FM74" s="138">
        <f t="shared" si="172"/>
        <v>0</v>
      </c>
      <c r="FN74" s="138">
        <f t="shared" si="173"/>
        <v>0</v>
      </c>
      <c r="FO74" s="238">
        <f t="shared" si="174"/>
        <v>0</v>
      </c>
      <c r="FP74" s="216">
        <f t="shared" si="21"/>
        <v>0.25</v>
      </c>
      <c r="FQ74" s="138">
        <f t="shared" si="22"/>
        <v>0</v>
      </c>
      <c r="FR74" s="138">
        <f t="shared" si="23"/>
        <v>0</v>
      </c>
      <c r="FS74" s="238">
        <f t="shared" si="24"/>
        <v>0</v>
      </c>
      <c r="FT74" s="216">
        <f t="shared" si="175"/>
        <v>2.3622047244094495E-2</v>
      </c>
      <c r="FU74" s="138">
        <f t="shared" si="176"/>
        <v>0</v>
      </c>
      <c r="FV74" s="138">
        <f t="shared" si="177"/>
        <v>0</v>
      </c>
      <c r="FW74" s="238">
        <f t="shared" si="178"/>
        <v>0</v>
      </c>
      <c r="FX74" s="216">
        <f t="shared" si="25"/>
        <v>2.3622047244094495E-2</v>
      </c>
      <c r="FY74" s="138">
        <f t="shared" si="26"/>
        <v>0</v>
      </c>
      <c r="FZ74" s="138">
        <f t="shared" si="27"/>
        <v>0</v>
      </c>
      <c r="GA74" s="238">
        <f t="shared" si="28"/>
        <v>0</v>
      </c>
      <c r="GB74" s="216">
        <f t="shared" si="179"/>
        <v>2.3622047244094495E-2</v>
      </c>
      <c r="GC74" s="138">
        <f t="shared" si="180"/>
        <v>0</v>
      </c>
      <c r="GD74" s="138">
        <f t="shared" si="181"/>
        <v>0</v>
      </c>
      <c r="GE74" s="238">
        <f t="shared" si="182"/>
        <v>0</v>
      </c>
      <c r="GF74" s="216">
        <f t="shared" si="29"/>
        <v>2.3622047244094495E-2</v>
      </c>
      <c r="GG74" s="138">
        <f t="shared" si="30"/>
        <v>0</v>
      </c>
      <c r="GH74" s="138">
        <f t="shared" si="31"/>
        <v>0</v>
      </c>
      <c r="GI74" s="238">
        <f t="shared" si="32"/>
        <v>0</v>
      </c>
      <c r="GJ74" s="216">
        <f t="shared" si="183"/>
        <v>0.25</v>
      </c>
      <c r="GK74" s="216">
        <f t="shared" si="184"/>
        <v>2.3622047244094495E-2</v>
      </c>
      <c r="GL74" s="17">
        <f t="shared" si="185"/>
        <v>2.3622047244094495E-2</v>
      </c>
      <c r="GM74" s="216">
        <f t="shared" si="186"/>
        <v>7.7670029278890879E-3</v>
      </c>
      <c r="GN74" s="2">
        <f t="shared" si="187"/>
        <v>1</v>
      </c>
      <c r="GO74" s="2">
        <f t="shared" si="188"/>
        <v>2</v>
      </c>
      <c r="GP74" s="142">
        <f t="shared" si="189"/>
        <v>2</v>
      </c>
      <c r="GQ74" s="2">
        <f t="shared" si="190"/>
        <v>1.5748031496062995E-2</v>
      </c>
      <c r="GR74" s="8">
        <f t="shared" si="33"/>
        <v>8.1738258076393247E-2</v>
      </c>
      <c r="GS74" s="138">
        <f t="shared" si="191"/>
        <v>0.25</v>
      </c>
      <c r="GT74" s="12">
        <f t="shared" si="34"/>
        <v>6775.2202108961619</v>
      </c>
      <c r="GU74" s="138">
        <f t="shared" si="192"/>
        <v>0.25</v>
      </c>
      <c r="GV74" s="116">
        <f t="shared" si="193"/>
        <v>2175570</v>
      </c>
      <c r="GW74" s="2">
        <f t="shared" si="35"/>
        <v>2.3622047244094495E-2</v>
      </c>
      <c r="GX74" s="8">
        <f t="shared" si="36"/>
        <v>2.1543307775999998</v>
      </c>
      <c r="GY74" s="116">
        <f t="shared" si="194"/>
        <v>2610.6840000000002</v>
      </c>
      <c r="GZ74" s="217">
        <f t="shared" si="195"/>
        <v>5.2326450285910635</v>
      </c>
      <c r="HA74" s="207">
        <f t="shared" si="196"/>
        <v>2</v>
      </c>
      <c r="HB74" s="144">
        <f t="shared" si="197"/>
        <v>144576.6164196186</v>
      </c>
      <c r="HC74" s="138">
        <f t="shared" si="37"/>
        <v>0.25</v>
      </c>
      <c r="HD74" s="116">
        <f t="shared" si="198"/>
        <v>2175570</v>
      </c>
      <c r="HE74" s="2">
        <f t="shared" si="38"/>
        <v>2.3622047244094495E-2</v>
      </c>
      <c r="HF74" s="8">
        <f t="shared" si="199"/>
        <v>2.1543307775999998</v>
      </c>
      <c r="HG74" s="116">
        <f t="shared" si="200"/>
        <v>2610.6840000000002</v>
      </c>
      <c r="HH74" s="217">
        <f t="shared" si="201"/>
        <v>5.2326450285910635</v>
      </c>
      <c r="HI74" s="207">
        <f t="shared" si="202"/>
        <v>2</v>
      </c>
      <c r="HJ74" s="144">
        <f t="shared" si="203"/>
        <v>144576.6164196186</v>
      </c>
      <c r="HK74" s="138">
        <f t="shared" si="39"/>
        <v>0.25</v>
      </c>
      <c r="HL74" s="116">
        <f t="shared" si="204"/>
        <v>2175570</v>
      </c>
      <c r="HM74" s="2">
        <f t="shared" si="40"/>
        <v>2.3622047244094495E-2</v>
      </c>
      <c r="HN74" s="8">
        <f t="shared" si="205"/>
        <v>2.1543307775999998</v>
      </c>
      <c r="HO74" s="116">
        <f t="shared" si="206"/>
        <v>2610.6840000000002</v>
      </c>
      <c r="HP74" s="217">
        <f t="shared" si="207"/>
        <v>5.2326450285910635</v>
      </c>
      <c r="HQ74" s="207">
        <f t="shared" si="208"/>
        <v>2</v>
      </c>
      <c r="HR74" s="144">
        <f t="shared" si="209"/>
        <v>144576.6164196186</v>
      </c>
      <c r="HS74" s="128">
        <f t="shared" si="210"/>
        <v>0.25</v>
      </c>
      <c r="HT74" s="2">
        <f t="shared" si="211"/>
        <v>1.5748031496062995E-2</v>
      </c>
      <c r="HU74" s="127">
        <f t="shared" si="212"/>
        <v>1.5748031496062995E-2</v>
      </c>
      <c r="HV74" s="216">
        <f t="shared" si="213"/>
        <v>0.25</v>
      </c>
      <c r="HW74" s="138">
        <f t="shared" si="214"/>
        <v>0</v>
      </c>
      <c r="HX74" s="138">
        <f t="shared" si="215"/>
        <v>0</v>
      </c>
      <c r="HY74" s="238">
        <f t="shared" si="216"/>
        <v>0</v>
      </c>
      <c r="HZ74" s="138">
        <f t="shared" si="217"/>
        <v>0.25</v>
      </c>
      <c r="IA74" s="138">
        <f t="shared" si="218"/>
        <v>0</v>
      </c>
      <c r="IB74" s="138">
        <f t="shared" si="219"/>
        <v>0</v>
      </c>
      <c r="IC74" s="138">
        <f t="shared" si="220"/>
        <v>0</v>
      </c>
      <c r="ID74" s="216">
        <f t="shared" si="221"/>
        <v>1.5748031496062995E-2</v>
      </c>
      <c r="IE74" s="138">
        <f t="shared" si="222"/>
        <v>0</v>
      </c>
      <c r="IF74" s="138">
        <f t="shared" si="223"/>
        <v>0</v>
      </c>
      <c r="IG74" s="238">
        <f t="shared" si="224"/>
        <v>0</v>
      </c>
      <c r="IH74" s="138">
        <f t="shared" si="225"/>
        <v>1.5748031496062995E-2</v>
      </c>
      <c r="II74" s="138">
        <f t="shared" si="226"/>
        <v>0</v>
      </c>
      <c r="IJ74" s="138">
        <f t="shared" si="227"/>
        <v>0</v>
      </c>
      <c r="IK74" s="138">
        <f t="shared" si="228"/>
        <v>0</v>
      </c>
      <c r="IL74" s="216">
        <f t="shared" si="229"/>
        <v>1.5748031496062995E-2</v>
      </c>
      <c r="IM74" s="138">
        <f t="shared" si="230"/>
        <v>0</v>
      </c>
      <c r="IN74" s="138">
        <f t="shared" si="231"/>
        <v>0</v>
      </c>
      <c r="IO74" s="238">
        <f t="shared" si="232"/>
        <v>0</v>
      </c>
      <c r="IP74" s="138">
        <f t="shared" si="233"/>
        <v>1.5748031496062995E-2</v>
      </c>
      <c r="IQ74" s="138">
        <f t="shared" si="234"/>
        <v>0</v>
      </c>
      <c r="IR74" s="138">
        <f t="shared" si="235"/>
        <v>0</v>
      </c>
      <c r="IS74" s="138">
        <f t="shared" si="236"/>
        <v>0</v>
      </c>
      <c r="IT74" s="17">
        <f t="shared" si="237"/>
        <v>0.25</v>
      </c>
      <c r="IU74" s="17">
        <f t="shared" si="238"/>
        <v>1.5748031496062995E-2</v>
      </c>
      <c r="IV74" s="17">
        <f t="shared" si="239"/>
        <v>1.5748031496062995E-2</v>
      </c>
      <c r="IW74" s="253">
        <f t="shared" si="240"/>
        <v>11.968504319999997</v>
      </c>
      <c r="IX74" s="116">
        <f t="shared" si="241"/>
        <v>375.20794769024286</v>
      </c>
      <c r="IY74" s="8">
        <f t="shared" si="242"/>
        <v>9.7011114593307315E-3</v>
      </c>
      <c r="IZ74" s="8">
        <f t="shared" si="243"/>
        <v>9.7011114593307315E-3</v>
      </c>
      <c r="JA74" s="8">
        <f t="shared" si="244"/>
        <v>4.8505557296653658E-3</v>
      </c>
      <c r="JB74" s="134">
        <f t="shared" si="245"/>
        <v>6.9645931178105205E-2</v>
      </c>
      <c r="JC74" s="170">
        <f t="shared" si="251"/>
        <v>5.2747672707505648E-3</v>
      </c>
      <c r="JD74" s="272">
        <f t="shared" si="252"/>
        <v>7.2627593039770802E-2</v>
      </c>
      <c r="JE74" s="8"/>
      <c r="JF74" s="8"/>
    </row>
    <row r="75" spans="1:266" x14ac:dyDescent="0.25">
      <c r="A75" s="186">
        <v>15</v>
      </c>
      <c r="B75" s="187">
        <f>A75/100*'Inputs-Imperial'!$E$5</f>
        <v>1.476378</v>
      </c>
      <c r="C75" s="188">
        <f>'Inputs-Imperial'!$E$10+('Inputs-Imperial'!$E$9-'Inputs-Imperial'!$E$10)*(100-A75)/100</f>
        <v>1.9849082</v>
      </c>
      <c r="D75" s="187">
        <f t="shared" si="248"/>
        <v>9.8425199999999879E-2</v>
      </c>
      <c r="E75" s="188">
        <f t="shared" si="249"/>
        <v>0.19584936256639177</v>
      </c>
      <c r="F75" s="423">
        <f>Loads!P35</f>
        <v>98.261383412584777</v>
      </c>
      <c r="G75" s="423">
        <f>Loads!M35</f>
        <v>982.61383412584678</v>
      </c>
      <c r="H75" s="423">
        <f>Loads!N35</f>
        <v>3644.0424253911469</v>
      </c>
      <c r="I75" s="423">
        <f>Loads!V35</f>
        <v>-883.59325192637573</v>
      </c>
      <c r="J75" s="423">
        <f>Loads!Q35</f>
        <v>364.40424253911476</v>
      </c>
      <c r="K75" s="2">
        <v>15</v>
      </c>
      <c r="L75" s="12">
        <f t="shared" si="41"/>
        <v>17.716535999999998</v>
      </c>
      <c r="M75" s="11">
        <f t="shared" si="42"/>
        <v>23.818898400000002</v>
      </c>
      <c r="N75" s="11">
        <f t="shared" si="43"/>
        <v>1.1811023999999986</v>
      </c>
      <c r="O75" s="152">
        <f t="shared" si="44"/>
        <v>28.202308209560414</v>
      </c>
      <c r="P75" s="151">
        <f t="shared" si="45"/>
        <v>98.261383412584777</v>
      </c>
      <c r="Q75" s="12">
        <f t="shared" si="46"/>
        <v>982.61383412584678</v>
      </c>
      <c r="R75" s="12">
        <f t="shared" si="47"/>
        <v>43728.50910469376</v>
      </c>
      <c r="S75" s="12">
        <f t="shared" si="48"/>
        <v>-10603.119023116509</v>
      </c>
      <c r="T75" s="152">
        <f t="shared" si="49"/>
        <v>4372.8509104693767</v>
      </c>
      <c r="U75" s="8">
        <f t="shared" si="0"/>
        <v>4.2874017120000003</v>
      </c>
      <c r="V75" s="8">
        <f t="shared" si="1"/>
        <v>4.2874017120000003</v>
      </c>
      <c r="W75" s="134">
        <f t="shared" si="2"/>
        <v>2.1437008560000002</v>
      </c>
      <c r="X75" s="311">
        <f t="shared" si="3"/>
        <v>5.9547246000000005</v>
      </c>
      <c r="Y75" s="11">
        <f t="shared" si="4"/>
        <v>17.864173800000003</v>
      </c>
      <c r="Z75" s="11">
        <f t="shared" si="5"/>
        <v>11.909449200000003</v>
      </c>
      <c r="AA75" s="316">
        <f t="shared" si="50"/>
        <v>17.864173800000003</v>
      </c>
      <c r="AB75" s="170">
        <f t="shared" si="51"/>
        <v>3.215551284</v>
      </c>
      <c r="AC75" s="11">
        <f t="shared" si="52"/>
        <v>17.864173800000003</v>
      </c>
      <c r="AD75" s="152">
        <f t="shared" si="53"/>
        <v>45.11575786168148</v>
      </c>
      <c r="AE75" s="151">
        <f t="shared" si="6"/>
        <v>5.5004717549593458</v>
      </c>
      <c r="AF75" s="12">
        <f t="shared" si="54"/>
        <v>117.51015083936049</v>
      </c>
      <c r="AG75" s="216">
        <f t="shared" si="7"/>
        <v>8.0591437966255133E-3</v>
      </c>
      <c r="AH75" s="2">
        <f t="shared" si="55"/>
        <v>2</v>
      </c>
      <c r="AI75" s="2">
        <f t="shared" si="56"/>
        <v>3</v>
      </c>
      <c r="AJ75" s="127">
        <f t="shared" si="57"/>
        <v>2</v>
      </c>
      <c r="AK75" s="2">
        <f t="shared" si="58"/>
        <v>1.5748031496062995E-2</v>
      </c>
      <c r="AL75" s="8">
        <f t="shared" si="8"/>
        <v>8.4812685361298296E-2</v>
      </c>
      <c r="AM75" s="138">
        <f t="shared" si="59"/>
        <v>0.25</v>
      </c>
      <c r="AN75" s="12">
        <f t="shared" si="9"/>
        <v>7030.0570812653768</v>
      </c>
      <c r="AO75" s="138">
        <f t="shared" si="60"/>
        <v>0.25</v>
      </c>
      <c r="AP75" s="116">
        <f t="shared" si="61"/>
        <v>2175570</v>
      </c>
      <c r="AQ75" s="2">
        <f t="shared" si="62"/>
        <v>1.5748031496062995E-2</v>
      </c>
      <c r="AR75" s="8">
        <f t="shared" si="63"/>
        <v>11.909449200000003</v>
      </c>
      <c r="AS75" s="116">
        <f t="shared" si="64"/>
        <v>2610.6840000000002</v>
      </c>
      <c r="AT75" s="217">
        <f t="shared" si="65"/>
        <v>0.11414882214040091</v>
      </c>
      <c r="AU75" s="207">
        <f t="shared" si="66"/>
        <v>3.7547779025965387</v>
      </c>
      <c r="AV75" s="144">
        <f t="shared" si="67"/>
        <v>8881.6516111469628</v>
      </c>
      <c r="AW75" s="138">
        <f t="shared" si="68"/>
        <v>0.25</v>
      </c>
      <c r="AX75" s="116">
        <f t="shared" si="69"/>
        <v>2175570</v>
      </c>
      <c r="AY75" s="2">
        <f t="shared" si="70"/>
        <v>1.5748031496062995E-2</v>
      </c>
      <c r="AZ75" s="8">
        <f t="shared" si="71"/>
        <v>11.909449200000003</v>
      </c>
      <c r="BA75" s="116">
        <f t="shared" si="72"/>
        <v>2610.6840000000002</v>
      </c>
      <c r="BB75" s="217">
        <f t="shared" si="73"/>
        <v>0.11414882214040091</v>
      </c>
      <c r="BC75" s="207">
        <f t="shared" si="74"/>
        <v>3.7547779025965387</v>
      </c>
      <c r="BD75" s="144">
        <f t="shared" si="75"/>
        <v>8881.6516111469628</v>
      </c>
      <c r="BE75" s="138">
        <f t="shared" si="76"/>
        <v>0.25</v>
      </c>
      <c r="BF75" s="116">
        <f t="shared" si="77"/>
        <v>2175570</v>
      </c>
      <c r="BG75" s="2">
        <f t="shared" si="78"/>
        <v>1.5748031496062995E-2</v>
      </c>
      <c r="BH75" s="8">
        <f t="shared" si="79"/>
        <v>11.909449200000003</v>
      </c>
      <c r="BI75" s="116">
        <f t="shared" si="80"/>
        <v>2610.6840000000002</v>
      </c>
      <c r="BJ75" s="217">
        <f t="shared" si="81"/>
        <v>0.11414882214040091</v>
      </c>
      <c r="BK75" s="207">
        <f t="shared" si="82"/>
        <v>3.7547779025965387</v>
      </c>
      <c r="BL75" s="144">
        <f t="shared" si="83"/>
        <v>8881.6516111469628</v>
      </c>
      <c r="BM75" s="216">
        <f t="shared" si="84"/>
        <v>0.25</v>
      </c>
      <c r="BN75" s="216">
        <f t="shared" si="85"/>
        <v>2.3622047244094495E-2</v>
      </c>
      <c r="BO75" s="238">
        <f t="shared" si="86"/>
        <v>1.5748031496062995E-2</v>
      </c>
      <c r="BP75" s="216">
        <f t="shared" si="87"/>
        <v>0.25</v>
      </c>
      <c r="BQ75" s="138">
        <f t="shared" si="88"/>
        <v>0</v>
      </c>
      <c r="BR75" s="138">
        <f t="shared" si="89"/>
        <v>0</v>
      </c>
      <c r="BS75" s="238">
        <f t="shared" si="90"/>
        <v>0</v>
      </c>
      <c r="BT75" s="138">
        <f t="shared" si="91"/>
        <v>0.25</v>
      </c>
      <c r="BU75" s="138">
        <f t="shared" si="92"/>
        <v>0</v>
      </c>
      <c r="BV75" s="138">
        <f t="shared" si="93"/>
        <v>0</v>
      </c>
      <c r="BW75" s="238">
        <f t="shared" si="94"/>
        <v>0</v>
      </c>
      <c r="BX75" s="216">
        <f t="shared" si="95"/>
        <v>2.3622047244094495E-2</v>
      </c>
      <c r="BY75" s="138">
        <f t="shared" si="96"/>
        <v>0</v>
      </c>
      <c r="BZ75" s="138">
        <f t="shared" si="97"/>
        <v>0</v>
      </c>
      <c r="CA75" s="238">
        <f t="shared" si="98"/>
        <v>0</v>
      </c>
      <c r="CB75" s="138">
        <f t="shared" si="99"/>
        <v>2.3622047244094495E-2</v>
      </c>
      <c r="CC75" s="138">
        <f t="shared" si="100"/>
        <v>0</v>
      </c>
      <c r="CD75" s="138">
        <f t="shared" si="101"/>
        <v>0</v>
      </c>
      <c r="CE75" s="238">
        <f t="shared" si="102"/>
        <v>0</v>
      </c>
      <c r="CF75" s="216">
        <f t="shared" si="103"/>
        <v>1.5748031496062995E-2</v>
      </c>
      <c r="CG75" s="138">
        <f t="shared" si="104"/>
        <v>0</v>
      </c>
      <c r="CH75" s="138">
        <f t="shared" si="105"/>
        <v>0</v>
      </c>
      <c r="CI75" s="238">
        <f t="shared" si="106"/>
        <v>0</v>
      </c>
      <c r="CJ75" s="138">
        <f t="shared" si="107"/>
        <v>1.5748031496062995E-2</v>
      </c>
      <c r="CK75" s="138">
        <f t="shared" si="108"/>
        <v>0</v>
      </c>
      <c r="CL75" s="138">
        <f t="shared" si="109"/>
        <v>0</v>
      </c>
      <c r="CM75" s="238">
        <f t="shared" si="110"/>
        <v>0</v>
      </c>
      <c r="CN75" s="17">
        <f t="shared" si="111"/>
        <v>0.25</v>
      </c>
      <c r="CO75" s="17">
        <f t="shared" si="112"/>
        <v>2.3622047244094495E-2</v>
      </c>
      <c r="CP75" s="17">
        <f t="shared" si="113"/>
        <v>1.5748031496062995E-2</v>
      </c>
      <c r="CQ75" s="17">
        <f>$U75-IF('Inputs-Imperial'!$E$13,0,2)*($CO75+$CN75+$CP75)</f>
        <v>4.2874017120000003</v>
      </c>
      <c r="CR75" s="116">
        <f t="shared" si="114"/>
        <v>10199.302990970527</v>
      </c>
      <c r="CS75" s="8">
        <f t="shared" si="10"/>
        <v>0.2637059682023985</v>
      </c>
      <c r="CT75" s="8">
        <f t="shared" si="115"/>
        <v>0.51352309412761421</v>
      </c>
      <c r="CU75" s="8">
        <f t="shared" si="11"/>
        <v>0.2637059682023985</v>
      </c>
      <c r="CV75" s="8">
        <f t="shared" si="116"/>
        <v>0.51352309412761421</v>
      </c>
      <c r="CW75" s="216">
        <f t="shared" si="117"/>
        <v>3.7738786178723864</v>
      </c>
      <c r="CX75" s="116">
        <f t="shared" si="118"/>
        <v>11587.153041330923</v>
      </c>
      <c r="CY75" s="8">
        <f t="shared" si="119"/>
        <v>0.29958923802721327</v>
      </c>
      <c r="CZ75" s="8">
        <f t="shared" si="120"/>
        <v>0.54734745639969251</v>
      </c>
      <c r="DA75" s="8">
        <f t="shared" si="121"/>
        <v>0.29958923802721327</v>
      </c>
      <c r="DB75" s="8">
        <f t="shared" si="122"/>
        <v>0.54734745639969251</v>
      </c>
      <c r="DC75" s="216">
        <f t="shared" si="123"/>
        <v>3.7400542556003074</v>
      </c>
      <c r="DD75" s="116">
        <f t="shared" si="124"/>
        <v>11691.945120639701</v>
      </c>
      <c r="DE75" s="8">
        <f t="shared" si="125"/>
        <v>0.30229866795183935</v>
      </c>
      <c r="DF75" s="8">
        <f t="shared" si="126"/>
        <v>0.54981694040092954</v>
      </c>
      <c r="DG75" s="8">
        <f t="shared" si="127"/>
        <v>0.30229866795183935</v>
      </c>
      <c r="DH75" s="8">
        <f t="shared" si="128"/>
        <v>0.54981694040092954</v>
      </c>
      <c r="DI75" s="216">
        <f t="shared" si="129"/>
        <v>3.7375847715990704</v>
      </c>
      <c r="DJ75" s="116">
        <f t="shared" si="130"/>
        <v>11699.670181924774</v>
      </c>
      <c r="DK75" s="8">
        <f t="shared" si="131"/>
        <v>0.30249840167554637</v>
      </c>
      <c r="DL75" s="8">
        <f t="shared" si="132"/>
        <v>0.54999854697585004</v>
      </c>
      <c r="DM75" s="8">
        <f t="shared" si="133"/>
        <v>0.30249840167554637</v>
      </c>
      <c r="DN75" s="8">
        <f t="shared" si="134"/>
        <v>0.54999854697585004</v>
      </c>
      <c r="DO75" s="216">
        <f t="shared" si="135"/>
        <v>3.7374031650241504</v>
      </c>
      <c r="DP75" s="116">
        <f t="shared" si="136"/>
        <v>11700.238688167106</v>
      </c>
      <c r="DQ75" s="170">
        <f t="shared" si="137"/>
        <v>0.30251310057106856</v>
      </c>
      <c r="DR75" s="8">
        <f t="shared" si="138"/>
        <v>0.55001190948112078</v>
      </c>
      <c r="DS75" s="8">
        <f t="shared" si="139"/>
        <v>0.30251310057106856</v>
      </c>
      <c r="DT75" s="134">
        <f t="shared" si="140"/>
        <v>0.55001190948112078</v>
      </c>
      <c r="DU75" s="170">
        <f t="shared" si="250"/>
        <v>0.33770780740629297</v>
      </c>
      <c r="DV75" s="170">
        <f t="shared" si="250"/>
        <v>0.58112632654724306</v>
      </c>
      <c r="DW75" s="170">
        <f t="shared" si="250"/>
        <v>0.33770780740629297</v>
      </c>
      <c r="DX75" s="272">
        <f t="shared" si="250"/>
        <v>0.58112632654724306</v>
      </c>
      <c r="DY75" s="272">
        <f t="shared" si="142"/>
        <v>3.1251490589055146</v>
      </c>
      <c r="DZ75" s="22">
        <f t="shared" si="12"/>
        <v>229.18632312330587</v>
      </c>
      <c r="EA75" s="216">
        <f t="shared" si="13"/>
        <v>1.5015333597343247E-2</v>
      </c>
      <c r="EB75" s="12">
        <f t="shared" si="143"/>
        <v>2</v>
      </c>
      <c r="EC75" s="7">
        <f>ROUND(MAX(DV75,DX75)/'Inputs-Imperial'!$E$21,0)</f>
        <v>5</v>
      </c>
      <c r="ED75" s="12">
        <f t="shared" si="144"/>
        <v>5</v>
      </c>
      <c r="EE75" s="2">
        <f t="shared" si="145"/>
        <v>3</v>
      </c>
      <c r="EF75" s="127">
        <f t="shared" si="146"/>
        <v>3</v>
      </c>
      <c r="EG75" s="2">
        <f t="shared" si="147"/>
        <v>2.3622047244094495E-2</v>
      </c>
      <c r="EH75" s="8">
        <f t="shared" si="14"/>
        <v>0.15801812154284109</v>
      </c>
      <c r="EI75" s="138">
        <f t="shared" si="148"/>
        <v>0.25</v>
      </c>
      <c r="EJ75" s="12">
        <f t="shared" si="15"/>
        <v>8731.9989109979524</v>
      </c>
      <c r="EK75" s="138">
        <f t="shared" si="149"/>
        <v>0.25</v>
      </c>
      <c r="EL75" s="116">
        <f t="shared" si="150"/>
        <v>2175570</v>
      </c>
      <c r="EM75" s="2">
        <f t="shared" si="16"/>
        <v>2.3622047244094495E-2</v>
      </c>
      <c r="EN75" s="8">
        <f t="shared" si="151"/>
        <v>4.2874017120000003</v>
      </c>
      <c r="EO75" s="116">
        <f t="shared" si="152"/>
        <v>2610.6840000000002</v>
      </c>
      <c r="EP75" s="217">
        <f t="shared" si="153"/>
        <v>1.3211669229213074</v>
      </c>
      <c r="EQ75" s="207">
        <f t="shared" si="154"/>
        <v>2</v>
      </c>
      <c r="ER75" s="144">
        <f t="shared" si="155"/>
        <v>36503.497255748836</v>
      </c>
      <c r="ES75" s="138">
        <f t="shared" si="17"/>
        <v>0.25</v>
      </c>
      <c r="ET75" s="116">
        <f t="shared" si="156"/>
        <v>2175570</v>
      </c>
      <c r="EU75" s="2">
        <f t="shared" si="18"/>
        <v>2.3622047244094495E-2</v>
      </c>
      <c r="EV75" s="8">
        <f t="shared" si="157"/>
        <v>4.2874017120000003</v>
      </c>
      <c r="EW75" s="116">
        <f t="shared" si="158"/>
        <v>2610.6840000000002</v>
      </c>
      <c r="EX75" s="217">
        <f t="shared" si="159"/>
        <v>1.3211669229213074</v>
      </c>
      <c r="EY75" s="207">
        <f t="shared" si="160"/>
        <v>2</v>
      </c>
      <c r="EZ75" s="144">
        <f t="shared" si="161"/>
        <v>36503.497255748836</v>
      </c>
      <c r="FA75" s="138">
        <f t="shared" si="19"/>
        <v>0.25</v>
      </c>
      <c r="FB75" s="116">
        <f t="shared" si="162"/>
        <v>2175570</v>
      </c>
      <c r="FC75" s="2">
        <f t="shared" si="20"/>
        <v>2.3622047244094495E-2</v>
      </c>
      <c r="FD75" s="8">
        <f t="shared" si="163"/>
        <v>4.2874017120000003</v>
      </c>
      <c r="FE75" s="116">
        <f t="shared" si="164"/>
        <v>2610.6840000000002</v>
      </c>
      <c r="FF75" s="217">
        <f t="shared" si="165"/>
        <v>1.3211669229213074</v>
      </c>
      <c r="FG75" s="207">
        <f t="shared" si="166"/>
        <v>2</v>
      </c>
      <c r="FH75" s="144">
        <f t="shared" si="167"/>
        <v>36503.497255748836</v>
      </c>
      <c r="FI75" s="128">
        <f t="shared" si="168"/>
        <v>0.25</v>
      </c>
      <c r="FJ75" s="2">
        <f t="shared" si="169"/>
        <v>2.3622047244094495E-2</v>
      </c>
      <c r="FK75" s="127">
        <f t="shared" si="170"/>
        <v>2.3622047244094495E-2</v>
      </c>
      <c r="FL75" s="216">
        <f t="shared" si="171"/>
        <v>0.25</v>
      </c>
      <c r="FM75" s="138">
        <f t="shared" si="172"/>
        <v>0</v>
      </c>
      <c r="FN75" s="138">
        <f t="shared" si="173"/>
        <v>0</v>
      </c>
      <c r="FO75" s="238">
        <f t="shared" si="174"/>
        <v>0</v>
      </c>
      <c r="FP75" s="216">
        <f t="shared" si="21"/>
        <v>0.25</v>
      </c>
      <c r="FQ75" s="138">
        <f t="shared" si="22"/>
        <v>0</v>
      </c>
      <c r="FR75" s="138">
        <f t="shared" si="23"/>
        <v>0</v>
      </c>
      <c r="FS75" s="238">
        <f t="shared" si="24"/>
        <v>0</v>
      </c>
      <c r="FT75" s="216">
        <f t="shared" si="175"/>
        <v>2.3622047244094495E-2</v>
      </c>
      <c r="FU75" s="138">
        <f t="shared" si="176"/>
        <v>0</v>
      </c>
      <c r="FV75" s="138">
        <f t="shared" si="177"/>
        <v>0</v>
      </c>
      <c r="FW75" s="238">
        <f t="shared" si="178"/>
        <v>0</v>
      </c>
      <c r="FX75" s="216">
        <f t="shared" si="25"/>
        <v>2.3622047244094495E-2</v>
      </c>
      <c r="FY75" s="138">
        <f t="shared" si="26"/>
        <v>0</v>
      </c>
      <c r="FZ75" s="138">
        <f t="shared" si="27"/>
        <v>0</v>
      </c>
      <c r="GA75" s="238">
        <f t="shared" si="28"/>
        <v>0</v>
      </c>
      <c r="GB75" s="216">
        <f t="shared" si="179"/>
        <v>2.3622047244094495E-2</v>
      </c>
      <c r="GC75" s="138">
        <f t="shared" si="180"/>
        <v>0</v>
      </c>
      <c r="GD75" s="138">
        <f t="shared" si="181"/>
        <v>0</v>
      </c>
      <c r="GE75" s="238">
        <f t="shared" si="182"/>
        <v>0</v>
      </c>
      <c r="GF75" s="216">
        <f t="shared" si="29"/>
        <v>2.3622047244094495E-2</v>
      </c>
      <c r="GG75" s="138">
        <f t="shared" si="30"/>
        <v>0</v>
      </c>
      <c r="GH75" s="138">
        <f t="shared" si="31"/>
        <v>0</v>
      </c>
      <c r="GI75" s="238">
        <f t="shared" si="32"/>
        <v>0</v>
      </c>
      <c r="GJ75" s="216">
        <f t="shared" si="183"/>
        <v>0.25</v>
      </c>
      <c r="GK75" s="216">
        <f t="shared" si="184"/>
        <v>2.3622047244094495E-2</v>
      </c>
      <c r="GL75" s="17">
        <f t="shared" si="185"/>
        <v>2.3622047244094495E-2</v>
      </c>
      <c r="GM75" s="216">
        <f t="shared" si="186"/>
        <v>7.6987757902892756E-3</v>
      </c>
      <c r="GN75" s="2">
        <f t="shared" si="187"/>
        <v>1</v>
      </c>
      <c r="GO75" s="2">
        <f t="shared" si="188"/>
        <v>2</v>
      </c>
      <c r="GP75" s="142">
        <f t="shared" si="189"/>
        <v>2</v>
      </c>
      <c r="GQ75" s="2">
        <f t="shared" si="190"/>
        <v>1.5748031496062995E-2</v>
      </c>
      <c r="GR75" s="8">
        <f t="shared" si="33"/>
        <v>8.1020250444270109E-2</v>
      </c>
      <c r="GS75" s="138">
        <f t="shared" si="191"/>
        <v>0.25</v>
      </c>
      <c r="GT75" s="12">
        <f t="shared" si="34"/>
        <v>6715.7051204694508</v>
      </c>
      <c r="GU75" s="138">
        <f t="shared" si="192"/>
        <v>0.25</v>
      </c>
      <c r="GV75" s="116">
        <f t="shared" si="193"/>
        <v>2175570</v>
      </c>
      <c r="GW75" s="2">
        <f t="shared" si="35"/>
        <v>2.3622047244094495E-2</v>
      </c>
      <c r="GX75" s="8">
        <f t="shared" si="36"/>
        <v>2.1437008560000002</v>
      </c>
      <c r="GY75" s="116">
        <f t="shared" si="194"/>
        <v>2610.6840000000002</v>
      </c>
      <c r="GZ75" s="217">
        <f t="shared" si="195"/>
        <v>5.2846676916852298</v>
      </c>
      <c r="HA75" s="207">
        <f t="shared" si="196"/>
        <v>2</v>
      </c>
      <c r="HB75" s="144">
        <f t="shared" si="197"/>
        <v>146013.98902299535</v>
      </c>
      <c r="HC75" s="138">
        <f t="shared" si="37"/>
        <v>0.25</v>
      </c>
      <c r="HD75" s="116">
        <f t="shared" si="198"/>
        <v>2175570</v>
      </c>
      <c r="HE75" s="2">
        <f t="shared" si="38"/>
        <v>2.3622047244094495E-2</v>
      </c>
      <c r="HF75" s="8">
        <f t="shared" si="199"/>
        <v>2.1437008560000002</v>
      </c>
      <c r="HG75" s="116">
        <f t="shared" si="200"/>
        <v>2610.6840000000002</v>
      </c>
      <c r="HH75" s="217">
        <f t="shared" si="201"/>
        <v>5.2846676916852298</v>
      </c>
      <c r="HI75" s="207">
        <f t="shared" si="202"/>
        <v>2</v>
      </c>
      <c r="HJ75" s="144">
        <f t="shared" si="203"/>
        <v>146013.98902299535</v>
      </c>
      <c r="HK75" s="138">
        <f t="shared" si="39"/>
        <v>0.25</v>
      </c>
      <c r="HL75" s="116">
        <f t="shared" si="204"/>
        <v>2175570</v>
      </c>
      <c r="HM75" s="2">
        <f t="shared" si="40"/>
        <v>2.3622047244094495E-2</v>
      </c>
      <c r="HN75" s="8">
        <f t="shared" si="205"/>
        <v>2.1437008560000002</v>
      </c>
      <c r="HO75" s="116">
        <f t="shared" si="206"/>
        <v>2610.6840000000002</v>
      </c>
      <c r="HP75" s="217">
        <f t="shared" si="207"/>
        <v>5.2846676916852298</v>
      </c>
      <c r="HQ75" s="207">
        <f t="shared" si="208"/>
        <v>2</v>
      </c>
      <c r="HR75" s="144">
        <f t="shared" si="209"/>
        <v>146013.98902299535</v>
      </c>
      <c r="HS75" s="128">
        <f t="shared" si="210"/>
        <v>0.25</v>
      </c>
      <c r="HT75" s="2">
        <f t="shared" si="211"/>
        <v>1.5748031496062995E-2</v>
      </c>
      <c r="HU75" s="127">
        <f t="shared" si="212"/>
        <v>1.5748031496062995E-2</v>
      </c>
      <c r="HV75" s="216">
        <f t="shared" si="213"/>
        <v>0.25</v>
      </c>
      <c r="HW75" s="138">
        <f t="shared" si="214"/>
        <v>0</v>
      </c>
      <c r="HX75" s="138">
        <f t="shared" si="215"/>
        <v>0</v>
      </c>
      <c r="HY75" s="238">
        <f t="shared" si="216"/>
        <v>0</v>
      </c>
      <c r="HZ75" s="138">
        <f t="shared" si="217"/>
        <v>0.25</v>
      </c>
      <c r="IA75" s="138">
        <f t="shared" si="218"/>
        <v>0</v>
      </c>
      <c r="IB75" s="138">
        <f t="shared" si="219"/>
        <v>0</v>
      </c>
      <c r="IC75" s="138">
        <f t="shared" si="220"/>
        <v>0</v>
      </c>
      <c r="ID75" s="216">
        <f t="shared" si="221"/>
        <v>1.5748031496062995E-2</v>
      </c>
      <c r="IE75" s="138">
        <f t="shared" si="222"/>
        <v>0</v>
      </c>
      <c r="IF75" s="138">
        <f t="shared" si="223"/>
        <v>0</v>
      </c>
      <c r="IG75" s="238">
        <f t="shared" si="224"/>
        <v>0</v>
      </c>
      <c r="IH75" s="138">
        <f t="shared" si="225"/>
        <v>1.5748031496062995E-2</v>
      </c>
      <c r="II75" s="138">
        <f t="shared" si="226"/>
        <v>0</v>
      </c>
      <c r="IJ75" s="138">
        <f t="shared" si="227"/>
        <v>0</v>
      </c>
      <c r="IK75" s="138">
        <f t="shared" si="228"/>
        <v>0</v>
      </c>
      <c r="IL75" s="216">
        <f t="shared" si="229"/>
        <v>1.5748031496062995E-2</v>
      </c>
      <c r="IM75" s="138">
        <f t="shared" si="230"/>
        <v>0</v>
      </c>
      <c r="IN75" s="138">
        <f t="shared" si="231"/>
        <v>0</v>
      </c>
      <c r="IO75" s="238">
        <f t="shared" si="232"/>
        <v>0</v>
      </c>
      <c r="IP75" s="138">
        <f t="shared" si="233"/>
        <v>1.5748031496062995E-2</v>
      </c>
      <c r="IQ75" s="138">
        <f t="shared" si="234"/>
        <v>0</v>
      </c>
      <c r="IR75" s="138">
        <f t="shared" si="235"/>
        <v>0</v>
      </c>
      <c r="IS75" s="138">
        <f t="shared" si="236"/>
        <v>0</v>
      </c>
      <c r="IT75" s="17">
        <f t="shared" si="237"/>
        <v>0.25</v>
      </c>
      <c r="IU75" s="17">
        <f t="shared" si="238"/>
        <v>1.5748031496062995E-2</v>
      </c>
      <c r="IV75" s="17">
        <f t="shared" si="239"/>
        <v>1.5748031496062995E-2</v>
      </c>
      <c r="IW75" s="253">
        <f t="shared" si="240"/>
        <v>11.909449200000003</v>
      </c>
      <c r="IX75" s="116">
        <f t="shared" si="241"/>
        <v>367.17490767493894</v>
      </c>
      <c r="IY75" s="8">
        <f t="shared" si="242"/>
        <v>9.4934148552863456E-3</v>
      </c>
      <c r="IZ75" s="8">
        <f t="shared" si="243"/>
        <v>9.4934148552863456E-3</v>
      </c>
      <c r="JA75" s="8">
        <f t="shared" si="244"/>
        <v>4.7467074276431728E-3</v>
      </c>
      <c r="JB75" s="134">
        <f t="shared" si="245"/>
        <v>6.8896352789122095E-2</v>
      </c>
      <c r="JC75" s="170">
        <f t="shared" si="251"/>
        <v>5.2747672707505648E-3</v>
      </c>
      <c r="JD75" s="272">
        <f t="shared" si="252"/>
        <v>7.2627593039770802E-2</v>
      </c>
      <c r="JE75" s="8"/>
      <c r="JF75" s="8"/>
    </row>
    <row r="76" spans="1:266" x14ac:dyDescent="0.25">
      <c r="A76" s="186">
        <v>16</v>
      </c>
      <c r="B76" s="187">
        <f>A76/100*'Inputs-Imperial'!$E$5</f>
        <v>1.5748032000000001</v>
      </c>
      <c r="C76" s="188">
        <f>'Inputs-Imperial'!$E$10+('Inputs-Imperial'!$E$9-'Inputs-Imperial'!$E$10)*(100-A76)/100</f>
        <v>1.9750656800000002</v>
      </c>
      <c r="D76" s="187">
        <f t="shared" si="248"/>
        <v>9.8425200000000101E-2</v>
      </c>
      <c r="E76" s="188">
        <f t="shared" si="249"/>
        <v>0.19488061056688821</v>
      </c>
      <c r="F76" s="423">
        <f>Loads!P36</f>
        <v>96.767357048612752</v>
      </c>
      <c r="G76" s="423">
        <f>Loads!M36</f>
        <v>967.67357048612655</v>
      </c>
      <c r="H76" s="423">
        <f>Loads!N36</f>
        <v>3547.3284622445435</v>
      </c>
      <c r="I76" s="423">
        <f>Loads!V36</f>
        <v>-867.00774477488187</v>
      </c>
      <c r="J76" s="423">
        <f>Loads!Q36</f>
        <v>354.73284622445442</v>
      </c>
      <c r="K76" s="2">
        <v>16</v>
      </c>
      <c r="L76" s="12">
        <f t="shared" si="41"/>
        <v>18.897638400000002</v>
      </c>
      <c r="M76" s="11">
        <f t="shared" si="42"/>
        <v>23.700788160000002</v>
      </c>
      <c r="N76" s="11">
        <f t="shared" si="43"/>
        <v>1.1811024000000012</v>
      </c>
      <c r="O76" s="152">
        <f t="shared" si="44"/>
        <v>28.062807921631901</v>
      </c>
      <c r="P76" s="151">
        <f t="shared" si="45"/>
        <v>96.767357048612752</v>
      </c>
      <c r="Q76" s="12">
        <f t="shared" si="46"/>
        <v>967.67357048612655</v>
      </c>
      <c r="R76" s="12">
        <f t="shared" si="47"/>
        <v>42567.941546934526</v>
      </c>
      <c r="S76" s="12">
        <f t="shared" si="48"/>
        <v>-10404.092937298583</v>
      </c>
      <c r="T76" s="152">
        <f t="shared" si="49"/>
        <v>4256.7941546934526</v>
      </c>
      <c r="U76" s="8">
        <f t="shared" si="0"/>
        <v>4.2661418688000001</v>
      </c>
      <c r="V76" s="8">
        <f t="shared" si="1"/>
        <v>4.2661418688000001</v>
      </c>
      <c r="W76" s="134">
        <f t="shared" si="2"/>
        <v>2.1330709344000001</v>
      </c>
      <c r="X76" s="311">
        <f t="shared" si="3"/>
        <v>5.9251970400000005</v>
      </c>
      <c r="Y76" s="11">
        <f t="shared" si="4"/>
        <v>17.775591120000001</v>
      </c>
      <c r="Z76" s="11">
        <f t="shared" si="5"/>
        <v>11.850394080000001</v>
      </c>
      <c r="AA76" s="316">
        <f t="shared" si="50"/>
        <v>17.775591120000001</v>
      </c>
      <c r="AB76" s="170">
        <f t="shared" si="51"/>
        <v>3.1996064016000001</v>
      </c>
      <c r="AC76" s="11">
        <f t="shared" si="52"/>
        <v>17.775591120000001</v>
      </c>
      <c r="AD76" s="152">
        <f t="shared" si="53"/>
        <v>44.669438186202626</v>
      </c>
      <c r="AE76" s="151">
        <f t="shared" si="6"/>
        <v>5.443833422773551</v>
      </c>
      <c r="AF76" s="12">
        <f t="shared" si="54"/>
        <v>116.45650090705831</v>
      </c>
      <c r="AG76" s="216">
        <f t="shared" si="7"/>
        <v>7.9864023325917598E-3</v>
      </c>
      <c r="AH76" s="2">
        <f t="shared" si="55"/>
        <v>2</v>
      </c>
      <c r="AI76" s="2">
        <f t="shared" si="56"/>
        <v>3</v>
      </c>
      <c r="AJ76" s="127">
        <f t="shared" si="57"/>
        <v>2</v>
      </c>
      <c r="AK76" s="2">
        <f t="shared" si="58"/>
        <v>1.5748031496062995E-2</v>
      </c>
      <c r="AL76" s="8">
        <f t="shared" si="8"/>
        <v>8.4047169934659785E-2</v>
      </c>
      <c r="AM76" s="138">
        <f t="shared" si="59"/>
        <v>0.25</v>
      </c>
      <c r="AN76" s="12">
        <f t="shared" si="9"/>
        <v>6966.6041069498897</v>
      </c>
      <c r="AO76" s="138">
        <f t="shared" si="60"/>
        <v>0.25</v>
      </c>
      <c r="AP76" s="116">
        <f t="shared" si="61"/>
        <v>2175570</v>
      </c>
      <c r="AQ76" s="2">
        <f t="shared" si="62"/>
        <v>1.5748031496062995E-2</v>
      </c>
      <c r="AR76" s="8">
        <f t="shared" si="63"/>
        <v>11.850394080000001</v>
      </c>
      <c r="AS76" s="116">
        <f t="shared" si="64"/>
        <v>2610.6840000000002</v>
      </c>
      <c r="AT76" s="217">
        <f t="shared" si="65"/>
        <v>0.11528935283258537</v>
      </c>
      <c r="AU76" s="207">
        <f t="shared" si="66"/>
        <v>3.7438025523691176</v>
      </c>
      <c r="AV76" s="144">
        <f t="shared" si="67"/>
        <v>8944.1728424634257</v>
      </c>
      <c r="AW76" s="138">
        <f t="shared" si="68"/>
        <v>0.25</v>
      </c>
      <c r="AX76" s="116">
        <f t="shared" si="69"/>
        <v>2175570</v>
      </c>
      <c r="AY76" s="2">
        <f t="shared" si="70"/>
        <v>1.5748031496062995E-2</v>
      </c>
      <c r="AZ76" s="8">
        <f t="shared" si="71"/>
        <v>11.850394080000001</v>
      </c>
      <c r="BA76" s="116">
        <f t="shared" si="72"/>
        <v>2610.6840000000002</v>
      </c>
      <c r="BB76" s="217">
        <f t="shared" si="73"/>
        <v>0.11528935283258537</v>
      </c>
      <c r="BC76" s="207">
        <f t="shared" si="74"/>
        <v>3.7438025523691176</v>
      </c>
      <c r="BD76" s="144">
        <f t="shared" si="75"/>
        <v>8944.1728424634257</v>
      </c>
      <c r="BE76" s="138">
        <f t="shared" si="76"/>
        <v>0.25</v>
      </c>
      <c r="BF76" s="116">
        <f t="shared" si="77"/>
        <v>2175570</v>
      </c>
      <c r="BG76" s="2">
        <f t="shared" si="78"/>
        <v>1.5748031496062995E-2</v>
      </c>
      <c r="BH76" s="8">
        <f t="shared" si="79"/>
        <v>11.850394080000001</v>
      </c>
      <c r="BI76" s="116">
        <f t="shared" si="80"/>
        <v>2610.6840000000002</v>
      </c>
      <c r="BJ76" s="217">
        <f t="shared" si="81"/>
        <v>0.11528935283258537</v>
      </c>
      <c r="BK76" s="207">
        <f t="shared" si="82"/>
        <v>3.7438025523691176</v>
      </c>
      <c r="BL76" s="144">
        <f t="shared" si="83"/>
        <v>8944.1728424634257</v>
      </c>
      <c r="BM76" s="216">
        <f t="shared" si="84"/>
        <v>0.25</v>
      </c>
      <c r="BN76" s="216">
        <f t="shared" si="85"/>
        <v>2.3622047244094495E-2</v>
      </c>
      <c r="BO76" s="238">
        <f t="shared" si="86"/>
        <v>1.5748031496062995E-2</v>
      </c>
      <c r="BP76" s="216">
        <f t="shared" si="87"/>
        <v>0.25</v>
      </c>
      <c r="BQ76" s="138">
        <f t="shared" si="88"/>
        <v>0</v>
      </c>
      <c r="BR76" s="138">
        <f t="shared" si="89"/>
        <v>0</v>
      </c>
      <c r="BS76" s="238">
        <f t="shared" si="90"/>
        <v>0</v>
      </c>
      <c r="BT76" s="138">
        <f t="shared" si="91"/>
        <v>0.25</v>
      </c>
      <c r="BU76" s="138">
        <f t="shared" si="92"/>
        <v>0</v>
      </c>
      <c r="BV76" s="138">
        <f t="shared" si="93"/>
        <v>0</v>
      </c>
      <c r="BW76" s="238">
        <f t="shared" si="94"/>
        <v>0</v>
      </c>
      <c r="BX76" s="216">
        <f t="shared" si="95"/>
        <v>2.3622047244094495E-2</v>
      </c>
      <c r="BY76" s="138">
        <f t="shared" si="96"/>
        <v>0</v>
      </c>
      <c r="BZ76" s="138">
        <f t="shared" si="97"/>
        <v>0</v>
      </c>
      <c r="CA76" s="238">
        <f t="shared" si="98"/>
        <v>0</v>
      </c>
      <c r="CB76" s="138">
        <f t="shared" si="99"/>
        <v>2.3622047244094495E-2</v>
      </c>
      <c r="CC76" s="138">
        <f t="shared" si="100"/>
        <v>0</v>
      </c>
      <c r="CD76" s="138">
        <f t="shared" si="101"/>
        <v>0</v>
      </c>
      <c r="CE76" s="238">
        <f t="shared" si="102"/>
        <v>0</v>
      </c>
      <c r="CF76" s="216">
        <f t="shared" si="103"/>
        <v>1.5748031496062995E-2</v>
      </c>
      <c r="CG76" s="138">
        <f t="shared" si="104"/>
        <v>0</v>
      </c>
      <c r="CH76" s="138">
        <f t="shared" si="105"/>
        <v>0</v>
      </c>
      <c r="CI76" s="238">
        <f t="shared" si="106"/>
        <v>0</v>
      </c>
      <c r="CJ76" s="138">
        <f t="shared" si="107"/>
        <v>1.5748031496062995E-2</v>
      </c>
      <c r="CK76" s="138">
        <f t="shared" si="108"/>
        <v>0</v>
      </c>
      <c r="CL76" s="138">
        <f t="shared" si="109"/>
        <v>0</v>
      </c>
      <c r="CM76" s="238">
        <f t="shared" si="110"/>
        <v>0</v>
      </c>
      <c r="CN76" s="17">
        <f t="shared" si="111"/>
        <v>0.25</v>
      </c>
      <c r="CO76" s="17">
        <f t="shared" si="112"/>
        <v>2.3622047244094495E-2</v>
      </c>
      <c r="CP76" s="17">
        <f t="shared" si="113"/>
        <v>1.5748031496062995E-2</v>
      </c>
      <c r="CQ76" s="17">
        <f>$U76-IF('Inputs-Imperial'!$E$13,0,2)*($CO76+$CN76+$CP76)</f>
        <v>4.2661418688000001</v>
      </c>
      <c r="CR76" s="116">
        <f t="shared" si="114"/>
        <v>9978.0885999715319</v>
      </c>
      <c r="CS76" s="8">
        <f t="shared" si="10"/>
        <v>0.25798640528615424</v>
      </c>
      <c r="CT76" s="8">
        <f t="shared" si="115"/>
        <v>0.50792362150834669</v>
      </c>
      <c r="CU76" s="8">
        <f t="shared" si="11"/>
        <v>0.25798640528615424</v>
      </c>
      <c r="CV76" s="8">
        <f t="shared" si="116"/>
        <v>0.50792362150834669</v>
      </c>
      <c r="CW76" s="216">
        <f t="shared" si="117"/>
        <v>3.7582182472916532</v>
      </c>
      <c r="CX76" s="116">
        <f t="shared" si="118"/>
        <v>11326.628403662018</v>
      </c>
      <c r="CY76" s="8">
        <f t="shared" si="119"/>
        <v>0.29285329716165809</v>
      </c>
      <c r="CZ76" s="8">
        <f t="shared" si="120"/>
        <v>0.54115921609232354</v>
      </c>
      <c r="DA76" s="8">
        <f t="shared" si="121"/>
        <v>0.29285329716165809</v>
      </c>
      <c r="DB76" s="8">
        <f t="shared" si="122"/>
        <v>0.54115921609232354</v>
      </c>
      <c r="DC76" s="216">
        <f t="shared" si="123"/>
        <v>3.724982652707677</v>
      </c>
      <c r="DD76" s="116">
        <f t="shared" si="124"/>
        <v>11427.688533258548</v>
      </c>
      <c r="DE76" s="8">
        <f t="shared" si="125"/>
        <v>0.29546623643265596</v>
      </c>
      <c r="DF76" s="8">
        <f t="shared" si="126"/>
        <v>0.54356806053396478</v>
      </c>
      <c r="DG76" s="8">
        <f t="shared" si="127"/>
        <v>0.29546623643265596</v>
      </c>
      <c r="DH76" s="8">
        <f t="shared" si="128"/>
        <v>0.54356806053396478</v>
      </c>
      <c r="DI76" s="216">
        <f t="shared" si="129"/>
        <v>3.7225738082660351</v>
      </c>
      <c r="DJ76" s="116">
        <f t="shared" si="130"/>
        <v>11435.083288989925</v>
      </c>
      <c r="DK76" s="8">
        <f t="shared" si="131"/>
        <v>0.2956574300094611</v>
      </c>
      <c r="DL76" s="8">
        <f t="shared" si="132"/>
        <v>0.54374390112392168</v>
      </c>
      <c r="DM76" s="8">
        <f t="shared" si="133"/>
        <v>0.2956574300094611</v>
      </c>
      <c r="DN76" s="8">
        <f t="shared" si="134"/>
        <v>0.54374390112392168</v>
      </c>
      <c r="DO76" s="216">
        <f t="shared" si="135"/>
        <v>3.7223979676760788</v>
      </c>
      <c r="DP76" s="116">
        <f t="shared" si="136"/>
        <v>11435.623465459286</v>
      </c>
      <c r="DQ76" s="170">
        <f t="shared" si="137"/>
        <v>0.29567139643039975</v>
      </c>
      <c r="DR76" s="8">
        <f t="shared" si="138"/>
        <v>0.54375674380222605</v>
      </c>
      <c r="DS76" s="8">
        <f t="shared" si="139"/>
        <v>0.29567139643039975</v>
      </c>
      <c r="DT76" s="134">
        <f t="shared" si="140"/>
        <v>0.54375674380222605</v>
      </c>
      <c r="DU76" s="170">
        <f t="shared" si="250"/>
        <v>0.33770780740629297</v>
      </c>
      <c r="DV76" s="170">
        <f t="shared" si="250"/>
        <v>0.58112632654724306</v>
      </c>
      <c r="DW76" s="170">
        <f t="shared" si="250"/>
        <v>0.33770780740629297</v>
      </c>
      <c r="DX76" s="272">
        <f t="shared" si="250"/>
        <v>0.58112632654724306</v>
      </c>
      <c r="DY76" s="272">
        <f t="shared" si="142"/>
        <v>3.1038892157055145</v>
      </c>
      <c r="DZ76" s="22">
        <f t="shared" si="12"/>
        <v>226.82639261556443</v>
      </c>
      <c r="EA76" s="216">
        <f t="shared" si="13"/>
        <v>1.4860720776833793E-2</v>
      </c>
      <c r="EB76" s="12">
        <f t="shared" si="143"/>
        <v>2</v>
      </c>
      <c r="EC76" s="7">
        <f>ROUND(MAX(DV76,DX76)/'Inputs-Imperial'!$E$21,0)</f>
        <v>5</v>
      </c>
      <c r="ED76" s="12">
        <f t="shared" si="144"/>
        <v>5</v>
      </c>
      <c r="EE76" s="2">
        <f t="shared" si="145"/>
        <v>3</v>
      </c>
      <c r="EF76" s="127">
        <f t="shared" si="146"/>
        <v>3</v>
      </c>
      <c r="EG76" s="2">
        <f t="shared" si="147"/>
        <v>2.3622047244094495E-2</v>
      </c>
      <c r="EH76" s="8">
        <f t="shared" si="14"/>
        <v>0.15639100967716352</v>
      </c>
      <c r="EI76" s="138">
        <f t="shared" si="148"/>
        <v>0.25</v>
      </c>
      <c r="EJ76" s="12">
        <f t="shared" si="15"/>
        <v>8642.0855586530033</v>
      </c>
      <c r="EK76" s="138">
        <f t="shared" si="149"/>
        <v>0.25</v>
      </c>
      <c r="EL76" s="116">
        <f t="shared" si="150"/>
        <v>2175570</v>
      </c>
      <c r="EM76" s="2">
        <f t="shared" si="16"/>
        <v>2.3622047244094495E-2</v>
      </c>
      <c r="EN76" s="8">
        <f t="shared" si="151"/>
        <v>4.2661418688000001</v>
      </c>
      <c r="EO76" s="116">
        <f t="shared" si="152"/>
        <v>2610.6840000000002</v>
      </c>
      <c r="EP76" s="217">
        <f t="shared" si="153"/>
        <v>1.3343675096364047</v>
      </c>
      <c r="EQ76" s="207">
        <f t="shared" si="154"/>
        <v>2</v>
      </c>
      <c r="ER76" s="144">
        <f t="shared" si="155"/>
        <v>36868.226021333838</v>
      </c>
      <c r="ES76" s="138">
        <f t="shared" si="17"/>
        <v>0.25</v>
      </c>
      <c r="ET76" s="116">
        <f t="shared" si="156"/>
        <v>2175570</v>
      </c>
      <c r="EU76" s="2">
        <f t="shared" si="18"/>
        <v>2.3622047244094495E-2</v>
      </c>
      <c r="EV76" s="8">
        <f t="shared" si="157"/>
        <v>4.2661418688000001</v>
      </c>
      <c r="EW76" s="116">
        <f t="shared" si="158"/>
        <v>2610.6840000000002</v>
      </c>
      <c r="EX76" s="217">
        <f t="shared" si="159"/>
        <v>1.3343675096364047</v>
      </c>
      <c r="EY76" s="207">
        <f t="shared" si="160"/>
        <v>2</v>
      </c>
      <c r="EZ76" s="144">
        <f t="shared" si="161"/>
        <v>36868.226021333838</v>
      </c>
      <c r="FA76" s="138">
        <f t="shared" si="19"/>
        <v>0.25</v>
      </c>
      <c r="FB76" s="116">
        <f t="shared" si="162"/>
        <v>2175570</v>
      </c>
      <c r="FC76" s="2">
        <f t="shared" si="20"/>
        <v>2.3622047244094495E-2</v>
      </c>
      <c r="FD76" s="8">
        <f t="shared" si="163"/>
        <v>4.2661418688000001</v>
      </c>
      <c r="FE76" s="116">
        <f t="shared" si="164"/>
        <v>2610.6840000000002</v>
      </c>
      <c r="FF76" s="217">
        <f t="shared" si="165"/>
        <v>1.3343675096364047</v>
      </c>
      <c r="FG76" s="207">
        <f t="shared" si="166"/>
        <v>2</v>
      </c>
      <c r="FH76" s="144">
        <f t="shared" si="167"/>
        <v>36868.226021333838</v>
      </c>
      <c r="FI76" s="128">
        <f t="shared" si="168"/>
        <v>0.25</v>
      </c>
      <c r="FJ76" s="2">
        <f t="shared" si="169"/>
        <v>2.3622047244094495E-2</v>
      </c>
      <c r="FK76" s="127">
        <f t="shared" si="170"/>
        <v>2.3622047244094495E-2</v>
      </c>
      <c r="FL76" s="216">
        <f t="shared" si="171"/>
        <v>0.25</v>
      </c>
      <c r="FM76" s="138">
        <f t="shared" si="172"/>
        <v>0</v>
      </c>
      <c r="FN76" s="138">
        <f t="shared" si="173"/>
        <v>0</v>
      </c>
      <c r="FO76" s="238">
        <f t="shared" si="174"/>
        <v>0</v>
      </c>
      <c r="FP76" s="216">
        <f t="shared" si="21"/>
        <v>0.25</v>
      </c>
      <c r="FQ76" s="138">
        <f t="shared" si="22"/>
        <v>0</v>
      </c>
      <c r="FR76" s="138">
        <f t="shared" si="23"/>
        <v>0</v>
      </c>
      <c r="FS76" s="238">
        <f t="shared" si="24"/>
        <v>0</v>
      </c>
      <c r="FT76" s="216">
        <f t="shared" si="175"/>
        <v>2.3622047244094495E-2</v>
      </c>
      <c r="FU76" s="138">
        <f t="shared" si="176"/>
        <v>0</v>
      </c>
      <c r="FV76" s="138">
        <f t="shared" si="177"/>
        <v>0</v>
      </c>
      <c r="FW76" s="238">
        <f t="shared" si="178"/>
        <v>0</v>
      </c>
      <c r="FX76" s="216">
        <f t="shared" si="25"/>
        <v>2.3622047244094495E-2</v>
      </c>
      <c r="FY76" s="138">
        <f t="shared" si="26"/>
        <v>0</v>
      </c>
      <c r="FZ76" s="138">
        <f t="shared" si="27"/>
        <v>0</v>
      </c>
      <c r="GA76" s="238">
        <f t="shared" si="28"/>
        <v>0</v>
      </c>
      <c r="GB76" s="216">
        <f t="shared" si="179"/>
        <v>2.3622047244094495E-2</v>
      </c>
      <c r="GC76" s="138">
        <f t="shared" si="180"/>
        <v>0</v>
      </c>
      <c r="GD76" s="138">
        <f t="shared" si="181"/>
        <v>0</v>
      </c>
      <c r="GE76" s="238">
        <f t="shared" si="182"/>
        <v>0</v>
      </c>
      <c r="GF76" s="216">
        <f t="shared" si="29"/>
        <v>2.3622047244094495E-2</v>
      </c>
      <c r="GG76" s="138">
        <f t="shared" si="30"/>
        <v>0</v>
      </c>
      <c r="GH76" s="138">
        <f t="shared" si="31"/>
        <v>0</v>
      </c>
      <c r="GI76" s="238">
        <f t="shared" si="32"/>
        <v>0</v>
      </c>
      <c r="GJ76" s="216">
        <f t="shared" si="183"/>
        <v>0.25</v>
      </c>
      <c r="GK76" s="216">
        <f t="shared" si="184"/>
        <v>2.3622047244094495E-2</v>
      </c>
      <c r="GL76" s="17">
        <f t="shared" si="185"/>
        <v>2.3622047244094495E-2</v>
      </c>
      <c r="GM76" s="216">
        <f t="shared" si="186"/>
        <v>7.6297450339477485E-3</v>
      </c>
      <c r="GN76" s="2">
        <f t="shared" si="187"/>
        <v>1</v>
      </c>
      <c r="GO76" s="2">
        <f t="shared" si="188"/>
        <v>2</v>
      </c>
      <c r="GP76" s="142">
        <f t="shared" si="189"/>
        <v>2</v>
      </c>
      <c r="GQ76" s="2">
        <f t="shared" si="190"/>
        <v>1.5748031496062995E-2</v>
      </c>
      <c r="GR76" s="8">
        <f t="shared" si="33"/>
        <v>8.0293785702407861E-2</v>
      </c>
      <c r="GS76" s="138">
        <f t="shared" si="191"/>
        <v>0.25</v>
      </c>
      <c r="GT76" s="12">
        <f t="shared" si="34"/>
        <v>6655.4890268383815</v>
      </c>
      <c r="GU76" s="138">
        <f t="shared" si="192"/>
        <v>0.25</v>
      </c>
      <c r="GV76" s="116">
        <f t="shared" si="193"/>
        <v>2175570</v>
      </c>
      <c r="GW76" s="2">
        <f t="shared" si="35"/>
        <v>2.3622047244094495E-2</v>
      </c>
      <c r="GX76" s="8">
        <f t="shared" si="36"/>
        <v>2.1330709344000001</v>
      </c>
      <c r="GY76" s="116">
        <f t="shared" si="194"/>
        <v>2610.6840000000002</v>
      </c>
      <c r="GZ76" s="217">
        <f t="shared" si="195"/>
        <v>5.3374700385456189</v>
      </c>
      <c r="HA76" s="207">
        <f t="shared" si="196"/>
        <v>2</v>
      </c>
      <c r="HB76" s="144">
        <f t="shared" si="197"/>
        <v>147472.90408533535</v>
      </c>
      <c r="HC76" s="138">
        <f t="shared" si="37"/>
        <v>0.25</v>
      </c>
      <c r="HD76" s="116">
        <f t="shared" si="198"/>
        <v>2175570</v>
      </c>
      <c r="HE76" s="2">
        <f t="shared" si="38"/>
        <v>2.3622047244094495E-2</v>
      </c>
      <c r="HF76" s="8">
        <f t="shared" si="199"/>
        <v>2.1330709344000001</v>
      </c>
      <c r="HG76" s="116">
        <f t="shared" si="200"/>
        <v>2610.6840000000002</v>
      </c>
      <c r="HH76" s="217">
        <f t="shared" si="201"/>
        <v>5.3374700385456189</v>
      </c>
      <c r="HI76" s="207">
        <f t="shared" si="202"/>
        <v>2</v>
      </c>
      <c r="HJ76" s="144">
        <f t="shared" si="203"/>
        <v>147472.90408533535</v>
      </c>
      <c r="HK76" s="138">
        <f t="shared" si="39"/>
        <v>0.25</v>
      </c>
      <c r="HL76" s="116">
        <f t="shared" si="204"/>
        <v>2175570</v>
      </c>
      <c r="HM76" s="2">
        <f t="shared" si="40"/>
        <v>2.3622047244094495E-2</v>
      </c>
      <c r="HN76" s="8">
        <f t="shared" si="205"/>
        <v>2.1330709344000001</v>
      </c>
      <c r="HO76" s="116">
        <f t="shared" si="206"/>
        <v>2610.6840000000002</v>
      </c>
      <c r="HP76" s="217">
        <f t="shared" si="207"/>
        <v>5.3374700385456189</v>
      </c>
      <c r="HQ76" s="207">
        <f t="shared" si="208"/>
        <v>2</v>
      </c>
      <c r="HR76" s="144">
        <f t="shared" si="209"/>
        <v>147472.90408533535</v>
      </c>
      <c r="HS76" s="128">
        <f t="shared" si="210"/>
        <v>0.25</v>
      </c>
      <c r="HT76" s="2">
        <f t="shared" si="211"/>
        <v>1.5748031496062995E-2</v>
      </c>
      <c r="HU76" s="127">
        <f t="shared" si="212"/>
        <v>1.5748031496062995E-2</v>
      </c>
      <c r="HV76" s="216">
        <f t="shared" si="213"/>
        <v>0.25</v>
      </c>
      <c r="HW76" s="138">
        <f t="shared" si="214"/>
        <v>0</v>
      </c>
      <c r="HX76" s="138">
        <f t="shared" si="215"/>
        <v>0</v>
      </c>
      <c r="HY76" s="238">
        <f t="shared" si="216"/>
        <v>0</v>
      </c>
      <c r="HZ76" s="138">
        <f t="shared" si="217"/>
        <v>0.25</v>
      </c>
      <c r="IA76" s="138">
        <f t="shared" si="218"/>
        <v>0</v>
      </c>
      <c r="IB76" s="138">
        <f t="shared" si="219"/>
        <v>0</v>
      </c>
      <c r="IC76" s="138">
        <f t="shared" si="220"/>
        <v>0</v>
      </c>
      <c r="ID76" s="216">
        <f t="shared" si="221"/>
        <v>1.5748031496062995E-2</v>
      </c>
      <c r="IE76" s="138">
        <f t="shared" si="222"/>
        <v>0</v>
      </c>
      <c r="IF76" s="138">
        <f t="shared" si="223"/>
        <v>0</v>
      </c>
      <c r="IG76" s="238">
        <f t="shared" si="224"/>
        <v>0</v>
      </c>
      <c r="IH76" s="138">
        <f t="shared" si="225"/>
        <v>1.5748031496062995E-2</v>
      </c>
      <c r="II76" s="138">
        <f t="shared" si="226"/>
        <v>0</v>
      </c>
      <c r="IJ76" s="138">
        <f t="shared" si="227"/>
        <v>0</v>
      </c>
      <c r="IK76" s="138">
        <f t="shared" si="228"/>
        <v>0</v>
      </c>
      <c r="IL76" s="216">
        <f t="shared" si="229"/>
        <v>1.5748031496062995E-2</v>
      </c>
      <c r="IM76" s="138">
        <f t="shared" si="230"/>
        <v>0</v>
      </c>
      <c r="IN76" s="138">
        <f t="shared" si="231"/>
        <v>0</v>
      </c>
      <c r="IO76" s="238">
        <f t="shared" si="232"/>
        <v>0</v>
      </c>
      <c r="IP76" s="138">
        <f t="shared" si="233"/>
        <v>1.5748031496062995E-2</v>
      </c>
      <c r="IQ76" s="138">
        <f t="shared" si="234"/>
        <v>0</v>
      </c>
      <c r="IR76" s="138">
        <f t="shared" si="235"/>
        <v>0</v>
      </c>
      <c r="IS76" s="138">
        <f t="shared" si="236"/>
        <v>0</v>
      </c>
      <c r="IT76" s="17">
        <f t="shared" si="237"/>
        <v>0.25</v>
      </c>
      <c r="IU76" s="17">
        <f t="shared" si="238"/>
        <v>1.5748031496062995E-2</v>
      </c>
      <c r="IV76" s="17">
        <f t="shared" si="239"/>
        <v>1.5748031496062995E-2</v>
      </c>
      <c r="IW76" s="253">
        <f t="shared" si="240"/>
        <v>11.850394080000001</v>
      </c>
      <c r="IX76" s="116">
        <f t="shared" si="241"/>
        <v>359.21118959897512</v>
      </c>
      <c r="IY76" s="8">
        <f t="shared" si="242"/>
        <v>9.287510590301553E-3</v>
      </c>
      <c r="IZ76" s="8">
        <f t="shared" si="243"/>
        <v>9.287510590301553E-3</v>
      </c>
      <c r="JA76" s="8">
        <f t="shared" si="244"/>
        <v>4.6437552951507765E-3</v>
      </c>
      <c r="JB76" s="134">
        <f t="shared" si="245"/>
        <v>6.8145104704232254E-2</v>
      </c>
      <c r="JC76" s="170">
        <f t="shared" si="251"/>
        <v>5.2747672707505648E-3</v>
      </c>
      <c r="JD76" s="272">
        <f t="shared" si="252"/>
        <v>7.2627593039770802E-2</v>
      </c>
      <c r="JE76" s="8"/>
      <c r="JF76" s="8"/>
    </row>
    <row r="77" spans="1:266" x14ac:dyDescent="0.25">
      <c r="A77" s="186">
        <v>17</v>
      </c>
      <c r="B77" s="187">
        <f>A77/100*'Inputs-Imperial'!$E$5</f>
        <v>1.6732284000000002</v>
      </c>
      <c r="C77" s="188">
        <f>'Inputs-Imperial'!$E$10+('Inputs-Imperial'!$E$9-'Inputs-Imperial'!$E$10)*(100-A77)/100</f>
        <v>1.9652231600000001</v>
      </c>
      <c r="D77" s="187">
        <f t="shared" si="248"/>
        <v>9.8425200000000101E-2</v>
      </c>
      <c r="E77" s="188">
        <f t="shared" si="249"/>
        <v>0.19391185856738419</v>
      </c>
      <c r="F77" s="423">
        <f>Loads!P37</f>
        <v>95.278218495496532</v>
      </c>
      <c r="G77" s="423">
        <f>Loads!M37</f>
        <v>952.78218495496446</v>
      </c>
      <c r="H77" s="423">
        <f>Loads!N37</f>
        <v>3452.0849975347323</v>
      </c>
      <c r="I77" s="423">
        <f>Loads!V37</f>
        <v>-850.53111390548361</v>
      </c>
      <c r="J77" s="423">
        <f>Loads!Q37</f>
        <v>345.20849975347329</v>
      </c>
      <c r="K77" s="2">
        <v>17</v>
      </c>
      <c r="L77" s="12">
        <f t="shared" si="41"/>
        <v>20.078740800000002</v>
      </c>
      <c r="M77" s="11">
        <f t="shared" si="42"/>
        <v>23.582677920000002</v>
      </c>
      <c r="N77" s="11">
        <f t="shared" si="43"/>
        <v>1.1811024000000012</v>
      </c>
      <c r="O77" s="152">
        <f t="shared" si="44"/>
        <v>27.92330763370332</v>
      </c>
      <c r="P77" s="151">
        <f t="shared" si="45"/>
        <v>95.278218495496532</v>
      </c>
      <c r="Q77" s="12">
        <f t="shared" si="46"/>
        <v>952.78218495496446</v>
      </c>
      <c r="R77" s="12">
        <f t="shared" si="47"/>
        <v>41425.01997041679</v>
      </c>
      <c r="S77" s="12">
        <f t="shared" si="48"/>
        <v>-10206.373366865802</v>
      </c>
      <c r="T77" s="152">
        <f t="shared" si="49"/>
        <v>4142.5019970416797</v>
      </c>
      <c r="U77" s="8">
        <f t="shared" si="0"/>
        <v>4.2448820255999999</v>
      </c>
      <c r="V77" s="8">
        <f t="shared" si="1"/>
        <v>4.2448820255999999</v>
      </c>
      <c r="W77" s="134">
        <f t="shared" si="2"/>
        <v>2.1224410128</v>
      </c>
      <c r="X77" s="311">
        <f t="shared" si="3"/>
        <v>5.8956694800000005</v>
      </c>
      <c r="Y77" s="11">
        <f t="shared" si="4"/>
        <v>17.68700844</v>
      </c>
      <c r="Z77" s="11">
        <f t="shared" si="5"/>
        <v>11.791338959999999</v>
      </c>
      <c r="AA77" s="316">
        <f t="shared" si="50"/>
        <v>17.68700844</v>
      </c>
      <c r="AB77" s="170">
        <f t="shared" si="51"/>
        <v>3.1836615192000002</v>
      </c>
      <c r="AC77" s="11">
        <f t="shared" si="52"/>
        <v>17.68700844</v>
      </c>
      <c r="AD77" s="152">
        <f t="shared" si="53"/>
        <v>44.225337166939894</v>
      </c>
      <c r="AE77" s="151">
        <f t="shared" si="6"/>
        <v>5.3869041120611652</v>
      </c>
      <c r="AF77" s="12">
        <f t="shared" si="54"/>
        <v>115.39056591405085</v>
      </c>
      <c r="AG77" s="216">
        <f t="shared" si="7"/>
        <v>7.9128369388320671E-3</v>
      </c>
      <c r="AH77" s="2">
        <f t="shared" si="55"/>
        <v>2</v>
      </c>
      <c r="AI77" s="2">
        <f t="shared" si="56"/>
        <v>3</v>
      </c>
      <c r="AJ77" s="127">
        <f t="shared" si="57"/>
        <v>2</v>
      </c>
      <c r="AK77" s="2">
        <f t="shared" si="58"/>
        <v>1.5748031496062995E-2</v>
      </c>
      <c r="AL77" s="8">
        <f t="shared" si="8"/>
        <v>8.327298364987934E-2</v>
      </c>
      <c r="AM77" s="138">
        <f t="shared" si="59"/>
        <v>0.25</v>
      </c>
      <c r="AN77" s="12">
        <f t="shared" si="9"/>
        <v>6902.4324119923003</v>
      </c>
      <c r="AO77" s="138">
        <f t="shared" si="60"/>
        <v>0.25</v>
      </c>
      <c r="AP77" s="116">
        <f t="shared" si="61"/>
        <v>2175570</v>
      </c>
      <c r="AQ77" s="2">
        <f t="shared" si="62"/>
        <v>1.5748031496062995E-2</v>
      </c>
      <c r="AR77" s="8">
        <f t="shared" si="63"/>
        <v>11.791338959999999</v>
      </c>
      <c r="AS77" s="116">
        <f t="shared" si="64"/>
        <v>2610.6840000000002</v>
      </c>
      <c r="AT77" s="217">
        <f t="shared" si="65"/>
        <v>0.1164470629232925</v>
      </c>
      <c r="AU77" s="207">
        <f t="shared" si="66"/>
        <v>3.7327361885986292</v>
      </c>
      <c r="AV77" s="144">
        <f t="shared" si="67"/>
        <v>9007.2845355059762</v>
      </c>
      <c r="AW77" s="138">
        <f t="shared" si="68"/>
        <v>0.25</v>
      </c>
      <c r="AX77" s="116">
        <f t="shared" si="69"/>
        <v>2175570</v>
      </c>
      <c r="AY77" s="2">
        <f t="shared" si="70"/>
        <v>1.5748031496062995E-2</v>
      </c>
      <c r="AZ77" s="8">
        <f t="shared" si="71"/>
        <v>11.791338959999999</v>
      </c>
      <c r="BA77" s="116">
        <f t="shared" si="72"/>
        <v>2610.6840000000002</v>
      </c>
      <c r="BB77" s="217">
        <f t="shared" si="73"/>
        <v>0.1164470629232925</v>
      </c>
      <c r="BC77" s="207">
        <f t="shared" si="74"/>
        <v>3.7327361885986292</v>
      </c>
      <c r="BD77" s="144">
        <f t="shared" si="75"/>
        <v>9007.2845355059762</v>
      </c>
      <c r="BE77" s="138">
        <f t="shared" si="76"/>
        <v>0.25</v>
      </c>
      <c r="BF77" s="116">
        <f t="shared" si="77"/>
        <v>2175570</v>
      </c>
      <c r="BG77" s="2">
        <f t="shared" si="78"/>
        <v>1.5748031496062995E-2</v>
      </c>
      <c r="BH77" s="8">
        <f t="shared" si="79"/>
        <v>11.791338959999999</v>
      </c>
      <c r="BI77" s="116">
        <f t="shared" si="80"/>
        <v>2610.6840000000002</v>
      </c>
      <c r="BJ77" s="217">
        <f t="shared" si="81"/>
        <v>0.1164470629232925</v>
      </c>
      <c r="BK77" s="207">
        <f t="shared" si="82"/>
        <v>3.7327361885986292</v>
      </c>
      <c r="BL77" s="144">
        <f t="shared" si="83"/>
        <v>9007.2845355059762</v>
      </c>
      <c r="BM77" s="216">
        <f t="shared" si="84"/>
        <v>0.25</v>
      </c>
      <c r="BN77" s="216">
        <f t="shared" si="85"/>
        <v>2.3622047244094495E-2</v>
      </c>
      <c r="BO77" s="238">
        <f t="shared" si="86"/>
        <v>1.5748031496062995E-2</v>
      </c>
      <c r="BP77" s="216">
        <f t="shared" si="87"/>
        <v>0.25</v>
      </c>
      <c r="BQ77" s="138">
        <f t="shared" si="88"/>
        <v>0</v>
      </c>
      <c r="BR77" s="138">
        <f t="shared" si="89"/>
        <v>0</v>
      </c>
      <c r="BS77" s="238">
        <f t="shared" si="90"/>
        <v>0</v>
      </c>
      <c r="BT77" s="138">
        <f t="shared" si="91"/>
        <v>0.25</v>
      </c>
      <c r="BU77" s="138">
        <f t="shared" si="92"/>
        <v>0</v>
      </c>
      <c r="BV77" s="138">
        <f t="shared" si="93"/>
        <v>0</v>
      </c>
      <c r="BW77" s="238">
        <f t="shared" si="94"/>
        <v>0</v>
      </c>
      <c r="BX77" s="216">
        <f t="shared" si="95"/>
        <v>2.3622047244094495E-2</v>
      </c>
      <c r="BY77" s="138">
        <f t="shared" si="96"/>
        <v>0</v>
      </c>
      <c r="BZ77" s="138">
        <f t="shared" si="97"/>
        <v>0</v>
      </c>
      <c r="CA77" s="238">
        <f t="shared" si="98"/>
        <v>0</v>
      </c>
      <c r="CB77" s="138">
        <f t="shared" si="99"/>
        <v>2.3622047244094495E-2</v>
      </c>
      <c r="CC77" s="138">
        <f t="shared" si="100"/>
        <v>0</v>
      </c>
      <c r="CD77" s="138">
        <f t="shared" si="101"/>
        <v>0</v>
      </c>
      <c r="CE77" s="238">
        <f t="shared" si="102"/>
        <v>0</v>
      </c>
      <c r="CF77" s="216">
        <f t="shared" si="103"/>
        <v>1.5748031496062995E-2</v>
      </c>
      <c r="CG77" s="138">
        <f t="shared" si="104"/>
        <v>0</v>
      </c>
      <c r="CH77" s="138">
        <f t="shared" si="105"/>
        <v>0</v>
      </c>
      <c r="CI77" s="238">
        <f t="shared" si="106"/>
        <v>0</v>
      </c>
      <c r="CJ77" s="138">
        <f t="shared" si="107"/>
        <v>1.5748031496062995E-2</v>
      </c>
      <c r="CK77" s="138">
        <f t="shared" si="108"/>
        <v>0</v>
      </c>
      <c r="CL77" s="138">
        <f t="shared" si="109"/>
        <v>0</v>
      </c>
      <c r="CM77" s="238">
        <f t="shared" si="110"/>
        <v>0</v>
      </c>
      <c r="CN77" s="17">
        <f t="shared" si="111"/>
        <v>0.25</v>
      </c>
      <c r="CO77" s="17">
        <f t="shared" si="112"/>
        <v>2.3622047244094495E-2</v>
      </c>
      <c r="CP77" s="17">
        <f t="shared" si="113"/>
        <v>1.5748031496062995E-2</v>
      </c>
      <c r="CQ77" s="17">
        <f>$U77-IF('Inputs-Imperial'!$E$13,0,2)*($CO77+$CN77+$CP77)</f>
        <v>4.2448820255999999</v>
      </c>
      <c r="CR77" s="116">
        <f t="shared" si="114"/>
        <v>9758.8153735701289</v>
      </c>
      <c r="CS77" s="8">
        <f t="shared" si="10"/>
        <v>0.25231703174952758</v>
      </c>
      <c r="CT77" s="8">
        <f t="shared" si="115"/>
        <v>0.50231168784881719</v>
      </c>
      <c r="CU77" s="8">
        <f t="shared" si="11"/>
        <v>0.25231703174952758</v>
      </c>
      <c r="CV77" s="8">
        <f t="shared" si="116"/>
        <v>0.50231168784881719</v>
      </c>
      <c r="CW77" s="216">
        <f t="shared" si="117"/>
        <v>3.7425703377511832</v>
      </c>
      <c r="CX77" s="116">
        <f t="shared" si="118"/>
        <v>11068.601584468295</v>
      </c>
      <c r="CY77" s="8">
        <f t="shared" si="119"/>
        <v>0.28618193812487835</v>
      </c>
      <c r="CZ77" s="8">
        <f t="shared" si="120"/>
        <v>0.53495975374310012</v>
      </c>
      <c r="DA77" s="8">
        <f t="shared" si="121"/>
        <v>0.28618193812487835</v>
      </c>
      <c r="DB77" s="8">
        <f t="shared" si="122"/>
        <v>0.53495975374310012</v>
      </c>
      <c r="DC77" s="216">
        <f t="shared" si="123"/>
        <v>3.7099222718568994</v>
      </c>
      <c r="DD77" s="116">
        <f t="shared" si="124"/>
        <v>11166.007515753865</v>
      </c>
      <c r="DE77" s="8">
        <f t="shared" si="125"/>
        <v>0.28870039702751688</v>
      </c>
      <c r="DF77" s="8">
        <f t="shared" si="126"/>
        <v>0.53730847474008525</v>
      </c>
      <c r="DG77" s="8">
        <f t="shared" si="127"/>
        <v>0.28870039702751688</v>
      </c>
      <c r="DH77" s="8">
        <f t="shared" si="128"/>
        <v>0.53730847474008525</v>
      </c>
      <c r="DI77" s="216">
        <f t="shared" si="129"/>
        <v>3.707573550859915</v>
      </c>
      <c r="DJ77" s="116">
        <f t="shared" si="130"/>
        <v>11173.081100659187</v>
      </c>
      <c r="DK77" s="8">
        <f t="shared" si="131"/>
        <v>0.28888328663848056</v>
      </c>
      <c r="DL77" s="8">
        <f t="shared" si="132"/>
        <v>0.5374786383089849</v>
      </c>
      <c r="DM77" s="8">
        <f t="shared" si="133"/>
        <v>0.28888328663848056</v>
      </c>
      <c r="DN77" s="8">
        <f t="shared" si="134"/>
        <v>0.5374786383089849</v>
      </c>
      <c r="DO77" s="216">
        <f t="shared" si="135"/>
        <v>3.7074033872910155</v>
      </c>
      <c r="DP77" s="116">
        <f t="shared" si="136"/>
        <v>11173.593926256264</v>
      </c>
      <c r="DQ77" s="170">
        <f t="shared" si="137"/>
        <v>0.28889654589459995</v>
      </c>
      <c r="DR77" s="8">
        <f t="shared" si="138"/>
        <v>0.53749097284940517</v>
      </c>
      <c r="DS77" s="8">
        <f t="shared" si="139"/>
        <v>0.28889654589459995</v>
      </c>
      <c r="DT77" s="134">
        <f t="shared" si="140"/>
        <v>0.53749097284940517</v>
      </c>
      <c r="DU77" s="170">
        <f t="shared" si="250"/>
        <v>0.33770780740629297</v>
      </c>
      <c r="DV77" s="170">
        <f t="shared" si="250"/>
        <v>0.58112632654724306</v>
      </c>
      <c r="DW77" s="170">
        <f t="shared" si="250"/>
        <v>0.33770780740629297</v>
      </c>
      <c r="DX77" s="272">
        <f t="shared" si="250"/>
        <v>0.58112632654724306</v>
      </c>
      <c r="DY77" s="272">
        <f t="shared" si="142"/>
        <v>3.0826293725055143</v>
      </c>
      <c r="DZ77" s="22">
        <f t="shared" si="12"/>
        <v>224.45433800254835</v>
      </c>
      <c r="EA77" s="216">
        <f t="shared" si="13"/>
        <v>1.4705313635429502E-2</v>
      </c>
      <c r="EB77" s="12">
        <f t="shared" si="143"/>
        <v>2</v>
      </c>
      <c r="EC77" s="7">
        <f>ROUND(MAX(DV77,DX77)/'Inputs-Imperial'!$E$21,0)</f>
        <v>5</v>
      </c>
      <c r="ED77" s="12">
        <f t="shared" si="144"/>
        <v>5</v>
      </c>
      <c r="EE77" s="2">
        <f t="shared" si="145"/>
        <v>3</v>
      </c>
      <c r="EF77" s="127">
        <f t="shared" si="146"/>
        <v>3</v>
      </c>
      <c r="EG77" s="2">
        <f t="shared" si="147"/>
        <v>2.3622047244094495E-2</v>
      </c>
      <c r="EH77" s="8">
        <f t="shared" si="14"/>
        <v>0.15475553855027535</v>
      </c>
      <c r="EI77" s="138">
        <f t="shared" si="148"/>
        <v>0.25</v>
      </c>
      <c r="EJ77" s="12">
        <f t="shared" si="15"/>
        <v>8551.7102778970911</v>
      </c>
      <c r="EK77" s="138">
        <f t="shared" si="149"/>
        <v>0.25</v>
      </c>
      <c r="EL77" s="116">
        <f t="shared" si="150"/>
        <v>2175570</v>
      </c>
      <c r="EM77" s="2">
        <f t="shared" si="16"/>
        <v>2.3622047244094495E-2</v>
      </c>
      <c r="EN77" s="8">
        <f t="shared" si="151"/>
        <v>4.2448820255999999</v>
      </c>
      <c r="EO77" s="116">
        <f t="shared" si="152"/>
        <v>2610.6840000000002</v>
      </c>
      <c r="EP77" s="217">
        <f t="shared" si="153"/>
        <v>1.3477669319825518</v>
      </c>
      <c r="EQ77" s="207">
        <f t="shared" si="154"/>
        <v>2</v>
      </c>
      <c r="ER77" s="144">
        <f t="shared" si="155"/>
        <v>37238.44856350866</v>
      </c>
      <c r="ES77" s="138">
        <f t="shared" si="17"/>
        <v>0.25</v>
      </c>
      <c r="ET77" s="116">
        <f t="shared" si="156"/>
        <v>2175570</v>
      </c>
      <c r="EU77" s="2">
        <f t="shared" si="18"/>
        <v>2.3622047244094495E-2</v>
      </c>
      <c r="EV77" s="8">
        <f t="shared" si="157"/>
        <v>4.2448820255999999</v>
      </c>
      <c r="EW77" s="116">
        <f t="shared" si="158"/>
        <v>2610.6840000000002</v>
      </c>
      <c r="EX77" s="217">
        <f t="shared" si="159"/>
        <v>1.3477669319825518</v>
      </c>
      <c r="EY77" s="207">
        <f t="shared" si="160"/>
        <v>2</v>
      </c>
      <c r="EZ77" s="144">
        <f t="shared" si="161"/>
        <v>37238.44856350866</v>
      </c>
      <c r="FA77" s="138">
        <f t="shared" si="19"/>
        <v>0.25</v>
      </c>
      <c r="FB77" s="116">
        <f t="shared" si="162"/>
        <v>2175570</v>
      </c>
      <c r="FC77" s="2">
        <f t="shared" si="20"/>
        <v>2.3622047244094495E-2</v>
      </c>
      <c r="FD77" s="8">
        <f t="shared" si="163"/>
        <v>4.2448820255999999</v>
      </c>
      <c r="FE77" s="116">
        <f t="shared" si="164"/>
        <v>2610.6840000000002</v>
      </c>
      <c r="FF77" s="217">
        <f t="shared" si="165"/>
        <v>1.3477669319825518</v>
      </c>
      <c r="FG77" s="207">
        <f t="shared" si="166"/>
        <v>2</v>
      </c>
      <c r="FH77" s="144">
        <f t="shared" si="167"/>
        <v>37238.44856350866</v>
      </c>
      <c r="FI77" s="128">
        <f t="shared" si="168"/>
        <v>0.25</v>
      </c>
      <c r="FJ77" s="2">
        <f t="shared" si="169"/>
        <v>2.3622047244094495E-2</v>
      </c>
      <c r="FK77" s="127">
        <f t="shared" si="170"/>
        <v>2.3622047244094495E-2</v>
      </c>
      <c r="FL77" s="216">
        <f t="shared" si="171"/>
        <v>0.25</v>
      </c>
      <c r="FM77" s="138">
        <f t="shared" si="172"/>
        <v>0</v>
      </c>
      <c r="FN77" s="138">
        <f t="shared" si="173"/>
        <v>0</v>
      </c>
      <c r="FO77" s="238">
        <f t="shared" si="174"/>
        <v>0</v>
      </c>
      <c r="FP77" s="216">
        <f t="shared" si="21"/>
        <v>0.25</v>
      </c>
      <c r="FQ77" s="138">
        <f t="shared" si="22"/>
        <v>0</v>
      </c>
      <c r="FR77" s="138">
        <f t="shared" si="23"/>
        <v>0</v>
      </c>
      <c r="FS77" s="238">
        <f t="shared" si="24"/>
        <v>0</v>
      </c>
      <c r="FT77" s="216">
        <f t="shared" si="175"/>
        <v>2.3622047244094495E-2</v>
      </c>
      <c r="FU77" s="138">
        <f t="shared" si="176"/>
        <v>0</v>
      </c>
      <c r="FV77" s="138">
        <f t="shared" si="177"/>
        <v>0</v>
      </c>
      <c r="FW77" s="238">
        <f t="shared" si="178"/>
        <v>0</v>
      </c>
      <c r="FX77" s="216">
        <f t="shared" si="25"/>
        <v>2.3622047244094495E-2</v>
      </c>
      <c r="FY77" s="138">
        <f t="shared" si="26"/>
        <v>0</v>
      </c>
      <c r="FZ77" s="138">
        <f t="shared" si="27"/>
        <v>0</v>
      </c>
      <c r="GA77" s="238">
        <f t="shared" si="28"/>
        <v>0</v>
      </c>
      <c r="GB77" s="216">
        <f t="shared" si="179"/>
        <v>2.3622047244094495E-2</v>
      </c>
      <c r="GC77" s="138">
        <f t="shared" si="180"/>
        <v>0</v>
      </c>
      <c r="GD77" s="138">
        <f t="shared" si="181"/>
        <v>0</v>
      </c>
      <c r="GE77" s="238">
        <f t="shared" si="182"/>
        <v>0</v>
      </c>
      <c r="GF77" s="216">
        <f t="shared" si="29"/>
        <v>2.3622047244094495E-2</v>
      </c>
      <c r="GG77" s="138">
        <f t="shared" si="30"/>
        <v>0</v>
      </c>
      <c r="GH77" s="138">
        <f t="shared" si="31"/>
        <v>0</v>
      </c>
      <c r="GI77" s="238">
        <f t="shared" si="32"/>
        <v>0</v>
      </c>
      <c r="GJ77" s="216">
        <f t="shared" si="183"/>
        <v>0.25</v>
      </c>
      <c r="GK77" s="216">
        <f t="shared" si="184"/>
        <v>2.3622047244094495E-2</v>
      </c>
      <c r="GL77" s="17">
        <f t="shared" si="185"/>
        <v>2.3622047244094495E-2</v>
      </c>
      <c r="GM77" s="216">
        <f t="shared" si="186"/>
        <v>7.5599094115817592E-3</v>
      </c>
      <c r="GN77" s="2">
        <f t="shared" si="187"/>
        <v>1</v>
      </c>
      <c r="GO77" s="2">
        <f t="shared" si="188"/>
        <v>2</v>
      </c>
      <c r="GP77" s="142">
        <f t="shared" si="189"/>
        <v>2</v>
      </c>
      <c r="GQ77" s="2">
        <f t="shared" si="190"/>
        <v>1.5748031496062995E-2</v>
      </c>
      <c r="GR77" s="8">
        <f t="shared" si="33"/>
        <v>7.9558850724672739E-2</v>
      </c>
      <c r="GS77" s="138">
        <f t="shared" si="191"/>
        <v>0.25</v>
      </c>
      <c r="GT77" s="12">
        <f t="shared" si="34"/>
        <v>6594.5708419880048</v>
      </c>
      <c r="GU77" s="138">
        <f t="shared" si="192"/>
        <v>0.25</v>
      </c>
      <c r="GV77" s="116">
        <f t="shared" si="193"/>
        <v>2175570</v>
      </c>
      <c r="GW77" s="2">
        <f t="shared" si="35"/>
        <v>2.3622047244094495E-2</v>
      </c>
      <c r="GX77" s="8">
        <f t="shared" si="36"/>
        <v>2.1224410128</v>
      </c>
      <c r="GY77" s="116">
        <f t="shared" si="194"/>
        <v>2610.6840000000002</v>
      </c>
      <c r="GZ77" s="217">
        <f t="shared" si="195"/>
        <v>5.3910677279302073</v>
      </c>
      <c r="HA77" s="207">
        <f t="shared" si="196"/>
        <v>2</v>
      </c>
      <c r="HB77" s="144">
        <f t="shared" si="197"/>
        <v>148953.79425403464</v>
      </c>
      <c r="HC77" s="138">
        <f t="shared" si="37"/>
        <v>0.25</v>
      </c>
      <c r="HD77" s="116">
        <f t="shared" si="198"/>
        <v>2175570</v>
      </c>
      <c r="HE77" s="2">
        <f t="shared" si="38"/>
        <v>2.3622047244094495E-2</v>
      </c>
      <c r="HF77" s="8">
        <f t="shared" si="199"/>
        <v>2.1224410128</v>
      </c>
      <c r="HG77" s="116">
        <f t="shared" si="200"/>
        <v>2610.6840000000002</v>
      </c>
      <c r="HH77" s="217">
        <f t="shared" si="201"/>
        <v>5.3910677279302073</v>
      </c>
      <c r="HI77" s="207">
        <f t="shared" si="202"/>
        <v>2</v>
      </c>
      <c r="HJ77" s="144">
        <f t="shared" si="203"/>
        <v>148953.79425403464</v>
      </c>
      <c r="HK77" s="138">
        <f t="shared" si="39"/>
        <v>0.25</v>
      </c>
      <c r="HL77" s="116">
        <f t="shared" si="204"/>
        <v>2175570</v>
      </c>
      <c r="HM77" s="2">
        <f t="shared" si="40"/>
        <v>2.3622047244094495E-2</v>
      </c>
      <c r="HN77" s="8">
        <f t="shared" si="205"/>
        <v>2.1224410128</v>
      </c>
      <c r="HO77" s="116">
        <f t="shared" si="206"/>
        <v>2610.6840000000002</v>
      </c>
      <c r="HP77" s="217">
        <f t="shared" si="207"/>
        <v>5.3910677279302073</v>
      </c>
      <c r="HQ77" s="207">
        <f t="shared" si="208"/>
        <v>2</v>
      </c>
      <c r="HR77" s="144">
        <f t="shared" si="209"/>
        <v>148953.79425403464</v>
      </c>
      <c r="HS77" s="128">
        <f t="shared" si="210"/>
        <v>0.25</v>
      </c>
      <c r="HT77" s="2">
        <f t="shared" si="211"/>
        <v>1.5748031496062995E-2</v>
      </c>
      <c r="HU77" s="127">
        <f t="shared" si="212"/>
        <v>1.5748031496062995E-2</v>
      </c>
      <c r="HV77" s="216">
        <f t="shared" si="213"/>
        <v>0.25</v>
      </c>
      <c r="HW77" s="138">
        <f t="shared" si="214"/>
        <v>0</v>
      </c>
      <c r="HX77" s="138">
        <f t="shared" si="215"/>
        <v>0</v>
      </c>
      <c r="HY77" s="238">
        <f t="shared" si="216"/>
        <v>0</v>
      </c>
      <c r="HZ77" s="138">
        <f t="shared" si="217"/>
        <v>0.25</v>
      </c>
      <c r="IA77" s="138">
        <f t="shared" si="218"/>
        <v>0</v>
      </c>
      <c r="IB77" s="138">
        <f t="shared" si="219"/>
        <v>0</v>
      </c>
      <c r="IC77" s="138">
        <f t="shared" si="220"/>
        <v>0</v>
      </c>
      <c r="ID77" s="216">
        <f t="shared" si="221"/>
        <v>1.5748031496062995E-2</v>
      </c>
      <c r="IE77" s="138">
        <f t="shared" si="222"/>
        <v>0</v>
      </c>
      <c r="IF77" s="138">
        <f t="shared" si="223"/>
        <v>0</v>
      </c>
      <c r="IG77" s="238">
        <f t="shared" si="224"/>
        <v>0</v>
      </c>
      <c r="IH77" s="138">
        <f t="shared" si="225"/>
        <v>1.5748031496062995E-2</v>
      </c>
      <c r="II77" s="138">
        <f t="shared" si="226"/>
        <v>0</v>
      </c>
      <c r="IJ77" s="138">
        <f t="shared" si="227"/>
        <v>0</v>
      </c>
      <c r="IK77" s="138">
        <f t="shared" si="228"/>
        <v>0</v>
      </c>
      <c r="IL77" s="216">
        <f t="shared" si="229"/>
        <v>1.5748031496062995E-2</v>
      </c>
      <c r="IM77" s="138">
        <f t="shared" si="230"/>
        <v>0</v>
      </c>
      <c r="IN77" s="138">
        <f t="shared" si="231"/>
        <v>0</v>
      </c>
      <c r="IO77" s="238">
        <f t="shared" si="232"/>
        <v>0</v>
      </c>
      <c r="IP77" s="138">
        <f t="shared" si="233"/>
        <v>1.5748031496062995E-2</v>
      </c>
      <c r="IQ77" s="138">
        <f t="shared" si="234"/>
        <v>0</v>
      </c>
      <c r="IR77" s="138">
        <f t="shared" si="235"/>
        <v>0</v>
      </c>
      <c r="IS77" s="138">
        <f t="shared" si="236"/>
        <v>0</v>
      </c>
      <c r="IT77" s="17">
        <f t="shared" si="237"/>
        <v>0.25</v>
      </c>
      <c r="IU77" s="17">
        <f t="shared" si="238"/>
        <v>1.5748031496062995E-2</v>
      </c>
      <c r="IV77" s="17">
        <f t="shared" si="239"/>
        <v>1.5748031496062995E-2</v>
      </c>
      <c r="IW77" s="253">
        <f t="shared" si="240"/>
        <v>11.791338959999999</v>
      </c>
      <c r="IX77" s="116">
        <f t="shared" si="241"/>
        <v>351.31735344852473</v>
      </c>
      <c r="IY77" s="8">
        <f t="shared" si="242"/>
        <v>9.0834131429829955E-3</v>
      </c>
      <c r="IZ77" s="8">
        <f t="shared" si="243"/>
        <v>9.0834131429829955E-3</v>
      </c>
      <c r="JA77" s="8">
        <f t="shared" si="244"/>
        <v>4.5417065714914977E-3</v>
      </c>
      <c r="JB77" s="134">
        <f t="shared" si="245"/>
        <v>6.7392184795356636E-2</v>
      </c>
      <c r="JC77" s="170">
        <f t="shared" si="251"/>
        <v>5.2747672707505648E-3</v>
      </c>
      <c r="JD77" s="272">
        <f t="shared" si="252"/>
        <v>7.2627593039770802E-2</v>
      </c>
      <c r="JE77" s="8"/>
      <c r="JF77" s="8"/>
    </row>
    <row r="78" spans="1:266" x14ac:dyDescent="0.25">
      <c r="A78" s="186">
        <v>18</v>
      </c>
      <c r="B78" s="187">
        <f>A78/100*'Inputs-Imperial'!$E$5</f>
        <v>1.7716536000000001</v>
      </c>
      <c r="C78" s="188">
        <f>'Inputs-Imperial'!$E$10+('Inputs-Imperial'!$E$9-'Inputs-Imperial'!$E$10)*(100-A78)/100</f>
        <v>1.95538064</v>
      </c>
      <c r="D78" s="187">
        <f t="shared" si="248"/>
        <v>9.8425199999999879E-2</v>
      </c>
      <c r="E78" s="188">
        <f t="shared" si="249"/>
        <v>0.19294310656787977</v>
      </c>
      <c r="F78" s="423">
        <f>Loads!P38</f>
        <v>93.79404819724239</v>
      </c>
      <c r="G78" s="423">
        <f>Loads!M38</f>
        <v>937.94048197242307</v>
      </c>
      <c r="H78" s="423">
        <f>Loads!N38</f>
        <v>3358.307220424103</v>
      </c>
      <c r="I78" s="423">
        <f>Loads!V38</f>
        <v>-834.16477875047747</v>
      </c>
      <c r="J78" s="423">
        <f>Loads!Q38</f>
        <v>335.83072204241034</v>
      </c>
      <c r="K78" s="2">
        <v>18</v>
      </c>
      <c r="L78" s="12">
        <f t="shared" si="41"/>
        <v>21.259843199999999</v>
      </c>
      <c r="M78" s="11">
        <f t="shared" si="42"/>
        <v>23.464567680000002</v>
      </c>
      <c r="N78" s="11">
        <f t="shared" si="43"/>
        <v>1.1811023999999986</v>
      </c>
      <c r="O78" s="152">
        <f t="shared" si="44"/>
        <v>27.78380734577469</v>
      </c>
      <c r="P78" s="151">
        <f t="shared" si="45"/>
        <v>93.79404819724239</v>
      </c>
      <c r="Q78" s="12">
        <f t="shared" si="46"/>
        <v>937.94048197242307</v>
      </c>
      <c r="R78" s="12">
        <f t="shared" si="47"/>
        <v>40299.686645089234</v>
      </c>
      <c r="S78" s="12">
        <f t="shared" si="48"/>
        <v>-10009.977345005729</v>
      </c>
      <c r="T78" s="152">
        <f t="shared" si="49"/>
        <v>4029.9686645089241</v>
      </c>
      <c r="U78" s="8">
        <f t="shared" si="0"/>
        <v>4.2236221823999998</v>
      </c>
      <c r="V78" s="8">
        <f t="shared" si="1"/>
        <v>4.2236221823999998</v>
      </c>
      <c r="W78" s="134">
        <f t="shared" si="2"/>
        <v>2.1118110911999999</v>
      </c>
      <c r="X78" s="311">
        <f t="shared" si="3"/>
        <v>5.8661419200000005</v>
      </c>
      <c r="Y78" s="11">
        <f t="shared" si="4"/>
        <v>17.598425760000001</v>
      </c>
      <c r="Z78" s="11">
        <f t="shared" si="5"/>
        <v>11.732283840000001</v>
      </c>
      <c r="AA78" s="316">
        <f t="shared" si="50"/>
        <v>17.598425760000001</v>
      </c>
      <c r="AB78" s="170">
        <f t="shared" si="51"/>
        <v>3.1677166367999998</v>
      </c>
      <c r="AC78" s="11">
        <f t="shared" si="52"/>
        <v>17.598425760000001</v>
      </c>
      <c r="AD78" s="152">
        <f t="shared" si="53"/>
        <v>43.783454803893299</v>
      </c>
      <c r="AE78" s="151">
        <f t="shared" si="6"/>
        <v>5.3296839999421843</v>
      </c>
      <c r="AF78" s="12">
        <f t="shared" si="54"/>
        <v>114.31232859353558</v>
      </c>
      <c r="AG78" s="216">
        <f t="shared" si="7"/>
        <v>7.8384464957015967E-3</v>
      </c>
      <c r="AH78" s="2">
        <f t="shared" si="55"/>
        <v>1</v>
      </c>
      <c r="AI78" s="2">
        <f t="shared" si="56"/>
        <v>3</v>
      </c>
      <c r="AJ78" s="127">
        <f t="shared" si="57"/>
        <v>2</v>
      </c>
      <c r="AK78" s="2">
        <f t="shared" si="58"/>
        <v>1.5748031496062995E-2</v>
      </c>
      <c r="AL78" s="8">
        <f t="shared" si="8"/>
        <v>8.2490114724056984E-2</v>
      </c>
      <c r="AM78" s="138">
        <f t="shared" si="59"/>
        <v>0.25</v>
      </c>
      <c r="AN78" s="12">
        <f t="shared" si="9"/>
        <v>6837.5410197172532</v>
      </c>
      <c r="AO78" s="138">
        <f t="shared" si="60"/>
        <v>0.25</v>
      </c>
      <c r="AP78" s="116">
        <f t="shared" si="61"/>
        <v>2175570</v>
      </c>
      <c r="AQ78" s="2">
        <f t="shared" si="62"/>
        <v>1.5748031496062995E-2</v>
      </c>
      <c r="AR78" s="8">
        <f t="shared" si="63"/>
        <v>11.732283840000001</v>
      </c>
      <c r="AS78" s="116">
        <f t="shared" si="64"/>
        <v>2610.6840000000002</v>
      </c>
      <c r="AT78" s="217">
        <f t="shared" si="65"/>
        <v>0.11762229917554463</v>
      </c>
      <c r="AU78" s="207">
        <f t="shared" si="66"/>
        <v>3.7215783775055713</v>
      </c>
      <c r="AV78" s="144">
        <f t="shared" si="67"/>
        <v>9070.9940061072048</v>
      </c>
      <c r="AW78" s="138">
        <f t="shared" si="68"/>
        <v>0.25</v>
      </c>
      <c r="AX78" s="116">
        <f t="shared" si="69"/>
        <v>2175570</v>
      </c>
      <c r="AY78" s="2">
        <f t="shared" si="70"/>
        <v>1.5748031496062995E-2</v>
      </c>
      <c r="AZ78" s="8">
        <f t="shared" si="71"/>
        <v>11.732283840000001</v>
      </c>
      <c r="BA78" s="116">
        <f t="shared" si="72"/>
        <v>2610.6840000000002</v>
      </c>
      <c r="BB78" s="217">
        <f t="shared" si="73"/>
        <v>0.11762229917554463</v>
      </c>
      <c r="BC78" s="207">
        <f t="shared" si="74"/>
        <v>3.7215783775055713</v>
      </c>
      <c r="BD78" s="144">
        <f t="shared" si="75"/>
        <v>9070.9940061072048</v>
      </c>
      <c r="BE78" s="138">
        <f t="shared" si="76"/>
        <v>0.25</v>
      </c>
      <c r="BF78" s="116">
        <f t="shared" si="77"/>
        <v>2175570</v>
      </c>
      <c r="BG78" s="2">
        <f t="shared" si="78"/>
        <v>1.5748031496062995E-2</v>
      </c>
      <c r="BH78" s="8">
        <f t="shared" si="79"/>
        <v>11.732283840000001</v>
      </c>
      <c r="BI78" s="116">
        <f t="shared" si="80"/>
        <v>2610.6840000000002</v>
      </c>
      <c r="BJ78" s="217">
        <f t="shared" si="81"/>
        <v>0.11762229917554463</v>
      </c>
      <c r="BK78" s="207">
        <f t="shared" si="82"/>
        <v>3.7215783775055713</v>
      </c>
      <c r="BL78" s="144">
        <f t="shared" si="83"/>
        <v>9070.9940061072048</v>
      </c>
      <c r="BM78" s="216">
        <f t="shared" si="84"/>
        <v>0.25</v>
      </c>
      <c r="BN78" s="216">
        <f t="shared" si="85"/>
        <v>2.3622047244094495E-2</v>
      </c>
      <c r="BO78" s="238">
        <f t="shared" si="86"/>
        <v>1.5748031496062995E-2</v>
      </c>
      <c r="BP78" s="216">
        <f t="shared" si="87"/>
        <v>0.25</v>
      </c>
      <c r="BQ78" s="138">
        <f t="shared" si="88"/>
        <v>0</v>
      </c>
      <c r="BR78" s="138">
        <f t="shared" si="89"/>
        <v>0</v>
      </c>
      <c r="BS78" s="238">
        <f t="shared" si="90"/>
        <v>0</v>
      </c>
      <c r="BT78" s="138">
        <f t="shared" si="91"/>
        <v>0.25</v>
      </c>
      <c r="BU78" s="138">
        <f t="shared" si="92"/>
        <v>0</v>
      </c>
      <c r="BV78" s="138">
        <f t="shared" si="93"/>
        <v>0</v>
      </c>
      <c r="BW78" s="238">
        <f t="shared" si="94"/>
        <v>0</v>
      </c>
      <c r="BX78" s="216">
        <f t="shared" si="95"/>
        <v>2.3622047244094495E-2</v>
      </c>
      <c r="BY78" s="138">
        <f t="shared" si="96"/>
        <v>0</v>
      </c>
      <c r="BZ78" s="138">
        <f t="shared" si="97"/>
        <v>0</v>
      </c>
      <c r="CA78" s="238">
        <f t="shared" si="98"/>
        <v>0</v>
      </c>
      <c r="CB78" s="138">
        <f t="shared" si="99"/>
        <v>2.3622047244094495E-2</v>
      </c>
      <c r="CC78" s="138">
        <f t="shared" si="100"/>
        <v>0</v>
      </c>
      <c r="CD78" s="138">
        <f t="shared" si="101"/>
        <v>0</v>
      </c>
      <c r="CE78" s="238">
        <f t="shared" si="102"/>
        <v>0</v>
      </c>
      <c r="CF78" s="216">
        <f t="shared" si="103"/>
        <v>1.5748031496062995E-2</v>
      </c>
      <c r="CG78" s="138">
        <f t="shared" si="104"/>
        <v>0</v>
      </c>
      <c r="CH78" s="138">
        <f t="shared" si="105"/>
        <v>0</v>
      </c>
      <c r="CI78" s="238">
        <f t="shared" si="106"/>
        <v>0</v>
      </c>
      <c r="CJ78" s="138">
        <f t="shared" si="107"/>
        <v>1.5748031496062995E-2</v>
      </c>
      <c r="CK78" s="138">
        <f t="shared" si="108"/>
        <v>0</v>
      </c>
      <c r="CL78" s="138">
        <f t="shared" si="109"/>
        <v>0</v>
      </c>
      <c r="CM78" s="238">
        <f t="shared" si="110"/>
        <v>0</v>
      </c>
      <c r="CN78" s="17">
        <f t="shared" si="111"/>
        <v>0.25</v>
      </c>
      <c r="CO78" s="17">
        <f t="shared" si="112"/>
        <v>2.3622047244094495E-2</v>
      </c>
      <c r="CP78" s="17">
        <f t="shared" si="113"/>
        <v>1.5748031496062995E-2</v>
      </c>
      <c r="CQ78" s="17">
        <f>$U78-IF('Inputs-Imperial'!$E$13,0,2)*($CO78+$CN78+$CP78)</f>
        <v>4.2236221823999998</v>
      </c>
      <c r="CR78" s="116">
        <f t="shared" si="114"/>
        <v>9541.4989562796636</v>
      </c>
      <c r="CS78" s="8">
        <f t="shared" si="10"/>
        <v>0.24669825208599633</v>
      </c>
      <c r="CT78" s="8">
        <f t="shared" si="115"/>
        <v>0.49668727795867323</v>
      </c>
      <c r="CU78" s="8">
        <f t="shared" si="11"/>
        <v>0.24669825208599633</v>
      </c>
      <c r="CV78" s="8">
        <f t="shared" si="116"/>
        <v>0.49668727795867323</v>
      </c>
      <c r="CW78" s="216">
        <f t="shared" si="117"/>
        <v>3.7269349044413262</v>
      </c>
      <c r="CX78" s="116">
        <f t="shared" si="118"/>
        <v>10813.091099891433</v>
      </c>
      <c r="CY78" s="8">
        <f t="shared" si="119"/>
        <v>0.27957563965714416</v>
      </c>
      <c r="CZ78" s="8">
        <f t="shared" si="120"/>
        <v>0.52874912733464074</v>
      </c>
      <c r="DA78" s="8">
        <f t="shared" si="121"/>
        <v>0.27957563965714416</v>
      </c>
      <c r="DB78" s="8">
        <f t="shared" si="122"/>
        <v>0.52874912733464074</v>
      </c>
      <c r="DC78" s="216">
        <f t="shared" si="123"/>
        <v>3.6948730550653588</v>
      </c>
      <c r="DD78" s="116">
        <f t="shared" si="124"/>
        <v>10906.920493477244</v>
      </c>
      <c r="DE78" s="8">
        <f t="shared" si="125"/>
        <v>0.28200162612928792</v>
      </c>
      <c r="DF78" s="8">
        <f t="shared" si="126"/>
        <v>0.53103825298116514</v>
      </c>
      <c r="DG78" s="8">
        <f t="shared" si="127"/>
        <v>0.28200162612928792</v>
      </c>
      <c r="DH78" s="8">
        <f t="shared" si="128"/>
        <v>0.53103825298116514</v>
      </c>
      <c r="DI78" s="216">
        <f t="shared" si="129"/>
        <v>3.6925839294188343</v>
      </c>
      <c r="DJ78" s="116">
        <f t="shared" si="130"/>
        <v>10913.681967800767</v>
      </c>
      <c r="DK78" s="8">
        <f t="shared" si="131"/>
        <v>0.28217644602968101</v>
      </c>
      <c r="DL78" s="8">
        <f t="shared" si="132"/>
        <v>0.5312028294631731</v>
      </c>
      <c r="DM78" s="8">
        <f t="shared" si="133"/>
        <v>0.28217644602968101</v>
      </c>
      <c r="DN78" s="8">
        <f t="shared" si="134"/>
        <v>0.5312028294631731</v>
      </c>
      <c r="DO78" s="216">
        <f t="shared" si="135"/>
        <v>3.6924193529368265</v>
      </c>
      <c r="DP78" s="116">
        <f t="shared" si="136"/>
        <v>10914.168406423343</v>
      </c>
      <c r="DQ78" s="170">
        <f t="shared" si="137"/>
        <v>0.28218902304284071</v>
      </c>
      <c r="DR78" s="8">
        <f t="shared" si="138"/>
        <v>0.53121466757125668</v>
      </c>
      <c r="DS78" s="8">
        <f t="shared" si="139"/>
        <v>0.28218902304284071</v>
      </c>
      <c r="DT78" s="134">
        <f t="shared" si="140"/>
        <v>0.53121466757125668</v>
      </c>
      <c r="DU78" s="170">
        <f t="shared" si="250"/>
        <v>0.33770780740629297</v>
      </c>
      <c r="DV78" s="170">
        <f t="shared" si="250"/>
        <v>0.58112632654724306</v>
      </c>
      <c r="DW78" s="170">
        <f t="shared" si="250"/>
        <v>0.33770780740629297</v>
      </c>
      <c r="DX78" s="272">
        <f t="shared" si="250"/>
        <v>0.58112632654724306</v>
      </c>
      <c r="DY78" s="272">
        <f t="shared" si="142"/>
        <v>3.0613695293055141</v>
      </c>
      <c r="DZ78" s="22">
        <f t="shared" si="12"/>
        <v>222.07016666425753</v>
      </c>
      <c r="EA78" s="216">
        <f t="shared" si="13"/>
        <v>1.4549112656637235E-2</v>
      </c>
      <c r="EB78" s="12">
        <f t="shared" si="143"/>
        <v>2</v>
      </c>
      <c r="EC78" s="7">
        <f>ROUND(MAX(DV78,DX78)/'Inputs-Imperial'!$E$21,0)</f>
        <v>5</v>
      </c>
      <c r="ED78" s="12">
        <f t="shared" si="144"/>
        <v>5</v>
      </c>
      <c r="EE78" s="2">
        <f t="shared" si="145"/>
        <v>3</v>
      </c>
      <c r="EF78" s="127">
        <f t="shared" si="146"/>
        <v>3</v>
      </c>
      <c r="EG78" s="2">
        <f t="shared" si="147"/>
        <v>2.3622047244094495E-2</v>
      </c>
      <c r="EH78" s="8">
        <f t="shared" si="14"/>
        <v>0.15311171325049816</v>
      </c>
      <c r="EI78" s="138">
        <f t="shared" si="148"/>
        <v>0.25</v>
      </c>
      <c r="EJ78" s="12">
        <f t="shared" si="15"/>
        <v>8460.87334990821</v>
      </c>
      <c r="EK78" s="138">
        <f t="shared" si="149"/>
        <v>0.25</v>
      </c>
      <c r="EL78" s="116">
        <f t="shared" si="150"/>
        <v>2175570</v>
      </c>
      <c r="EM78" s="2">
        <f t="shared" si="16"/>
        <v>2.3622047244094495E-2</v>
      </c>
      <c r="EN78" s="8">
        <f t="shared" si="151"/>
        <v>4.2236221823999998</v>
      </c>
      <c r="EO78" s="116">
        <f t="shared" si="152"/>
        <v>2610.6840000000002</v>
      </c>
      <c r="EP78" s="217">
        <f t="shared" si="153"/>
        <v>1.3613692034206557</v>
      </c>
      <c r="EQ78" s="207">
        <f t="shared" si="154"/>
        <v>2</v>
      </c>
      <c r="ER78" s="144">
        <f t="shared" si="155"/>
        <v>37614.275773150621</v>
      </c>
      <c r="ES78" s="138">
        <f t="shared" si="17"/>
        <v>0.25</v>
      </c>
      <c r="ET78" s="116">
        <f t="shared" si="156"/>
        <v>2175570</v>
      </c>
      <c r="EU78" s="2">
        <f t="shared" si="18"/>
        <v>2.3622047244094495E-2</v>
      </c>
      <c r="EV78" s="8">
        <f t="shared" si="157"/>
        <v>4.2236221823999998</v>
      </c>
      <c r="EW78" s="116">
        <f t="shared" si="158"/>
        <v>2610.6840000000002</v>
      </c>
      <c r="EX78" s="217">
        <f t="shared" si="159"/>
        <v>1.3613692034206557</v>
      </c>
      <c r="EY78" s="207">
        <f t="shared" si="160"/>
        <v>2</v>
      </c>
      <c r="EZ78" s="144">
        <f t="shared" si="161"/>
        <v>37614.275773150621</v>
      </c>
      <c r="FA78" s="138">
        <f t="shared" si="19"/>
        <v>0.25</v>
      </c>
      <c r="FB78" s="116">
        <f t="shared" si="162"/>
        <v>2175570</v>
      </c>
      <c r="FC78" s="2">
        <f t="shared" si="20"/>
        <v>2.3622047244094495E-2</v>
      </c>
      <c r="FD78" s="8">
        <f t="shared" si="163"/>
        <v>4.2236221823999998</v>
      </c>
      <c r="FE78" s="116">
        <f t="shared" si="164"/>
        <v>2610.6840000000002</v>
      </c>
      <c r="FF78" s="217">
        <f t="shared" si="165"/>
        <v>1.3613692034206557</v>
      </c>
      <c r="FG78" s="207">
        <f t="shared" si="166"/>
        <v>2</v>
      </c>
      <c r="FH78" s="144">
        <f t="shared" si="167"/>
        <v>37614.275773150621</v>
      </c>
      <c r="FI78" s="128">
        <f t="shared" si="168"/>
        <v>0.25</v>
      </c>
      <c r="FJ78" s="2">
        <f t="shared" si="169"/>
        <v>2.3622047244094495E-2</v>
      </c>
      <c r="FK78" s="127">
        <f t="shared" si="170"/>
        <v>2.3622047244094495E-2</v>
      </c>
      <c r="FL78" s="216">
        <f t="shared" si="171"/>
        <v>0.25</v>
      </c>
      <c r="FM78" s="138">
        <f t="shared" si="172"/>
        <v>0</v>
      </c>
      <c r="FN78" s="138">
        <f t="shared" si="173"/>
        <v>0</v>
      </c>
      <c r="FO78" s="238">
        <f t="shared" si="174"/>
        <v>0</v>
      </c>
      <c r="FP78" s="216">
        <f t="shared" si="21"/>
        <v>0.25</v>
      </c>
      <c r="FQ78" s="138">
        <f t="shared" si="22"/>
        <v>0</v>
      </c>
      <c r="FR78" s="138">
        <f t="shared" si="23"/>
        <v>0</v>
      </c>
      <c r="FS78" s="238">
        <f t="shared" si="24"/>
        <v>0</v>
      </c>
      <c r="FT78" s="216">
        <f t="shared" si="175"/>
        <v>2.3622047244094495E-2</v>
      </c>
      <c r="FU78" s="138">
        <f t="shared" si="176"/>
        <v>0</v>
      </c>
      <c r="FV78" s="138">
        <f t="shared" si="177"/>
        <v>0</v>
      </c>
      <c r="FW78" s="238">
        <f t="shared" si="178"/>
        <v>0</v>
      </c>
      <c r="FX78" s="216">
        <f t="shared" si="25"/>
        <v>2.3622047244094495E-2</v>
      </c>
      <c r="FY78" s="138">
        <f t="shared" si="26"/>
        <v>0</v>
      </c>
      <c r="FZ78" s="138">
        <f t="shared" si="27"/>
        <v>0</v>
      </c>
      <c r="GA78" s="238">
        <f t="shared" si="28"/>
        <v>0</v>
      </c>
      <c r="GB78" s="216">
        <f t="shared" si="179"/>
        <v>2.3622047244094495E-2</v>
      </c>
      <c r="GC78" s="138">
        <f t="shared" si="180"/>
        <v>0</v>
      </c>
      <c r="GD78" s="138">
        <f t="shared" si="181"/>
        <v>0</v>
      </c>
      <c r="GE78" s="238">
        <f t="shared" si="182"/>
        <v>0</v>
      </c>
      <c r="GF78" s="216">
        <f t="shared" si="29"/>
        <v>2.3622047244094495E-2</v>
      </c>
      <c r="GG78" s="138">
        <f t="shared" si="30"/>
        <v>0</v>
      </c>
      <c r="GH78" s="138">
        <f t="shared" si="31"/>
        <v>0</v>
      </c>
      <c r="GI78" s="238">
        <f t="shared" si="32"/>
        <v>0</v>
      </c>
      <c r="GJ78" s="216">
        <f t="shared" si="183"/>
        <v>0.25</v>
      </c>
      <c r="GK78" s="216">
        <f t="shared" si="184"/>
        <v>2.3622047244094495E-2</v>
      </c>
      <c r="GL78" s="17">
        <f t="shared" si="185"/>
        <v>2.3622047244094495E-2</v>
      </c>
      <c r="GM78" s="216">
        <f t="shared" si="186"/>
        <v>7.4892677919423025E-3</v>
      </c>
      <c r="GN78" s="2">
        <f t="shared" si="187"/>
        <v>1</v>
      </c>
      <c r="GO78" s="2">
        <f t="shared" si="188"/>
        <v>2</v>
      </c>
      <c r="GP78" s="142">
        <f t="shared" si="189"/>
        <v>2</v>
      </c>
      <c r="GQ78" s="2">
        <f t="shared" si="190"/>
        <v>1.5748031496062995E-2</v>
      </c>
      <c r="GR78" s="8">
        <f t="shared" si="33"/>
        <v>7.8815433606045024E-2</v>
      </c>
      <c r="GS78" s="138">
        <f t="shared" si="191"/>
        <v>0.25</v>
      </c>
      <c r="GT78" s="12">
        <f t="shared" si="34"/>
        <v>6532.9495791205572</v>
      </c>
      <c r="GU78" s="138">
        <f t="shared" si="192"/>
        <v>0.25</v>
      </c>
      <c r="GV78" s="116">
        <f t="shared" si="193"/>
        <v>2175570</v>
      </c>
      <c r="GW78" s="2">
        <f t="shared" si="35"/>
        <v>2.3622047244094495E-2</v>
      </c>
      <c r="GX78" s="8">
        <f t="shared" si="36"/>
        <v>2.1118110911999999</v>
      </c>
      <c r="GY78" s="116">
        <f t="shared" si="194"/>
        <v>2610.6840000000002</v>
      </c>
      <c r="GZ78" s="217">
        <f t="shared" si="195"/>
        <v>5.4454768136826228</v>
      </c>
      <c r="HA78" s="207">
        <f t="shared" si="196"/>
        <v>2</v>
      </c>
      <c r="HB78" s="144">
        <f t="shared" si="197"/>
        <v>150457.10309260248</v>
      </c>
      <c r="HC78" s="138">
        <f t="shared" si="37"/>
        <v>0.25</v>
      </c>
      <c r="HD78" s="116">
        <f t="shared" si="198"/>
        <v>2175570</v>
      </c>
      <c r="HE78" s="2">
        <f t="shared" si="38"/>
        <v>2.3622047244094495E-2</v>
      </c>
      <c r="HF78" s="8">
        <f t="shared" si="199"/>
        <v>2.1118110911999999</v>
      </c>
      <c r="HG78" s="116">
        <f t="shared" si="200"/>
        <v>2610.6840000000002</v>
      </c>
      <c r="HH78" s="217">
        <f t="shared" si="201"/>
        <v>5.4454768136826228</v>
      </c>
      <c r="HI78" s="207">
        <f t="shared" si="202"/>
        <v>2</v>
      </c>
      <c r="HJ78" s="144">
        <f t="shared" si="203"/>
        <v>150457.10309260248</v>
      </c>
      <c r="HK78" s="138">
        <f t="shared" si="39"/>
        <v>0.25</v>
      </c>
      <c r="HL78" s="116">
        <f t="shared" si="204"/>
        <v>2175570</v>
      </c>
      <c r="HM78" s="2">
        <f t="shared" si="40"/>
        <v>2.3622047244094495E-2</v>
      </c>
      <c r="HN78" s="8">
        <f t="shared" si="205"/>
        <v>2.1118110911999999</v>
      </c>
      <c r="HO78" s="116">
        <f t="shared" si="206"/>
        <v>2610.6840000000002</v>
      </c>
      <c r="HP78" s="217">
        <f t="shared" si="207"/>
        <v>5.4454768136826228</v>
      </c>
      <c r="HQ78" s="207">
        <f t="shared" si="208"/>
        <v>2</v>
      </c>
      <c r="HR78" s="144">
        <f t="shared" si="209"/>
        <v>150457.10309260248</v>
      </c>
      <c r="HS78" s="128">
        <f t="shared" si="210"/>
        <v>0.25</v>
      </c>
      <c r="HT78" s="2">
        <f t="shared" si="211"/>
        <v>1.5748031496062995E-2</v>
      </c>
      <c r="HU78" s="127">
        <f t="shared" si="212"/>
        <v>1.5748031496062995E-2</v>
      </c>
      <c r="HV78" s="216">
        <f t="shared" si="213"/>
        <v>0.25</v>
      </c>
      <c r="HW78" s="138">
        <f t="shared" si="214"/>
        <v>0</v>
      </c>
      <c r="HX78" s="138">
        <f t="shared" si="215"/>
        <v>0</v>
      </c>
      <c r="HY78" s="238">
        <f t="shared" si="216"/>
        <v>0</v>
      </c>
      <c r="HZ78" s="138">
        <f t="shared" si="217"/>
        <v>0.25</v>
      </c>
      <c r="IA78" s="138">
        <f t="shared" si="218"/>
        <v>0</v>
      </c>
      <c r="IB78" s="138">
        <f t="shared" si="219"/>
        <v>0</v>
      </c>
      <c r="IC78" s="138">
        <f t="shared" si="220"/>
        <v>0</v>
      </c>
      <c r="ID78" s="216">
        <f t="shared" si="221"/>
        <v>1.5748031496062995E-2</v>
      </c>
      <c r="IE78" s="138">
        <f t="shared" si="222"/>
        <v>0</v>
      </c>
      <c r="IF78" s="138">
        <f t="shared" si="223"/>
        <v>0</v>
      </c>
      <c r="IG78" s="238">
        <f t="shared" si="224"/>
        <v>0</v>
      </c>
      <c r="IH78" s="138">
        <f t="shared" si="225"/>
        <v>1.5748031496062995E-2</v>
      </c>
      <c r="II78" s="138">
        <f t="shared" si="226"/>
        <v>0</v>
      </c>
      <c r="IJ78" s="138">
        <f t="shared" si="227"/>
        <v>0</v>
      </c>
      <c r="IK78" s="138">
        <f t="shared" si="228"/>
        <v>0</v>
      </c>
      <c r="IL78" s="216">
        <f t="shared" si="229"/>
        <v>1.5748031496062995E-2</v>
      </c>
      <c r="IM78" s="138">
        <f t="shared" si="230"/>
        <v>0</v>
      </c>
      <c r="IN78" s="138">
        <f t="shared" si="231"/>
        <v>0</v>
      </c>
      <c r="IO78" s="238">
        <f t="shared" si="232"/>
        <v>0</v>
      </c>
      <c r="IP78" s="138">
        <f t="shared" si="233"/>
        <v>1.5748031496062995E-2</v>
      </c>
      <c r="IQ78" s="138">
        <f t="shared" si="234"/>
        <v>0</v>
      </c>
      <c r="IR78" s="138">
        <f t="shared" si="235"/>
        <v>0</v>
      </c>
      <c r="IS78" s="138">
        <f t="shared" si="236"/>
        <v>0</v>
      </c>
      <c r="IT78" s="17">
        <f t="shared" si="237"/>
        <v>0.25</v>
      </c>
      <c r="IU78" s="17">
        <f t="shared" si="238"/>
        <v>1.5748031496062995E-2</v>
      </c>
      <c r="IV78" s="17">
        <f t="shared" si="239"/>
        <v>1.5748031496062995E-2</v>
      </c>
      <c r="IW78" s="253">
        <f t="shared" si="240"/>
        <v>11.732283840000001</v>
      </c>
      <c r="IX78" s="116">
        <f t="shared" si="241"/>
        <v>343.49396242606792</v>
      </c>
      <c r="IY78" s="8">
        <f t="shared" si="242"/>
        <v>8.8811370750958695E-3</v>
      </c>
      <c r="IZ78" s="8">
        <f t="shared" si="243"/>
        <v>8.8811370750958695E-3</v>
      </c>
      <c r="JA78" s="8">
        <f t="shared" si="244"/>
        <v>4.4405685375479348E-3</v>
      </c>
      <c r="JB78" s="134">
        <f t="shared" si="245"/>
        <v>6.6637591024495582E-2</v>
      </c>
      <c r="JC78" s="170">
        <f t="shared" si="251"/>
        <v>5.2747672707505648E-3</v>
      </c>
      <c r="JD78" s="272">
        <f t="shared" si="252"/>
        <v>7.2627593039770802E-2</v>
      </c>
      <c r="JE78" s="8"/>
      <c r="JF78" s="8"/>
    </row>
    <row r="79" spans="1:266" x14ac:dyDescent="0.25">
      <c r="A79" s="186">
        <v>19</v>
      </c>
      <c r="B79" s="187">
        <f>A79/100*'Inputs-Imperial'!$E$5</f>
        <v>1.8700788000000002</v>
      </c>
      <c r="C79" s="188">
        <f>'Inputs-Imperial'!$E$10+('Inputs-Imperial'!$E$9-'Inputs-Imperial'!$E$10)*(100-A79)/100</f>
        <v>1.9455381200000001</v>
      </c>
      <c r="D79" s="187">
        <f t="shared" si="248"/>
        <v>9.8425200000000101E-2</v>
      </c>
      <c r="E79" s="188">
        <f t="shared" si="249"/>
        <v>0.19197435456837619</v>
      </c>
      <c r="F79" s="423">
        <f>Loads!P39</f>
        <v>92.314927021567982</v>
      </c>
      <c r="G79" s="423">
        <f>Loads!M39</f>
        <v>923.14927021567905</v>
      </c>
      <c r="H79" s="423">
        <f>Loads!N39</f>
        <v>3265.9902408978705</v>
      </c>
      <c r="I79" s="423">
        <f>Loads!V39</f>
        <v>-817.91015027825233</v>
      </c>
      <c r="J79" s="423">
        <f>Loads!Q39</f>
        <v>326.59902408978712</v>
      </c>
      <c r="K79" s="2">
        <v>19</v>
      </c>
      <c r="L79" s="12">
        <f t="shared" si="41"/>
        <v>22.440945600000003</v>
      </c>
      <c r="M79" s="11">
        <f t="shared" si="42"/>
        <v>23.346457440000002</v>
      </c>
      <c r="N79" s="11">
        <f t="shared" si="43"/>
        <v>1.1811024000000012</v>
      </c>
      <c r="O79" s="152">
        <f t="shared" si="44"/>
        <v>27.64430705784617</v>
      </c>
      <c r="P79" s="151">
        <f t="shared" si="45"/>
        <v>92.314927021567982</v>
      </c>
      <c r="Q79" s="12">
        <f t="shared" si="46"/>
        <v>923.14927021567905</v>
      </c>
      <c r="R79" s="12">
        <f t="shared" si="47"/>
        <v>39191.882890774446</v>
      </c>
      <c r="S79" s="12">
        <f t="shared" si="48"/>
        <v>-9814.921803339028</v>
      </c>
      <c r="T79" s="152">
        <f t="shared" si="49"/>
        <v>3919.1882890774455</v>
      </c>
      <c r="U79" s="8">
        <f t="shared" si="0"/>
        <v>4.2023623392000005</v>
      </c>
      <c r="V79" s="8">
        <f t="shared" si="1"/>
        <v>4.2023623392000005</v>
      </c>
      <c r="W79" s="134">
        <f t="shared" si="2"/>
        <v>2.1011811696000002</v>
      </c>
      <c r="X79" s="311">
        <f t="shared" si="3"/>
        <v>5.8366143600000004</v>
      </c>
      <c r="Y79" s="11">
        <f t="shared" si="4"/>
        <v>17.509843080000003</v>
      </c>
      <c r="Z79" s="11">
        <f t="shared" si="5"/>
        <v>11.673228720000003</v>
      </c>
      <c r="AA79" s="316">
        <f t="shared" si="50"/>
        <v>17.509843080000003</v>
      </c>
      <c r="AB79" s="170">
        <f t="shared" si="51"/>
        <v>3.1517717544000003</v>
      </c>
      <c r="AC79" s="11">
        <f t="shared" si="52"/>
        <v>17.509843080000003</v>
      </c>
      <c r="AD79" s="152">
        <f t="shared" si="53"/>
        <v>43.343791097062862</v>
      </c>
      <c r="AE79" s="151">
        <f t="shared" si="6"/>
        <v>5.2721732913192945</v>
      </c>
      <c r="AF79" s="12">
        <f t="shared" si="54"/>
        <v>113.22177357951649</v>
      </c>
      <c r="AG79" s="216">
        <f t="shared" si="7"/>
        <v>7.7632300099086385E-3</v>
      </c>
      <c r="AH79" s="2">
        <f t="shared" si="55"/>
        <v>1</v>
      </c>
      <c r="AI79" s="2">
        <f t="shared" si="56"/>
        <v>3</v>
      </c>
      <c r="AJ79" s="127">
        <f t="shared" si="57"/>
        <v>2</v>
      </c>
      <c r="AK79" s="2">
        <f t="shared" si="58"/>
        <v>1.5748031496062995E-2</v>
      </c>
      <c r="AL79" s="8">
        <f t="shared" si="8"/>
        <v>8.1698552704005695E-2</v>
      </c>
      <c r="AM79" s="138">
        <f t="shared" si="59"/>
        <v>0.25</v>
      </c>
      <c r="AN79" s="12">
        <f t="shared" si="9"/>
        <v>6771.9290636682636</v>
      </c>
      <c r="AO79" s="138">
        <f t="shared" si="60"/>
        <v>0.25</v>
      </c>
      <c r="AP79" s="116">
        <f t="shared" si="61"/>
        <v>2175570</v>
      </c>
      <c r="AQ79" s="2">
        <f t="shared" si="62"/>
        <v>1.5748031496062995E-2</v>
      </c>
      <c r="AR79" s="8">
        <f t="shared" si="63"/>
        <v>11.673228720000003</v>
      </c>
      <c r="AS79" s="116">
        <f t="shared" si="64"/>
        <v>2610.6840000000002</v>
      </c>
      <c r="AT79" s="217">
        <f t="shared" si="65"/>
        <v>0.11881541714590474</v>
      </c>
      <c r="AU79" s="207">
        <f t="shared" si="66"/>
        <v>3.7103286998336622</v>
      </c>
      <c r="AV79" s="144">
        <f t="shared" si="67"/>
        <v>9135.3087213491472</v>
      </c>
      <c r="AW79" s="138">
        <f t="shared" si="68"/>
        <v>0.25</v>
      </c>
      <c r="AX79" s="116">
        <f t="shared" si="69"/>
        <v>2175570</v>
      </c>
      <c r="AY79" s="2">
        <f t="shared" si="70"/>
        <v>1.5748031496062995E-2</v>
      </c>
      <c r="AZ79" s="8">
        <f t="shared" si="71"/>
        <v>11.673228720000003</v>
      </c>
      <c r="BA79" s="116">
        <f t="shared" si="72"/>
        <v>2610.6840000000002</v>
      </c>
      <c r="BB79" s="217">
        <f t="shared" si="73"/>
        <v>0.11881541714590474</v>
      </c>
      <c r="BC79" s="207">
        <f t="shared" si="74"/>
        <v>3.7103286998336622</v>
      </c>
      <c r="BD79" s="144">
        <f t="shared" si="75"/>
        <v>9135.3087213491472</v>
      </c>
      <c r="BE79" s="138">
        <f t="shared" si="76"/>
        <v>0.25</v>
      </c>
      <c r="BF79" s="116">
        <f t="shared" si="77"/>
        <v>2175570</v>
      </c>
      <c r="BG79" s="2">
        <f t="shared" si="78"/>
        <v>1.5748031496062995E-2</v>
      </c>
      <c r="BH79" s="8">
        <f t="shared" si="79"/>
        <v>11.673228720000003</v>
      </c>
      <c r="BI79" s="116">
        <f t="shared" si="80"/>
        <v>2610.6840000000002</v>
      </c>
      <c r="BJ79" s="217">
        <f t="shared" si="81"/>
        <v>0.11881541714590474</v>
      </c>
      <c r="BK79" s="207">
        <f t="shared" si="82"/>
        <v>3.7103286998336622</v>
      </c>
      <c r="BL79" s="144">
        <f t="shared" si="83"/>
        <v>9135.3087213491472</v>
      </c>
      <c r="BM79" s="216">
        <f t="shared" si="84"/>
        <v>0.25</v>
      </c>
      <c r="BN79" s="216">
        <f t="shared" si="85"/>
        <v>2.3622047244094495E-2</v>
      </c>
      <c r="BO79" s="238">
        <f t="shared" si="86"/>
        <v>1.5748031496062995E-2</v>
      </c>
      <c r="BP79" s="216">
        <f t="shared" si="87"/>
        <v>0.25</v>
      </c>
      <c r="BQ79" s="138">
        <f t="shared" si="88"/>
        <v>0</v>
      </c>
      <c r="BR79" s="138">
        <f t="shared" si="89"/>
        <v>0</v>
      </c>
      <c r="BS79" s="238">
        <f t="shared" si="90"/>
        <v>0</v>
      </c>
      <c r="BT79" s="138">
        <f t="shared" si="91"/>
        <v>0.25</v>
      </c>
      <c r="BU79" s="138">
        <f t="shared" si="92"/>
        <v>0</v>
      </c>
      <c r="BV79" s="138">
        <f t="shared" si="93"/>
        <v>0</v>
      </c>
      <c r="BW79" s="238">
        <f t="shared" si="94"/>
        <v>0</v>
      </c>
      <c r="BX79" s="216">
        <f t="shared" si="95"/>
        <v>2.3622047244094495E-2</v>
      </c>
      <c r="BY79" s="138">
        <f t="shared" si="96"/>
        <v>0</v>
      </c>
      <c r="BZ79" s="138">
        <f t="shared" si="97"/>
        <v>0</v>
      </c>
      <c r="CA79" s="238">
        <f t="shared" si="98"/>
        <v>0</v>
      </c>
      <c r="CB79" s="138">
        <f t="shared" si="99"/>
        <v>2.3622047244094495E-2</v>
      </c>
      <c r="CC79" s="138">
        <f t="shared" si="100"/>
        <v>0</v>
      </c>
      <c r="CD79" s="138">
        <f t="shared" si="101"/>
        <v>0</v>
      </c>
      <c r="CE79" s="238">
        <f t="shared" si="102"/>
        <v>0</v>
      </c>
      <c r="CF79" s="216">
        <f t="shared" si="103"/>
        <v>1.5748031496062995E-2</v>
      </c>
      <c r="CG79" s="138">
        <f t="shared" si="104"/>
        <v>0</v>
      </c>
      <c r="CH79" s="138">
        <f t="shared" si="105"/>
        <v>0</v>
      </c>
      <c r="CI79" s="238">
        <f t="shared" si="106"/>
        <v>0</v>
      </c>
      <c r="CJ79" s="138">
        <f t="shared" si="107"/>
        <v>1.5748031496062995E-2</v>
      </c>
      <c r="CK79" s="138">
        <f t="shared" si="108"/>
        <v>0</v>
      </c>
      <c r="CL79" s="138">
        <f t="shared" si="109"/>
        <v>0</v>
      </c>
      <c r="CM79" s="238">
        <f t="shared" si="110"/>
        <v>0</v>
      </c>
      <c r="CN79" s="17">
        <f t="shared" si="111"/>
        <v>0.25</v>
      </c>
      <c r="CO79" s="17">
        <f t="shared" si="112"/>
        <v>2.3622047244094495E-2</v>
      </c>
      <c r="CP79" s="17">
        <f t="shared" si="113"/>
        <v>1.5748031496062995E-2</v>
      </c>
      <c r="CQ79" s="17">
        <f>$U79-IF('Inputs-Imperial'!$E$13,0,2)*($CO79+$CN79+$CP79)</f>
        <v>4.2023623392000005</v>
      </c>
      <c r="CR79" s="116">
        <f t="shared" si="114"/>
        <v>9326.1550831038912</v>
      </c>
      <c r="CS79" s="8">
        <f t="shared" si="10"/>
        <v>0.24113047312869448</v>
      </c>
      <c r="CT79" s="8">
        <f t="shared" si="115"/>
        <v>0.49105037738372065</v>
      </c>
      <c r="CU79" s="8">
        <f t="shared" si="11"/>
        <v>0.24113047312869448</v>
      </c>
      <c r="CV79" s="8">
        <f t="shared" si="116"/>
        <v>0.49105037738372065</v>
      </c>
      <c r="CW79" s="216">
        <f t="shared" si="117"/>
        <v>3.7113119618162802</v>
      </c>
      <c r="CX79" s="116">
        <f t="shared" si="118"/>
        <v>10560.115477760677</v>
      </c>
      <c r="CY79" s="8">
        <f t="shared" si="119"/>
        <v>0.27303488080091104</v>
      </c>
      <c r="CZ79" s="8">
        <f t="shared" si="120"/>
        <v>0.52252739717732599</v>
      </c>
      <c r="DA79" s="8">
        <f t="shared" si="121"/>
        <v>0.27303488080091104</v>
      </c>
      <c r="DB79" s="8">
        <f t="shared" si="122"/>
        <v>0.52252739717732599</v>
      </c>
      <c r="DC79" s="216">
        <f t="shared" si="123"/>
        <v>3.6798349420226746</v>
      </c>
      <c r="DD79" s="116">
        <f t="shared" si="124"/>
        <v>10650.445878214327</v>
      </c>
      <c r="DE79" s="8">
        <f t="shared" si="125"/>
        <v>0.27537039978008332</v>
      </c>
      <c r="DF79" s="8">
        <f t="shared" si="126"/>
        <v>0.52475746757915065</v>
      </c>
      <c r="DG79" s="8">
        <f t="shared" si="127"/>
        <v>0.27537039978008332</v>
      </c>
      <c r="DH79" s="8">
        <f t="shared" si="128"/>
        <v>0.52475746757915065</v>
      </c>
      <c r="DI79" s="216">
        <f t="shared" si="129"/>
        <v>3.6776048716208498</v>
      </c>
      <c r="DJ79" s="116">
        <f t="shared" si="130"/>
        <v>10656.904224053087</v>
      </c>
      <c r="DK79" s="8">
        <f t="shared" si="131"/>
        <v>0.27553738220465723</v>
      </c>
      <c r="DL79" s="8">
        <f t="shared" si="132"/>
        <v>0.5249165478479958</v>
      </c>
      <c r="DM79" s="8">
        <f t="shared" si="133"/>
        <v>0.27553738220465723</v>
      </c>
      <c r="DN79" s="8">
        <f t="shared" si="134"/>
        <v>0.5249165478479958</v>
      </c>
      <c r="DO79" s="216">
        <f t="shared" si="135"/>
        <v>3.6774457913520049</v>
      </c>
      <c r="DP79" s="116">
        <f t="shared" si="136"/>
        <v>10657.365224237781</v>
      </c>
      <c r="DQ79" s="170">
        <f t="shared" si="137"/>
        <v>0.27554930149954959</v>
      </c>
      <c r="DR79" s="8">
        <f t="shared" si="138"/>
        <v>0.52492790123935074</v>
      </c>
      <c r="DS79" s="8">
        <f t="shared" si="139"/>
        <v>0.27554930149954959</v>
      </c>
      <c r="DT79" s="134">
        <f t="shared" si="140"/>
        <v>0.52492790123935074</v>
      </c>
      <c r="DU79" s="170">
        <f>MAX(DQ$70:DQ$79)</f>
        <v>0.33770780740629297</v>
      </c>
      <c r="DV79" s="170">
        <f t="shared" si="250"/>
        <v>0.58112632654724306</v>
      </c>
      <c r="DW79" s="170">
        <f t="shared" si="250"/>
        <v>0.33770780740629297</v>
      </c>
      <c r="DX79" s="272">
        <f t="shared" si="250"/>
        <v>0.58112632654724306</v>
      </c>
      <c r="DY79" s="272">
        <f t="shared" si="142"/>
        <v>3.0401096861055148</v>
      </c>
      <c r="DZ79" s="22">
        <f t="shared" si="12"/>
        <v>219.67388713830374</v>
      </c>
      <c r="EA79" s="216">
        <f t="shared" si="13"/>
        <v>1.4392118399805769E-2</v>
      </c>
      <c r="EB79" s="12">
        <f t="shared" si="143"/>
        <v>2</v>
      </c>
      <c r="EC79" s="7">
        <f>ROUND(MAX(DV79,DX79)/'Inputs-Imperial'!$E$21,0)</f>
        <v>5</v>
      </c>
      <c r="ED79" s="12">
        <f t="shared" si="144"/>
        <v>5</v>
      </c>
      <c r="EE79" s="2">
        <f t="shared" si="145"/>
        <v>3</v>
      </c>
      <c r="EF79" s="127">
        <f t="shared" si="146"/>
        <v>3</v>
      </c>
      <c r="EG79" s="2">
        <f t="shared" si="147"/>
        <v>2.3622047244094495E-2</v>
      </c>
      <c r="EH79" s="8">
        <f t="shared" si="14"/>
        <v>0.15145953966429745</v>
      </c>
      <c r="EI79" s="138">
        <f t="shared" si="148"/>
        <v>0.25</v>
      </c>
      <c r="EJ79" s="12">
        <f t="shared" si="15"/>
        <v>8369.5750999693701</v>
      </c>
      <c r="EK79" s="138">
        <f t="shared" si="149"/>
        <v>0.25</v>
      </c>
      <c r="EL79" s="116">
        <f t="shared" si="150"/>
        <v>2175570</v>
      </c>
      <c r="EM79" s="2">
        <f t="shared" si="16"/>
        <v>2.3622047244094495E-2</v>
      </c>
      <c r="EN79" s="8">
        <f t="shared" si="151"/>
        <v>4.2023623392000005</v>
      </c>
      <c r="EO79" s="116">
        <f t="shared" si="152"/>
        <v>2610.6840000000002</v>
      </c>
      <c r="EP79" s="217">
        <f t="shared" si="153"/>
        <v>1.3751784391887123</v>
      </c>
      <c r="EQ79" s="207">
        <f t="shared" si="154"/>
        <v>2</v>
      </c>
      <c r="ER79" s="144">
        <f t="shared" si="155"/>
        <v>37995.82135321149</v>
      </c>
      <c r="ES79" s="138">
        <f t="shared" si="17"/>
        <v>0.25</v>
      </c>
      <c r="ET79" s="116">
        <f t="shared" si="156"/>
        <v>2175570</v>
      </c>
      <c r="EU79" s="2">
        <f t="shared" si="18"/>
        <v>2.3622047244094495E-2</v>
      </c>
      <c r="EV79" s="8">
        <f t="shared" si="157"/>
        <v>4.2023623392000005</v>
      </c>
      <c r="EW79" s="116">
        <f t="shared" si="158"/>
        <v>2610.6840000000002</v>
      </c>
      <c r="EX79" s="217">
        <f t="shared" si="159"/>
        <v>1.3751784391887123</v>
      </c>
      <c r="EY79" s="207">
        <f t="shared" si="160"/>
        <v>2</v>
      </c>
      <c r="EZ79" s="144">
        <f t="shared" si="161"/>
        <v>37995.82135321149</v>
      </c>
      <c r="FA79" s="138">
        <f t="shared" si="19"/>
        <v>0.25</v>
      </c>
      <c r="FB79" s="116">
        <f t="shared" si="162"/>
        <v>2175570</v>
      </c>
      <c r="FC79" s="2">
        <f t="shared" si="20"/>
        <v>2.3622047244094495E-2</v>
      </c>
      <c r="FD79" s="8">
        <f t="shared" si="163"/>
        <v>4.2023623392000005</v>
      </c>
      <c r="FE79" s="116">
        <f t="shared" si="164"/>
        <v>2610.6840000000002</v>
      </c>
      <c r="FF79" s="217">
        <f t="shared" si="165"/>
        <v>1.3751784391887123</v>
      </c>
      <c r="FG79" s="207">
        <f t="shared" si="166"/>
        <v>2</v>
      </c>
      <c r="FH79" s="144">
        <f t="shared" si="167"/>
        <v>37995.82135321149</v>
      </c>
      <c r="FI79" s="128">
        <f t="shared" si="168"/>
        <v>0.25</v>
      </c>
      <c r="FJ79" s="2">
        <f t="shared" si="169"/>
        <v>2.3622047244094495E-2</v>
      </c>
      <c r="FK79" s="127">
        <f t="shared" si="170"/>
        <v>2.3622047244094495E-2</v>
      </c>
      <c r="FL79" s="216">
        <f t="shared" si="171"/>
        <v>0.25</v>
      </c>
      <c r="FM79" s="138">
        <f t="shared" si="172"/>
        <v>0</v>
      </c>
      <c r="FN79" s="138">
        <f t="shared" si="173"/>
        <v>0</v>
      </c>
      <c r="FO79" s="238">
        <f t="shared" si="174"/>
        <v>0</v>
      </c>
      <c r="FP79" s="216">
        <f t="shared" si="21"/>
        <v>0.25</v>
      </c>
      <c r="FQ79" s="138">
        <f t="shared" si="22"/>
        <v>0</v>
      </c>
      <c r="FR79" s="138">
        <f t="shared" si="23"/>
        <v>0</v>
      </c>
      <c r="FS79" s="238">
        <f t="shared" si="24"/>
        <v>0</v>
      </c>
      <c r="FT79" s="216">
        <f t="shared" si="175"/>
        <v>2.3622047244094495E-2</v>
      </c>
      <c r="FU79" s="138">
        <f t="shared" si="176"/>
        <v>0</v>
      </c>
      <c r="FV79" s="138">
        <f t="shared" si="177"/>
        <v>0</v>
      </c>
      <c r="FW79" s="238">
        <f t="shared" si="178"/>
        <v>0</v>
      </c>
      <c r="FX79" s="216">
        <f t="shared" si="25"/>
        <v>2.3622047244094495E-2</v>
      </c>
      <c r="FY79" s="138">
        <f t="shared" si="26"/>
        <v>0</v>
      </c>
      <c r="FZ79" s="138">
        <f t="shared" si="27"/>
        <v>0</v>
      </c>
      <c r="GA79" s="238">
        <f t="shared" si="28"/>
        <v>0</v>
      </c>
      <c r="GB79" s="216">
        <f t="shared" si="179"/>
        <v>2.3622047244094495E-2</v>
      </c>
      <c r="GC79" s="138">
        <f t="shared" si="180"/>
        <v>0</v>
      </c>
      <c r="GD79" s="138">
        <f t="shared" si="181"/>
        <v>0</v>
      </c>
      <c r="GE79" s="238">
        <f t="shared" si="182"/>
        <v>0</v>
      </c>
      <c r="GF79" s="216">
        <f t="shared" si="29"/>
        <v>2.3622047244094495E-2</v>
      </c>
      <c r="GG79" s="138">
        <f t="shared" si="30"/>
        <v>0</v>
      </c>
      <c r="GH79" s="138">
        <f t="shared" si="31"/>
        <v>0</v>
      </c>
      <c r="GI79" s="238">
        <f t="shared" si="32"/>
        <v>0</v>
      </c>
      <c r="GJ79" s="216">
        <f t="shared" si="183"/>
        <v>0.25</v>
      </c>
      <c r="GK79" s="216">
        <f t="shared" si="184"/>
        <v>2.3622047244094495E-2</v>
      </c>
      <c r="GL79" s="17">
        <f t="shared" si="185"/>
        <v>2.3622047244094495E-2</v>
      </c>
      <c r="GM79" s="216">
        <f t="shared" si="186"/>
        <v>7.4178191683132999E-3</v>
      </c>
      <c r="GN79" s="2">
        <f t="shared" si="187"/>
        <v>1</v>
      </c>
      <c r="GO79" s="2">
        <f t="shared" si="188"/>
        <v>2</v>
      </c>
      <c r="GP79" s="142">
        <f t="shared" si="189"/>
        <v>2</v>
      </c>
      <c r="GQ79" s="2">
        <f t="shared" si="190"/>
        <v>1.5748031496062995E-2</v>
      </c>
      <c r="GR79" s="8">
        <f t="shared" si="33"/>
        <v>7.8063523752062561E-2</v>
      </c>
      <c r="GS79" s="138">
        <f t="shared" si="191"/>
        <v>0.25</v>
      </c>
      <c r="GT79" s="12">
        <f t="shared" si="34"/>
        <v>6470.624360069367</v>
      </c>
      <c r="GU79" s="138">
        <f t="shared" si="192"/>
        <v>0.25</v>
      </c>
      <c r="GV79" s="116">
        <f t="shared" si="193"/>
        <v>2175570</v>
      </c>
      <c r="GW79" s="2">
        <f t="shared" si="35"/>
        <v>2.3622047244094495E-2</v>
      </c>
      <c r="GX79" s="8">
        <f t="shared" si="36"/>
        <v>2.1011811696000002</v>
      </c>
      <c r="GY79" s="116">
        <f t="shared" si="194"/>
        <v>2610.6840000000002</v>
      </c>
      <c r="GZ79" s="217">
        <f t="shared" si="195"/>
        <v>5.5007137567548492</v>
      </c>
      <c r="HA79" s="207">
        <f t="shared" si="196"/>
        <v>2</v>
      </c>
      <c r="HB79" s="144">
        <f t="shared" si="197"/>
        <v>151983.28541284596</v>
      </c>
      <c r="HC79" s="138">
        <f t="shared" si="37"/>
        <v>0.25</v>
      </c>
      <c r="HD79" s="116">
        <f t="shared" si="198"/>
        <v>2175570</v>
      </c>
      <c r="HE79" s="2">
        <f t="shared" si="38"/>
        <v>2.3622047244094495E-2</v>
      </c>
      <c r="HF79" s="8">
        <f t="shared" si="199"/>
        <v>2.1011811696000002</v>
      </c>
      <c r="HG79" s="116">
        <f t="shared" si="200"/>
        <v>2610.6840000000002</v>
      </c>
      <c r="HH79" s="217">
        <f t="shared" si="201"/>
        <v>5.5007137567548492</v>
      </c>
      <c r="HI79" s="207">
        <f t="shared" si="202"/>
        <v>2</v>
      </c>
      <c r="HJ79" s="144">
        <f t="shared" si="203"/>
        <v>151983.28541284596</v>
      </c>
      <c r="HK79" s="138">
        <f t="shared" si="39"/>
        <v>0.25</v>
      </c>
      <c r="HL79" s="116">
        <f t="shared" si="204"/>
        <v>2175570</v>
      </c>
      <c r="HM79" s="2">
        <f t="shared" si="40"/>
        <v>2.3622047244094495E-2</v>
      </c>
      <c r="HN79" s="8">
        <f t="shared" si="205"/>
        <v>2.1011811696000002</v>
      </c>
      <c r="HO79" s="116">
        <f t="shared" si="206"/>
        <v>2610.6840000000002</v>
      </c>
      <c r="HP79" s="217">
        <f t="shared" si="207"/>
        <v>5.5007137567548492</v>
      </c>
      <c r="HQ79" s="207">
        <f t="shared" si="208"/>
        <v>2</v>
      </c>
      <c r="HR79" s="144">
        <f t="shared" si="209"/>
        <v>151983.28541284596</v>
      </c>
      <c r="HS79" s="128">
        <f t="shared" si="210"/>
        <v>0.25</v>
      </c>
      <c r="HT79" s="2">
        <f t="shared" si="211"/>
        <v>1.5748031496062995E-2</v>
      </c>
      <c r="HU79" s="127">
        <f t="shared" si="212"/>
        <v>1.5748031496062995E-2</v>
      </c>
      <c r="HV79" s="216">
        <f t="shared" si="213"/>
        <v>0.25</v>
      </c>
      <c r="HW79" s="138">
        <f t="shared" si="214"/>
        <v>0</v>
      </c>
      <c r="HX79" s="138">
        <f t="shared" si="215"/>
        <v>0</v>
      </c>
      <c r="HY79" s="238">
        <f t="shared" si="216"/>
        <v>0</v>
      </c>
      <c r="HZ79" s="138">
        <f t="shared" si="217"/>
        <v>0.25</v>
      </c>
      <c r="IA79" s="138">
        <f t="shared" si="218"/>
        <v>0</v>
      </c>
      <c r="IB79" s="138">
        <f t="shared" si="219"/>
        <v>0</v>
      </c>
      <c r="IC79" s="138">
        <f t="shared" si="220"/>
        <v>0</v>
      </c>
      <c r="ID79" s="216">
        <f t="shared" si="221"/>
        <v>1.5748031496062995E-2</v>
      </c>
      <c r="IE79" s="138">
        <f t="shared" si="222"/>
        <v>0</v>
      </c>
      <c r="IF79" s="138">
        <f t="shared" si="223"/>
        <v>0</v>
      </c>
      <c r="IG79" s="238">
        <f t="shared" si="224"/>
        <v>0</v>
      </c>
      <c r="IH79" s="138">
        <f t="shared" si="225"/>
        <v>1.5748031496062995E-2</v>
      </c>
      <c r="II79" s="138">
        <f t="shared" si="226"/>
        <v>0</v>
      </c>
      <c r="IJ79" s="138">
        <f t="shared" si="227"/>
        <v>0</v>
      </c>
      <c r="IK79" s="138">
        <f t="shared" si="228"/>
        <v>0</v>
      </c>
      <c r="IL79" s="216">
        <f t="shared" si="229"/>
        <v>1.5748031496062995E-2</v>
      </c>
      <c r="IM79" s="138">
        <f t="shared" si="230"/>
        <v>0</v>
      </c>
      <c r="IN79" s="138">
        <f t="shared" si="231"/>
        <v>0</v>
      </c>
      <c r="IO79" s="238">
        <f t="shared" si="232"/>
        <v>0</v>
      </c>
      <c r="IP79" s="138">
        <f t="shared" si="233"/>
        <v>1.5748031496062995E-2</v>
      </c>
      <c r="IQ79" s="138">
        <f t="shared" si="234"/>
        <v>0</v>
      </c>
      <c r="IR79" s="138">
        <f t="shared" si="235"/>
        <v>0</v>
      </c>
      <c r="IS79" s="138">
        <f t="shared" si="236"/>
        <v>0</v>
      </c>
      <c r="IT79" s="17">
        <f t="shared" si="237"/>
        <v>0.25</v>
      </c>
      <c r="IU79" s="17">
        <f t="shared" si="238"/>
        <v>1.5748031496062995E-2</v>
      </c>
      <c r="IV79" s="17">
        <f t="shared" si="239"/>
        <v>1.5748031496062995E-2</v>
      </c>
      <c r="IW79" s="253">
        <f t="shared" si="240"/>
        <v>11.673228720000003</v>
      </c>
      <c r="IX79" s="116">
        <f t="shared" si="241"/>
        <v>335.74158299174013</v>
      </c>
      <c r="IY79" s="8">
        <f t="shared" si="242"/>
        <v>8.6806970326330016E-3</v>
      </c>
      <c r="IZ79" s="8">
        <f t="shared" si="243"/>
        <v>8.6806970326330016E-3</v>
      </c>
      <c r="JA79" s="8">
        <f t="shared" si="244"/>
        <v>4.3403485163165008E-3</v>
      </c>
      <c r="JB79" s="134">
        <f t="shared" si="245"/>
        <v>6.5881321452415487E-2</v>
      </c>
      <c r="JC79" s="170">
        <f t="shared" si="251"/>
        <v>5.2747672707505648E-3</v>
      </c>
      <c r="JD79" s="272">
        <f t="shared" si="252"/>
        <v>7.2627593039770802E-2</v>
      </c>
      <c r="JE79" s="8"/>
      <c r="JF79" s="8"/>
    </row>
    <row r="80" spans="1:266" x14ac:dyDescent="0.25">
      <c r="A80" s="186">
        <v>20</v>
      </c>
      <c r="B80" s="187">
        <f>A80/100*'Inputs-Imperial'!$E$5</f>
        <v>1.9685040000000003</v>
      </c>
      <c r="C80" s="188">
        <f>'Inputs-Imperial'!$E$10+('Inputs-Imperial'!$E$9-'Inputs-Imperial'!$E$10)*(100-A80)/100</f>
        <v>1.9356955999999998</v>
      </c>
      <c r="D80" s="187">
        <f t="shared" si="248"/>
        <v>9.8425200000000101E-2</v>
      </c>
      <c r="E80" s="188">
        <f t="shared" si="249"/>
        <v>0.1910056025688722</v>
      </c>
      <c r="F80" s="423">
        <f>Loads!P40</f>
        <v>90.840936288896813</v>
      </c>
      <c r="G80" s="423">
        <f>Loads!M40</f>
        <v>908.40936288896739</v>
      </c>
      <c r="H80" s="423">
        <f>Loads!N40</f>
        <v>3175.1290893470382</v>
      </c>
      <c r="I80" s="423">
        <f>Loads!V40</f>
        <v>-801.76863121105146</v>
      </c>
      <c r="J80" s="423">
        <f>Loads!Q40</f>
        <v>317.51290893470389</v>
      </c>
      <c r="K80" s="2">
        <v>20</v>
      </c>
      <c r="L80" s="12">
        <f t="shared" si="41"/>
        <v>23.622048000000003</v>
      </c>
      <c r="M80" s="11">
        <f t="shared" si="42"/>
        <v>23.228347199999998</v>
      </c>
      <c r="N80" s="11">
        <f t="shared" si="43"/>
        <v>1.1811024000000012</v>
      </c>
      <c r="O80" s="152">
        <f t="shared" si="44"/>
        <v>27.504806769917593</v>
      </c>
      <c r="P80" s="151">
        <f t="shared" si="45"/>
        <v>90.840936288896813</v>
      </c>
      <c r="Q80" s="12">
        <f t="shared" si="46"/>
        <v>908.40936288896739</v>
      </c>
      <c r="R80" s="12">
        <f t="shared" si="47"/>
        <v>38101.54907216446</v>
      </c>
      <c r="S80" s="12">
        <f t="shared" si="48"/>
        <v>-9621.2235745326179</v>
      </c>
      <c r="T80" s="152">
        <f t="shared" si="49"/>
        <v>3810.1549072164466</v>
      </c>
      <c r="U80" s="8">
        <f t="shared" si="0"/>
        <v>4.1811024959999994</v>
      </c>
      <c r="V80" s="8">
        <f t="shared" si="1"/>
        <v>4.1811024959999994</v>
      </c>
      <c r="W80" s="134">
        <f t="shared" si="2"/>
        <v>2.0905512479999997</v>
      </c>
      <c r="X80" s="311">
        <f t="shared" si="3"/>
        <v>5.8070867999999995</v>
      </c>
      <c r="Y80" s="11">
        <f t="shared" si="4"/>
        <v>17.421260399999998</v>
      </c>
      <c r="Z80" s="11">
        <f t="shared" si="5"/>
        <v>11.614173599999997</v>
      </c>
      <c r="AA80" s="316">
        <f t="shared" si="50"/>
        <v>17.421260399999998</v>
      </c>
      <c r="AB80" s="170">
        <f t="shared" si="51"/>
        <v>3.1358268719999995</v>
      </c>
      <c r="AC80" s="11">
        <f t="shared" si="52"/>
        <v>17.421260399999998</v>
      </c>
      <c r="AD80" s="152">
        <f t="shared" si="53"/>
        <v>42.906346046448512</v>
      </c>
      <c r="AE80" s="151">
        <f t="shared" si="6"/>
        <v>5.2143722212485164</v>
      </c>
      <c r="AF80" s="12">
        <f t="shared" si="54"/>
        <v>112.1188875430817</v>
      </c>
      <c r="AG80" s="216">
        <f t="shared" si="7"/>
        <v>7.6871866235982793E-3</v>
      </c>
      <c r="AH80" s="2">
        <f t="shared" si="55"/>
        <v>1</v>
      </c>
      <c r="AI80" s="2">
        <f t="shared" si="56"/>
        <v>3</v>
      </c>
      <c r="AJ80" s="127">
        <f t="shared" si="57"/>
        <v>2</v>
      </c>
      <c r="AK80" s="2">
        <f t="shared" si="58"/>
        <v>1.5748031496062995E-2</v>
      </c>
      <c r="AL80" s="8">
        <f t="shared" si="8"/>
        <v>8.0898288561845999E-2</v>
      </c>
      <c r="AM80" s="138">
        <f t="shared" si="59"/>
        <v>0.25</v>
      </c>
      <c r="AN80" s="12">
        <f t="shared" si="9"/>
        <v>6705.5957955314698</v>
      </c>
      <c r="AO80" s="138">
        <f t="shared" si="60"/>
        <v>0.25</v>
      </c>
      <c r="AP80" s="116">
        <f t="shared" si="61"/>
        <v>2175570</v>
      </c>
      <c r="AQ80" s="2">
        <f t="shared" si="62"/>
        <v>1.5748031496062995E-2</v>
      </c>
      <c r="AR80" s="8">
        <f t="shared" si="63"/>
        <v>11.614173599999997</v>
      </c>
      <c r="AS80" s="116">
        <f t="shared" si="64"/>
        <v>2610.6840000000002</v>
      </c>
      <c r="AT80" s="217">
        <f t="shared" si="65"/>
        <v>0.12002678145343375</v>
      </c>
      <c r="AU80" s="207">
        <f t="shared" si="66"/>
        <v>3.6989867514869266</v>
      </c>
      <c r="AV80" s="144">
        <f t="shared" si="67"/>
        <v>9200.2363050750992</v>
      </c>
      <c r="AW80" s="138">
        <f t="shared" si="68"/>
        <v>0.25</v>
      </c>
      <c r="AX80" s="116">
        <f t="shared" si="69"/>
        <v>2175570</v>
      </c>
      <c r="AY80" s="2">
        <f t="shared" si="70"/>
        <v>1.5748031496062995E-2</v>
      </c>
      <c r="AZ80" s="8">
        <f t="shared" si="71"/>
        <v>11.614173599999997</v>
      </c>
      <c r="BA80" s="116">
        <f t="shared" si="72"/>
        <v>2610.6840000000002</v>
      </c>
      <c r="BB80" s="217">
        <f t="shared" si="73"/>
        <v>0.12002678145343375</v>
      </c>
      <c r="BC80" s="207">
        <f t="shared" si="74"/>
        <v>3.6989867514869266</v>
      </c>
      <c r="BD80" s="144">
        <f t="shared" si="75"/>
        <v>9200.2363050750992</v>
      </c>
      <c r="BE80" s="138">
        <f t="shared" si="76"/>
        <v>0.25</v>
      </c>
      <c r="BF80" s="116">
        <f t="shared" si="77"/>
        <v>2175570</v>
      </c>
      <c r="BG80" s="2">
        <f t="shared" si="78"/>
        <v>1.5748031496062995E-2</v>
      </c>
      <c r="BH80" s="8">
        <f t="shared" si="79"/>
        <v>11.614173599999997</v>
      </c>
      <c r="BI80" s="116">
        <f t="shared" si="80"/>
        <v>2610.6840000000002</v>
      </c>
      <c r="BJ80" s="217">
        <f t="shared" si="81"/>
        <v>0.12002678145343375</v>
      </c>
      <c r="BK80" s="207">
        <f t="shared" si="82"/>
        <v>3.6989867514869266</v>
      </c>
      <c r="BL80" s="144">
        <f t="shared" si="83"/>
        <v>9200.2363050750992</v>
      </c>
      <c r="BM80" s="216">
        <f t="shared" si="84"/>
        <v>0.25</v>
      </c>
      <c r="BN80" s="216">
        <f t="shared" si="85"/>
        <v>2.3622047244094495E-2</v>
      </c>
      <c r="BO80" s="238">
        <f t="shared" si="86"/>
        <v>1.5748031496062995E-2</v>
      </c>
      <c r="BP80" s="216">
        <f t="shared" si="87"/>
        <v>0.25</v>
      </c>
      <c r="BQ80" s="138">
        <f t="shared" si="88"/>
        <v>0</v>
      </c>
      <c r="BR80" s="138">
        <f t="shared" si="89"/>
        <v>0</v>
      </c>
      <c r="BS80" s="238">
        <f t="shared" si="90"/>
        <v>0</v>
      </c>
      <c r="BT80" s="138">
        <f t="shared" si="91"/>
        <v>0.25</v>
      </c>
      <c r="BU80" s="138">
        <f t="shared" si="92"/>
        <v>0</v>
      </c>
      <c r="BV80" s="138">
        <f t="shared" si="93"/>
        <v>0</v>
      </c>
      <c r="BW80" s="238">
        <f t="shared" si="94"/>
        <v>0</v>
      </c>
      <c r="BX80" s="216">
        <f t="shared" si="95"/>
        <v>2.3622047244094495E-2</v>
      </c>
      <c r="BY80" s="138">
        <f t="shared" si="96"/>
        <v>0</v>
      </c>
      <c r="BZ80" s="138">
        <f t="shared" si="97"/>
        <v>0</v>
      </c>
      <c r="CA80" s="238">
        <f t="shared" si="98"/>
        <v>0</v>
      </c>
      <c r="CB80" s="138">
        <f t="shared" si="99"/>
        <v>2.3622047244094495E-2</v>
      </c>
      <c r="CC80" s="138">
        <f t="shared" si="100"/>
        <v>0</v>
      </c>
      <c r="CD80" s="138">
        <f t="shared" si="101"/>
        <v>0</v>
      </c>
      <c r="CE80" s="238">
        <f t="shared" si="102"/>
        <v>0</v>
      </c>
      <c r="CF80" s="216">
        <f t="shared" si="103"/>
        <v>1.5748031496062995E-2</v>
      </c>
      <c r="CG80" s="138">
        <f t="shared" si="104"/>
        <v>0</v>
      </c>
      <c r="CH80" s="138">
        <f t="shared" si="105"/>
        <v>0</v>
      </c>
      <c r="CI80" s="238">
        <f t="shared" si="106"/>
        <v>0</v>
      </c>
      <c r="CJ80" s="138">
        <f t="shared" si="107"/>
        <v>1.5748031496062995E-2</v>
      </c>
      <c r="CK80" s="138">
        <f t="shared" si="108"/>
        <v>0</v>
      </c>
      <c r="CL80" s="138">
        <f t="shared" si="109"/>
        <v>0</v>
      </c>
      <c r="CM80" s="238">
        <f t="shared" si="110"/>
        <v>0</v>
      </c>
      <c r="CN80" s="17">
        <f t="shared" si="111"/>
        <v>0.25</v>
      </c>
      <c r="CO80" s="17">
        <f t="shared" si="112"/>
        <v>2.3622047244094495E-2</v>
      </c>
      <c r="CP80" s="17">
        <f t="shared" si="113"/>
        <v>1.5748031496062995E-2</v>
      </c>
      <c r="CQ80" s="17">
        <f>$U80-IF('Inputs-Imperial'!$E$13,0,2)*($CO80+$CN80+$CP80)</f>
        <v>4.1811024959999994</v>
      </c>
      <c r="CR80" s="116">
        <f t="shared" si="114"/>
        <v>9112.7995806406725</v>
      </c>
      <c r="CS80" s="8">
        <f t="shared" si="10"/>
        <v>0.23561410407894842</v>
      </c>
      <c r="CT80" s="8">
        <f t="shared" si="115"/>
        <v>0.48540097247425085</v>
      </c>
      <c r="CU80" s="8">
        <f t="shared" si="11"/>
        <v>0.23561410407894842</v>
      </c>
      <c r="CV80" s="8">
        <f t="shared" si="116"/>
        <v>0.48540097247425085</v>
      </c>
      <c r="CW80" s="216">
        <f t="shared" si="117"/>
        <v>3.6957015235257487</v>
      </c>
      <c r="CX80" s="116">
        <f t="shared" si="118"/>
        <v>10309.693255697521</v>
      </c>
      <c r="CY80" s="8">
        <f t="shared" si="119"/>
        <v>0.26656014085181606</v>
      </c>
      <c r="CZ80" s="8">
        <f t="shared" si="120"/>
        <v>0.51629462601485221</v>
      </c>
      <c r="DA80" s="8">
        <f t="shared" si="121"/>
        <v>0.26656014085181606</v>
      </c>
      <c r="DB80" s="8">
        <f t="shared" si="122"/>
        <v>0.51629462601485221</v>
      </c>
      <c r="DC80" s="216">
        <f t="shared" si="123"/>
        <v>3.6648078699851467</v>
      </c>
      <c r="DD80" s="116">
        <f t="shared" si="124"/>
        <v>10396.60206588644</v>
      </c>
      <c r="DE80" s="8">
        <f t="shared" si="125"/>
        <v>0.26880719361184069</v>
      </c>
      <c r="DF80" s="8">
        <f t="shared" si="126"/>
        <v>0.51846619331624766</v>
      </c>
      <c r="DG80" s="8">
        <f t="shared" si="127"/>
        <v>0.26880719361184069</v>
      </c>
      <c r="DH80" s="8">
        <f t="shared" si="128"/>
        <v>0.51846619331624766</v>
      </c>
      <c r="DI80" s="216">
        <f t="shared" si="129"/>
        <v>3.6626363026837518</v>
      </c>
      <c r="DJ80" s="116">
        <f t="shared" si="130"/>
        <v>10402.766183539987</v>
      </c>
      <c r="DK80" s="8">
        <f t="shared" si="131"/>
        <v>0.26896656868044888</v>
      </c>
      <c r="DL80" s="8">
        <f t="shared" si="132"/>
        <v>0.51861986915316782</v>
      </c>
      <c r="DM80" s="8">
        <f t="shared" si="133"/>
        <v>0.26896656868044888</v>
      </c>
      <c r="DN80" s="8">
        <f t="shared" si="134"/>
        <v>0.51861986915316782</v>
      </c>
      <c r="DO80" s="216">
        <f>$CQ80-DL80/2-DN80/2</f>
        <v>3.6624826268468311</v>
      </c>
      <c r="DP80" s="116">
        <f t="shared" si="136"/>
        <v>10403.202678115504</v>
      </c>
      <c r="DQ80" s="170">
        <f t="shared" si="137"/>
        <v>0.26897785437563354</v>
      </c>
      <c r="DR80" s="8">
        <f t="shared" si="138"/>
        <v>0.51863074954695232</v>
      </c>
      <c r="DS80" s="8">
        <f t="shared" si="139"/>
        <v>0.26897785437563354</v>
      </c>
      <c r="DT80" s="134">
        <f t="shared" si="140"/>
        <v>0.51863074954695232</v>
      </c>
      <c r="DU80" s="170">
        <f>MAX(DQ$80:DQ$89)</f>
        <v>0.26897785437563354</v>
      </c>
      <c r="DV80" s="170">
        <f>MAX(DR$80:DR$89)</f>
        <v>0.51863074954695232</v>
      </c>
      <c r="DW80" s="170">
        <f>MAX(DS$80:DS$89)</f>
        <v>0.26897785437563354</v>
      </c>
      <c r="DX80" s="272">
        <f>MAX(DT$80:DT$89)</f>
        <v>0.51863074954695232</v>
      </c>
      <c r="DY80" s="272">
        <f t="shared" si="142"/>
        <v>3.1438409969060945</v>
      </c>
      <c r="DZ80" s="22">
        <f t="shared" si="12"/>
        <v>217.26550921868804</v>
      </c>
      <c r="EA80" s="216">
        <f t="shared" si="13"/>
        <v>1.4234331506597272E-2</v>
      </c>
      <c r="EB80" s="12">
        <f t="shared" si="143"/>
        <v>2</v>
      </c>
      <c r="EC80" s="7">
        <f>ROUND(MAX(DV80,DX80)/'Inputs-Imperial'!$E$21,0)</f>
        <v>4</v>
      </c>
      <c r="ED80" s="12">
        <f t="shared" si="144"/>
        <v>4</v>
      </c>
      <c r="EE80" s="2">
        <f t="shared" si="145"/>
        <v>2</v>
      </c>
      <c r="EF80" s="127">
        <f t="shared" si="146"/>
        <v>2</v>
      </c>
      <c r="EG80" s="2">
        <f t="shared" si="147"/>
        <v>1.5748031496062995E-2</v>
      </c>
      <c r="EH80" s="8">
        <f t="shared" si="14"/>
        <v>0.14979902454438701</v>
      </c>
      <c r="EI80" s="138">
        <f t="shared" si="148"/>
        <v>0.25</v>
      </c>
      <c r="EJ80" s="12">
        <f t="shared" si="15"/>
        <v>12416.723851848019</v>
      </c>
      <c r="EK80" s="138">
        <f t="shared" si="149"/>
        <v>0.25</v>
      </c>
      <c r="EL80" s="116">
        <f t="shared" si="150"/>
        <v>2175570</v>
      </c>
      <c r="EM80" s="2">
        <f t="shared" si="16"/>
        <v>1.5748031496062995E-2</v>
      </c>
      <c r="EN80" s="8">
        <f t="shared" si="151"/>
        <v>4.1811024959999994</v>
      </c>
      <c r="EO80" s="116">
        <f t="shared" si="152"/>
        <v>2610.6840000000002</v>
      </c>
      <c r="EP80" s="217">
        <f t="shared" si="153"/>
        <v>0.92613257294316165</v>
      </c>
      <c r="EQ80" s="207">
        <f t="shared" si="154"/>
        <v>2</v>
      </c>
      <c r="ER80" s="144">
        <f t="shared" si="155"/>
        <v>38383.201904727015</v>
      </c>
      <c r="ES80" s="138">
        <f t="shared" si="17"/>
        <v>0.25</v>
      </c>
      <c r="ET80" s="116">
        <f t="shared" si="156"/>
        <v>2175570</v>
      </c>
      <c r="EU80" s="2">
        <f t="shared" si="18"/>
        <v>1.5748031496062995E-2</v>
      </c>
      <c r="EV80" s="8">
        <f t="shared" si="157"/>
        <v>4.1811024959999994</v>
      </c>
      <c r="EW80" s="116">
        <f t="shared" si="158"/>
        <v>2610.6840000000002</v>
      </c>
      <c r="EX80" s="217">
        <f t="shared" si="159"/>
        <v>0.92613257294316165</v>
      </c>
      <c r="EY80" s="207">
        <f t="shared" si="160"/>
        <v>2</v>
      </c>
      <c r="EZ80" s="144">
        <f t="shared" si="161"/>
        <v>38383.201904727015</v>
      </c>
      <c r="FA80" s="138">
        <f t="shared" si="19"/>
        <v>0.25</v>
      </c>
      <c r="FB80" s="116">
        <f t="shared" si="162"/>
        <v>2175570</v>
      </c>
      <c r="FC80" s="2">
        <f t="shared" si="20"/>
        <v>1.5748031496062995E-2</v>
      </c>
      <c r="FD80" s="8">
        <f t="shared" si="163"/>
        <v>4.1811024959999994</v>
      </c>
      <c r="FE80" s="116">
        <f t="shared" si="164"/>
        <v>2610.6840000000002</v>
      </c>
      <c r="FF80" s="217">
        <f t="shared" si="165"/>
        <v>0.92613257294316165</v>
      </c>
      <c r="FG80" s="207">
        <f t="shared" si="166"/>
        <v>2</v>
      </c>
      <c r="FH80" s="144">
        <f t="shared" si="167"/>
        <v>38383.201904727015</v>
      </c>
      <c r="FI80" s="128">
        <f t="shared" si="168"/>
        <v>0.25</v>
      </c>
      <c r="FJ80" s="2">
        <f t="shared" si="169"/>
        <v>1.5748031496062995E-2</v>
      </c>
      <c r="FK80" s="127">
        <f t="shared" si="170"/>
        <v>1.5748031496062995E-2</v>
      </c>
      <c r="FL80" s="216">
        <f t="shared" si="171"/>
        <v>0.25</v>
      </c>
      <c r="FM80" s="138">
        <f t="shared" si="172"/>
        <v>0</v>
      </c>
      <c r="FN80" s="138">
        <f t="shared" si="173"/>
        <v>0</v>
      </c>
      <c r="FO80" s="238">
        <f t="shared" si="174"/>
        <v>0</v>
      </c>
      <c r="FP80" s="216">
        <f t="shared" si="21"/>
        <v>0.25</v>
      </c>
      <c r="FQ80" s="138">
        <f t="shared" si="22"/>
        <v>0</v>
      </c>
      <c r="FR80" s="138">
        <f t="shared" si="23"/>
        <v>0</v>
      </c>
      <c r="FS80" s="238">
        <f t="shared" si="24"/>
        <v>0</v>
      </c>
      <c r="FT80" s="216">
        <f t="shared" si="175"/>
        <v>1.5748031496062995E-2</v>
      </c>
      <c r="FU80" s="138">
        <f t="shared" si="176"/>
        <v>0</v>
      </c>
      <c r="FV80" s="138">
        <f t="shared" si="177"/>
        <v>0</v>
      </c>
      <c r="FW80" s="238">
        <f t="shared" si="178"/>
        <v>0</v>
      </c>
      <c r="FX80" s="216">
        <f t="shared" si="25"/>
        <v>2.3622047244094495E-2</v>
      </c>
      <c r="FY80" s="138">
        <f t="shared" si="26"/>
        <v>0</v>
      </c>
      <c r="FZ80" s="138">
        <f t="shared" si="27"/>
        <v>0</v>
      </c>
      <c r="GA80" s="238">
        <f t="shared" si="28"/>
        <v>0</v>
      </c>
      <c r="GB80" s="216">
        <f t="shared" si="179"/>
        <v>1.5748031496062995E-2</v>
      </c>
      <c r="GC80" s="138">
        <f t="shared" si="180"/>
        <v>0</v>
      </c>
      <c r="GD80" s="138">
        <f t="shared" si="181"/>
        <v>0</v>
      </c>
      <c r="GE80" s="238">
        <f t="shared" si="182"/>
        <v>0</v>
      </c>
      <c r="GF80" s="216">
        <f t="shared" si="29"/>
        <v>2.3622047244094495E-2</v>
      </c>
      <c r="GG80" s="138">
        <f t="shared" si="30"/>
        <v>0</v>
      </c>
      <c r="GH80" s="138">
        <f t="shared" si="31"/>
        <v>0</v>
      </c>
      <c r="GI80" s="238">
        <f t="shared" si="32"/>
        <v>0</v>
      </c>
      <c r="GJ80" s="216">
        <f t="shared" si="183"/>
        <v>0.25</v>
      </c>
      <c r="GK80" s="216">
        <f t="shared" si="184"/>
        <v>2.3622047244094495E-2</v>
      </c>
      <c r="GL80" s="17">
        <f t="shared" si="185"/>
        <v>2.3622047244094495E-2</v>
      </c>
      <c r="GM80" s="216">
        <f t="shared" si="186"/>
        <v>7.3455626674399453E-3</v>
      </c>
      <c r="GN80" s="2">
        <f t="shared" si="187"/>
        <v>1</v>
      </c>
      <c r="GO80" s="2">
        <f t="shared" si="188"/>
        <v>2</v>
      </c>
      <c r="GP80" s="142">
        <f t="shared" si="189"/>
        <v>2</v>
      </c>
      <c r="GQ80" s="2">
        <f t="shared" si="190"/>
        <v>1.5748031496062995E-2</v>
      </c>
      <c r="GR80" s="8">
        <f t="shared" si="33"/>
        <v>7.7303111972780711E-2</v>
      </c>
      <c r="GS80" s="138">
        <f t="shared" si="191"/>
        <v>0.25</v>
      </c>
      <c r="GT80" s="12">
        <f t="shared" si="34"/>
        <v>6407.5944230871182</v>
      </c>
      <c r="GU80" s="138">
        <f t="shared" si="192"/>
        <v>0.25</v>
      </c>
      <c r="GV80" s="116">
        <f t="shared" si="193"/>
        <v>2175570</v>
      </c>
      <c r="GW80" s="2">
        <f t="shared" si="35"/>
        <v>1.5748031496062995E-2</v>
      </c>
      <c r="GX80" s="8">
        <f t="shared" si="36"/>
        <v>2.0905512479999997</v>
      </c>
      <c r="GY80" s="116">
        <f t="shared" si="194"/>
        <v>2610.6840000000002</v>
      </c>
      <c r="GZ80" s="217">
        <f t="shared" si="195"/>
        <v>3.7045302917726466</v>
      </c>
      <c r="HA80" s="207">
        <f t="shared" si="196"/>
        <v>2</v>
      </c>
      <c r="HB80" s="144">
        <f t="shared" si="197"/>
        <v>153532.80761890806</v>
      </c>
      <c r="HC80" s="138">
        <f t="shared" si="37"/>
        <v>0.25</v>
      </c>
      <c r="HD80" s="116">
        <f t="shared" si="198"/>
        <v>2175570</v>
      </c>
      <c r="HE80" s="2">
        <f t="shared" si="38"/>
        <v>1.5748031496062995E-2</v>
      </c>
      <c r="HF80" s="8">
        <f t="shared" si="199"/>
        <v>2.0905512479999997</v>
      </c>
      <c r="HG80" s="116">
        <f t="shared" si="200"/>
        <v>2610.6840000000002</v>
      </c>
      <c r="HH80" s="217">
        <f t="shared" si="201"/>
        <v>3.7045302917726466</v>
      </c>
      <c r="HI80" s="207">
        <f t="shared" si="202"/>
        <v>2</v>
      </c>
      <c r="HJ80" s="144">
        <f t="shared" si="203"/>
        <v>153532.80761890806</v>
      </c>
      <c r="HK80" s="138">
        <f t="shared" si="39"/>
        <v>0.25</v>
      </c>
      <c r="HL80" s="116">
        <f t="shared" si="204"/>
        <v>2175570</v>
      </c>
      <c r="HM80" s="2">
        <f t="shared" si="40"/>
        <v>1.5748031496062995E-2</v>
      </c>
      <c r="HN80" s="8">
        <f t="shared" si="205"/>
        <v>2.0905512479999997</v>
      </c>
      <c r="HO80" s="116">
        <f t="shared" si="206"/>
        <v>2610.6840000000002</v>
      </c>
      <c r="HP80" s="217">
        <f t="shared" si="207"/>
        <v>3.7045302917726466</v>
      </c>
      <c r="HQ80" s="207">
        <f t="shared" si="208"/>
        <v>2</v>
      </c>
      <c r="HR80" s="144">
        <f t="shared" si="209"/>
        <v>153532.80761890806</v>
      </c>
      <c r="HS80" s="128">
        <f t="shared" si="210"/>
        <v>0.25</v>
      </c>
      <c r="HT80" s="2">
        <f t="shared" si="211"/>
        <v>1.5748031496062995E-2</v>
      </c>
      <c r="HU80" s="127">
        <f t="shared" si="212"/>
        <v>1.5748031496062995E-2</v>
      </c>
      <c r="HV80" s="216">
        <f t="shared" si="213"/>
        <v>0.25</v>
      </c>
      <c r="HW80" s="138">
        <f t="shared" si="214"/>
        <v>0</v>
      </c>
      <c r="HX80" s="138">
        <f t="shared" si="215"/>
        <v>0</v>
      </c>
      <c r="HY80" s="238">
        <f t="shared" si="216"/>
        <v>0</v>
      </c>
      <c r="HZ80" s="138">
        <f t="shared" si="217"/>
        <v>0.25</v>
      </c>
      <c r="IA80" s="138">
        <f t="shared" si="218"/>
        <v>0</v>
      </c>
      <c r="IB80" s="138">
        <f t="shared" si="219"/>
        <v>0</v>
      </c>
      <c r="IC80" s="138">
        <f t="shared" si="220"/>
        <v>0</v>
      </c>
      <c r="ID80" s="216">
        <f t="shared" si="221"/>
        <v>1.5748031496062995E-2</v>
      </c>
      <c r="IE80" s="138">
        <f t="shared" si="222"/>
        <v>0</v>
      </c>
      <c r="IF80" s="138">
        <f t="shared" si="223"/>
        <v>0</v>
      </c>
      <c r="IG80" s="238">
        <f t="shared" si="224"/>
        <v>0</v>
      </c>
      <c r="IH80" s="138">
        <f t="shared" si="225"/>
        <v>1.5748031496062995E-2</v>
      </c>
      <c r="II80" s="138">
        <f t="shared" si="226"/>
        <v>0</v>
      </c>
      <c r="IJ80" s="138">
        <f t="shared" si="227"/>
        <v>0</v>
      </c>
      <c r="IK80" s="138">
        <f t="shared" si="228"/>
        <v>0</v>
      </c>
      <c r="IL80" s="216">
        <f t="shared" si="229"/>
        <v>1.5748031496062995E-2</v>
      </c>
      <c r="IM80" s="138">
        <f t="shared" si="230"/>
        <v>0</v>
      </c>
      <c r="IN80" s="138">
        <f t="shared" si="231"/>
        <v>0</v>
      </c>
      <c r="IO80" s="238">
        <f t="shared" si="232"/>
        <v>0</v>
      </c>
      <c r="IP80" s="138">
        <f t="shared" si="233"/>
        <v>1.5748031496062995E-2</v>
      </c>
      <c r="IQ80" s="138">
        <f t="shared" si="234"/>
        <v>0</v>
      </c>
      <c r="IR80" s="138">
        <f t="shared" si="235"/>
        <v>0</v>
      </c>
      <c r="IS80" s="138">
        <f t="shared" si="236"/>
        <v>0</v>
      </c>
      <c r="IT80" s="17">
        <f t="shared" si="237"/>
        <v>0.25</v>
      </c>
      <c r="IU80" s="17">
        <f t="shared" si="238"/>
        <v>1.5748031496062995E-2</v>
      </c>
      <c r="IV80" s="17">
        <f t="shared" si="239"/>
        <v>1.5748031496062995E-2</v>
      </c>
      <c r="IW80" s="253">
        <f t="shared" si="240"/>
        <v>11.614173599999997</v>
      </c>
      <c r="IX80" s="116">
        <f t="shared" si="241"/>
        <v>328.06078490306425</v>
      </c>
      <c r="IY80" s="8">
        <f t="shared" si="242"/>
        <v>8.4821077468421428E-3</v>
      </c>
      <c r="IZ80" s="8">
        <f t="shared" si="243"/>
        <v>8.4821077468421428E-3</v>
      </c>
      <c r="JA80" s="8">
        <f t="shared" si="244"/>
        <v>4.2410538734210714E-3</v>
      </c>
      <c r="JB80" s="134">
        <f t="shared" si="245"/>
        <v>6.5123374247815752E-2</v>
      </c>
      <c r="JC80" s="170">
        <f>MAX(JA$80:JA$89)</f>
        <v>4.2410538734210714E-3</v>
      </c>
      <c r="JD80" s="272">
        <f>MAX(JB$80:JB$89)</f>
        <v>6.5123374247815752E-2</v>
      </c>
      <c r="JE80" s="8"/>
      <c r="JF80" s="8"/>
    </row>
    <row r="81" spans="1:266" x14ac:dyDescent="0.25">
      <c r="A81" s="186">
        <v>21</v>
      </c>
      <c r="B81" s="187">
        <f>A81/100*'Inputs-Imperial'!$E$5</f>
        <v>2.0669292000000001</v>
      </c>
      <c r="C81" s="188">
        <f>'Inputs-Imperial'!$E$10+('Inputs-Imperial'!$E$9-'Inputs-Imperial'!$E$10)*(100-A81)/100</f>
        <v>1.92585308</v>
      </c>
      <c r="D81" s="187">
        <f t="shared" si="248"/>
        <v>9.8425199999999879E-2</v>
      </c>
      <c r="E81" s="188">
        <f t="shared" si="249"/>
        <v>0.19003685056936775</v>
      </c>
      <c r="F81" s="423">
        <f>Loads!P41</f>
        <v>89.372157802109982</v>
      </c>
      <c r="G81" s="423">
        <f>Loads!M41</f>
        <v>893.72157802109916</v>
      </c>
      <c r="H81" s="423">
        <f>Loads!N41</f>
        <v>3085.7187161228189</v>
      </c>
      <c r="I81" s="423">
        <f>Loads!V41</f>
        <v>-785.74161624302576</v>
      </c>
      <c r="J81" s="423">
        <f>Loads!Q41</f>
        <v>308.571871612282</v>
      </c>
      <c r="K81" s="2">
        <v>21</v>
      </c>
      <c r="L81" s="12">
        <f t="shared" si="41"/>
        <v>24.8031504</v>
      </c>
      <c r="M81" s="11">
        <f t="shared" si="42"/>
        <v>23.110236960000002</v>
      </c>
      <c r="N81" s="11">
        <f t="shared" si="43"/>
        <v>1.1811023999999986</v>
      </c>
      <c r="O81" s="152">
        <f t="shared" si="44"/>
        <v>27.365306481988959</v>
      </c>
      <c r="P81" s="151">
        <f t="shared" si="45"/>
        <v>89.372157802109982</v>
      </c>
      <c r="Q81" s="12">
        <f t="shared" si="46"/>
        <v>893.72157802109916</v>
      </c>
      <c r="R81" s="12">
        <f t="shared" si="47"/>
        <v>37028.624593473825</v>
      </c>
      <c r="S81" s="12">
        <f t="shared" si="48"/>
        <v>-9428.8993949163087</v>
      </c>
      <c r="T81" s="152">
        <f t="shared" si="49"/>
        <v>3702.8624593473842</v>
      </c>
      <c r="U81" s="8">
        <f t="shared" si="0"/>
        <v>4.1598426528000001</v>
      </c>
      <c r="V81" s="8">
        <f t="shared" si="1"/>
        <v>4.1598426528000001</v>
      </c>
      <c r="W81" s="134">
        <f t="shared" si="2"/>
        <v>2.0799213264</v>
      </c>
      <c r="X81" s="311">
        <f t="shared" si="3"/>
        <v>5.7775592400000004</v>
      </c>
      <c r="Y81" s="11">
        <f t="shared" si="4"/>
        <v>17.33267772</v>
      </c>
      <c r="Z81" s="11">
        <f t="shared" si="5"/>
        <v>11.555118479999999</v>
      </c>
      <c r="AA81" s="316">
        <f t="shared" si="50"/>
        <v>17.33267772</v>
      </c>
      <c r="AB81" s="170">
        <f t="shared" si="51"/>
        <v>3.1198819896000001</v>
      </c>
      <c r="AC81" s="11">
        <f t="shared" si="52"/>
        <v>17.33267772</v>
      </c>
      <c r="AD81" s="152">
        <f t="shared" si="53"/>
        <v>42.471119652050334</v>
      </c>
      <c r="AE81" s="151">
        <f t="shared" si="6"/>
        <v>5.1562810574262485</v>
      </c>
      <c r="AF81" s="12">
        <f t="shared" si="54"/>
        <v>111.00365933561066</v>
      </c>
      <c r="AG81" s="216">
        <f t="shared" si="7"/>
        <v>7.6103156238976778E-3</v>
      </c>
      <c r="AH81" s="2">
        <f t="shared" si="55"/>
        <v>1</v>
      </c>
      <c r="AI81" s="2">
        <f t="shared" si="56"/>
        <v>3</v>
      </c>
      <c r="AJ81" s="127">
        <f t="shared" si="57"/>
        <v>2</v>
      </c>
      <c r="AK81" s="2">
        <f t="shared" si="58"/>
        <v>1.5748031496062995E-2</v>
      </c>
      <c r="AL81" s="8">
        <f t="shared" si="8"/>
        <v>8.0089314795458375E-2</v>
      </c>
      <c r="AM81" s="138">
        <f t="shared" si="59"/>
        <v>0.25</v>
      </c>
      <c r="AN81" s="12">
        <f t="shared" si="9"/>
        <v>6638.5405934620585</v>
      </c>
      <c r="AO81" s="138">
        <f t="shared" si="60"/>
        <v>0.25</v>
      </c>
      <c r="AP81" s="116">
        <f t="shared" si="61"/>
        <v>2175570</v>
      </c>
      <c r="AQ81" s="2">
        <f t="shared" si="62"/>
        <v>1.5748031496062995E-2</v>
      </c>
      <c r="AR81" s="8">
        <f t="shared" si="63"/>
        <v>11.555118479999999</v>
      </c>
      <c r="AS81" s="116">
        <f t="shared" si="64"/>
        <v>2610.6840000000002</v>
      </c>
      <c r="AT81" s="217">
        <f t="shared" si="65"/>
        <v>0.12125676605829393</v>
      </c>
      <c r="AU81" s="207">
        <f t="shared" si="66"/>
        <v>3.6875521441636625</v>
      </c>
      <c r="AV81" s="144">
        <f t="shared" si="67"/>
        <v>9265.7845436139451</v>
      </c>
      <c r="AW81" s="138">
        <f t="shared" si="68"/>
        <v>0.25</v>
      </c>
      <c r="AX81" s="116">
        <f t="shared" si="69"/>
        <v>2175570</v>
      </c>
      <c r="AY81" s="2">
        <f t="shared" si="70"/>
        <v>1.5748031496062995E-2</v>
      </c>
      <c r="AZ81" s="8">
        <f t="shared" si="71"/>
        <v>11.555118479999999</v>
      </c>
      <c r="BA81" s="116">
        <f t="shared" si="72"/>
        <v>2610.6840000000002</v>
      </c>
      <c r="BB81" s="217">
        <f t="shared" si="73"/>
        <v>0.12125676605829393</v>
      </c>
      <c r="BC81" s="207">
        <f t="shared" si="74"/>
        <v>3.6875521441636625</v>
      </c>
      <c r="BD81" s="144">
        <f t="shared" si="75"/>
        <v>9265.7845436139451</v>
      </c>
      <c r="BE81" s="138">
        <f t="shared" si="76"/>
        <v>0.25</v>
      </c>
      <c r="BF81" s="116">
        <f t="shared" si="77"/>
        <v>2175570</v>
      </c>
      <c r="BG81" s="2">
        <f t="shared" si="78"/>
        <v>1.5748031496062995E-2</v>
      </c>
      <c r="BH81" s="8">
        <f t="shared" si="79"/>
        <v>11.555118479999999</v>
      </c>
      <c r="BI81" s="116">
        <f t="shared" si="80"/>
        <v>2610.6840000000002</v>
      </c>
      <c r="BJ81" s="217">
        <f t="shared" si="81"/>
        <v>0.12125676605829393</v>
      </c>
      <c r="BK81" s="207">
        <f t="shared" si="82"/>
        <v>3.6875521441636625</v>
      </c>
      <c r="BL81" s="144">
        <f t="shared" si="83"/>
        <v>9265.7845436139451</v>
      </c>
      <c r="BM81" s="216">
        <f t="shared" si="84"/>
        <v>0.25</v>
      </c>
      <c r="BN81" s="216">
        <f t="shared" si="85"/>
        <v>2.3622047244094495E-2</v>
      </c>
      <c r="BO81" s="238">
        <f t="shared" si="86"/>
        <v>1.5748031496062995E-2</v>
      </c>
      <c r="BP81" s="216">
        <f t="shared" si="87"/>
        <v>0.25</v>
      </c>
      <c r="BQ81" s="138">
        <f t="shared" si="88"/>
        <v>0</v>
      </c>
      <c r="BR81" s="138">
        <f t="shared" si="89"/>
        <v>0</v>
      </c>
      <c r="BS81" s="238">
        <f t="shared" si="90"/>
        <v>0</v>
      </c>
      <c r="BT81" s="138">
        <f t="shared" si="91"/>
        <v>0.25</v>
      </c>
      <c r="BU81" s="138">
        <f t="shared" si="92"/>
        <v>0</v>
      </c>
      <c r="BV81" s="138">
        <f t="shared" si="93"/>
        <v>0</v>
      </c>
      <c r="BW81" s="238">
        <f t="shared" si="94"/>
        <v>0</v>
      </c>
      <c r="BX81" s="216">
        <f t="shared" si="95"/>
        <v>2.3622047244094495E-2</v>
      </c>
      <c r="BY81" s="138">
        <f t="shared" si="96"/>
        <v>0</v>
      </c>
      <c r="BZ81" s="138">
        <f t="shared" si="97"/>
        <v>0</v>
      </c>
      <c r="CA81" s="238">
        <f t="shared" si="98"/>
        <v>0</v>
      </c>
      <c r="CB81" s="138">
        <f t="shared" si="99"/>
        <v>2.3622047244094495E-2</v>
      </c>
      <c r="CC81" s="138">
        <f t="shared" si="100"/>
        <v>0</v>
      </c>
      <c r="CD81" s="138">
        <f t="shared" si="101"/>
        <v>0</v>
      </c>
      <c r="CE81" s="238">
        <f t="shared" si="102"/>
        <v>0</v>
      </c>
      <c r="CF81" s="216">
        <f t="shared" si="103"/>
        <v>1.5748031496062995E-2</v>
      </c>
      <c r="CG81" s="138">
        <f t="shared" si="104"/>
        <v>0</v>
      </c>
      <c r="CH81" s="138">
        <f t="shared" si="105"/>
        <v>0</v>
      </c>
      <c r="CI81" s="238">
        <f t="shared" si="106"/>
        <v>0</v>
      </c>
      <c r="CJ81" s="138">
        <f t="shared" si="107"/>
        <v>1.5748031496062995E-2</v>
      </c>
      <c r="CK81" s="138">
        <f t="shared" si="108"/>
        <v>0</v>
      </c>
      <c r="CL81" s="138">
        <f t="shared" si="109"/>
        <v>0</v>
      </c>
      <c r="CM81" s="238">
        <f t="shared" si="110"/>
        <v>0</v>
      </c>
      <c r="CN81" s="17">
        <f t="shared" si="111"/>
        <v>0.25</v>
      </c>
      <c r="CO81" s="17">
        <f t="shared" si="112"/>
        <v>2.3622047244094495E-2</v>
      </c>
      <c r="CP81" s="17">
        <f t="shared" si="113"/>
        <v>1.5748031496062995E-2</v>
      </c>
      <c r="CQ81" s="17">
        <f>$U81-IF('Inputs-Imperial'!$E$13,0,2)*($CO81+$CN81+$CP81)</f>
        <v>4.1598426528000001</v>
      </c>
      <c r="CR81" s="116">
        <f t="shared" si="114"/>
        <v>8901.4483681371385</v>
      </c>
      <c r="CS81" s="8">
        <f t="shared" si="10"/>
        <v>0.23014955653355856</v>
      </c>
      <c r="CT81" s="8">
        <f t="shared" si="115"/>
        <v>0.47973905045718196</v>
      </c>
      <c r="CU81" s="8">
        <f t="shared" si="11"/>
        <v>0.23014955653355856</v>
      </c>
      <c r="CV81" s="8">
        <f t="shared" si="116"/>
        <v>0.47973905045718196</v>
      </c>
      <c r="CW81" s="216">
        <f t="shared" si="117"/>
        <v>3.6801036023428182</v>
      </c>
      <c r="CX81" s="116">
        <f t="shared" si="118"/>
        <v>10061.842979067425</v>
      </c>
      <c r="CY81" s="8">
        <f t="shared" si="119"/>
        <v>0.2601518993057188</v>
      </c>
      <c r="CZ81" s="8">
        <f t="shared" si="120"/>
        <v>0.51005087913434555</v>
      </c>
      <c r="DA81" s="8">
        <f t="shared" si="121"/>
        <v>0.2601518993057188</v>
      </c>
      <c r="DB81" s="8">
        <f t="shared" si="122"/>
        <v>0.51005087913434555</v>
      </c>
      <c r="DC81" s="216">
        <f t="shared" si="123"/>
        <v>3.6497917736656547</v>
      </c>
      <c r="DD81" s="116">
        <f t="shared" si="124"/>
        <v>10145.407434102539</v>
      </c>
      <c r="DE81" s="8">
        <f t="shared" si="125"/>
        <v>0.26231248278302594</v>
      </c>
      <c r="DF81" s="8">
        <f t="shared" si="126"/>
        <v>0.51216450753935105</v>
      </c>
      <c r="DG81" s="8">
        <f t="shared" si="127"/>
        <v>0.26231248278302594</v>
      </c>
      <c r="DH81" s="8">
        <f t="shared" si="128"/>
        <v>0.51216450753935105</v>
      </c>
      <c r="DI81" s="216">
        <f t="shared" si="129"/>
        <v>3.6476781452606488</v>
      </c>
      <c r="DJ81" s="116">
        <f t="shared" si="130"/>
        <v>10151.286138439691</v>
      </c>
      <c r="DK81" s="8">
        <f t="shared" si="131"/>
        <v>0.26246447840668541</v>
      </c>
      <c r="DL81" s="8">
        <f t="shared" si="132"/>
        <v>0.51231287159965577</v>
      </c>
      <c r="DM81" s="8">
        <f t="shared" si="133"/>
        <v>0.26246447840668541</v>
      </c>
      <c r="DN81" s="8">
        <f t="shared" si="134"/>
        <v>0.51231287159965577</v>
      </c>
      <c r="DO81" s="216">
        <f t="shared" ref="DO81:DO88" si="253">$CQ81-DL81/2-DN81/2</f>
        <v>3.647529781200344</v>
      </c>
      <c r="DP81" s="116">
        <f t="shared" si="136"/>
        <v>10151.699044192121</v>
      </c>
      <c r="DQ81" s="170">
        <f t="shared" si="137"/>
        <v>0.26247515420593531</v>
      </c>
      <c r="DR81" s="8">
        <f t="shared" si="138"/>
        <v>0.5123232907119637</v>
      </c>
      <c r="DS81" s="8">
        <f t="shared" si="139"/>
        <v>0.26247515420593531</v>
      </c>
      <c r="DT81" s="134">
        <f t="shared" si="140"/>
        <v>0.5123232907119637</v>
      </c>
      <c r="DU81" s="170">
        <f t="shared" ref="DU81:DU89" si="254">MAX(DQ$80:DQ$89)</f>
        <v>0.26897785437563354</v>
      </c>
      <c r="DV81" s="170">
        <f t="shared" ref="DV81:DX89" si="255">MAX(DR$80:DR$89)</f>
        <v>0.51863074954695232</v>
      </c>
      <c r="DW81" s="170">
        <f t="shared" si="255"/>
        <v>0.26897785437563354</v>
      </c>
      <c r="DX81" s="272">
        <f t="shared" si="255"/>
        <v>0.51863074954695232</v>
      </c>
      <c r="DY81" s="272">
        <f t="shared" si="142"/>
        <v>3.1225811537060952</v>
      </c>
      <c r="DZ81" s="22">
        <f t="shared" si="12"/>
        <v>214.84504405942687</v>
      </c>
      <c r="EA81" s="216">
        <f t="shared" si="13"/>
        <v>1.4075752707776456E-2</v>
      </c>
      <c r="EB81" s="12">
        <f t="shared" si="143"/>
        <v>2</v>
      </c>
      <c r="EC81" s="7">
        <f>ROUND(MAX(DV81,DX81)/'Inputs-Imperial'!$E$21,0)</f>
        <v>4</v>
      </c>
      <c r="ED81" s="12">
        <f t="shared" si="144"/>
        <v>4</v>
      </c>
      <c r="EE81" s="2">
        <f t="shared" si="145"/>
        <v>2</v>
      </c>
      <c r="EF81" s="127">
        <f t="shared" si="146"/>
        <v>2</v>
      </c>
      <c r="EG81" s="2">
        <f t="shared" si="147"/>
        <v>1.5748031496062995E-2</v>
      </c>
      <c r="EH81" s="8">
        <f t="shared" si="14"/>
        <v>0.14813017558117655</v>
      </c>
      <c r="EI81" s="138">
        <f t="shared" si="148"/>
        <v>0.25</v>
      </c>
      <c r="EJ81" s="12">
        <f t="shared" si="15"/>
        <v>12278.394267996244</v>
      </c>
      <c r="EK81" s="138">
        <f t="shared" si="149"/>
        <v>0.25</v>
      </c>
      <c r="EL81" s="116">
        <f t="shared" si="150"/>
        <v>2175570</v>
      </c>
      <c r="EM81" s="2">
        <f t="shared" si="16"/>
        <v>1.5748031496062995E-2</v>
      </c>
      <c r="EN81" s="8">
        <f t="shared" si="151"/>
        <v>4.1598426528000001</v>
      </c>
      <c r="EO81" s="116">
        <f t="shared" si="152"/>
        <v>2610.6840000000002</v>
      </c>
      <c r="EP81" s="217">
        <f t="shared" si="153"/>
        <v>0.93562319489424306</v>
      </c>
      <c r="EQ81" s="207">
        <f t="shared" si="154"/>
        <v>2</v>
      </c>
      <c r="ER81" s="144">
        <f t="shared" si="155"/>
        <v>38776.53701591109</v>
      </c>
      <c r="ES81" s="138">
        <f t="shared" si="17"/>
        <v>0.25</v>
      </c>
      <c r="ET81" s="116">
        <f t="shared" si="156"/>
        <v>2175570</v>
      </c>
      <c r="EU81" s="2">
        <f t="shared" si="18"/>
        <v>1.5748031496062995E-2</v>
      </c>
      <c r="EV81" s="8">
        <f t="shared" si="157"/>
        <v>4.1598426528000001</v>
      </c>
      <c r="EW81" s="116">
        <f t="shared" si="158"/>
        <v>2610.6840000000002</v>
      </c>
      <c r="EX81" s="217">
        <f t="shared" si="159"/>
        <v>0.93562319489424306</v>
      </c>
      <c r="EY81" s="207">
        <f t="shared" si="160"/>
        <v>2</v>
      </c>
      <c r="EZ81" s="144">
        <f t="shared" si="161"/>
        <v>38776.53701591109</v>
      </c>
      <c r="FA81" s="138">
        <f t="shared" si="19"/>
        <v>0.25</v>
      </c>
      <c r="FB81" s="116">
        <f t="shared" si="162"/>
        <v>2175570</v>
      </c>
      <c r="FC81" s="2">
        <f t="shared" si="20"/>
        <v>1.5748031496062995E-2</v>
      </c>
      <c r="FD81" s="8">
        <f t="shared" si="163"/>
        <v>4.1598426528000001</v>
      </c>
      <c r="FE81" s="116">
        <f t="shared" si="164"/>
        <v>2610.6840000000002</v>
      </c>
      <c r="FF81" s="217">
        <f t="shared" si="165"/>
        <v>0.93562319489424306</v>
      </c>
      <c r="FG81" s="207">
        <f t="shared" si="166"/>
        <v>2</v>
      </c>
      <c r="FH81" s="144">
        <f t="shared" si="167"/>
        <v>38776.53701591109</v>
      </c>
      <c r="FI81" s="128">
        <f t="shared" si="168"/>
        <v>0.25</v>
      </c>
      <c r="FJ81" s="2">
        <f t="shared" si="169"/>
        <v>1.5748031496062995E-2</v>
      </c>
      <c r="FK81" s="127">
        <f t="shared" si="170"/>
        <v>1.5748031496062995E-2</v>
      </c>
      <c r="FL81" s="216">
        <f t="shared" si="171"/>
        <v>0.25</v>
      </c>
      <c r="FM81" s="138">
        <f t="shared" si="172"/>
        <v>0</v>
      </c>
      <c r="FN81" s="138">
        <f t="shared" si="173"/>
        <v>0</v>
      </c>
      <c r="FO81" s="238">
        <f t="shared" si="174"/>
        <v>0</v>
      </c>
      <c r="FP81" s="216">
        <f t="shared" si="21"/>
        <v>0.25</v>
      </c>
      <c r="FQ81" s="138">
        <f t="shared" si="22"/>
        <v>0</v>
      </c>
      <c r="FR81" s="138">
        <f t="shared" si="23"/>
        <v>0</v>
      </c>
      <c r="FS81" s="238">
        <f t="shared" si="24"/>
        <v>0</v>
      </c>
      <c r="FT81" s="216">
        <f t="shared" si="175"/>
        <v>1.5748031496062995E-2</v>
      </c>
      <c r="FU81" s="138">
        <f t="shared" si="176"/>
        <v>0</v>
      </c>
      <c r="FV81" s="138">
        <f t="shared" si="177"/>
        <v>0</v>
      </c>
      <c r="FW81" s="238">
        <f t="shared" si="178"/>
        <v>0</v>
      </c>
      <c r="FX81" s="216">
        <f t="shared" si="25"/>
        <v>2.3622047244094495E-2</v>
      </c>
      <c r="FY81" s="138">
        <f t="shared" si="26"/>
        <v>0</v>
      </c>
      <c r="FZ81" s="138">
        <f t="shared" si="27"/>
        <v>0</v>
      </c>
      <c r="GA81" s="238">
        <f t="shared" si="28"/>
        <v>0</v>
      </c>
      <c r="GB81" s="216">
        <f t="shared" si="179"/>
        <v>1.5748031496062995E-2</v>
      </c>
      <c r="GC81" s="138">
        <f t="shared" si="180"/>
        <v>0</v>
      </c>
      <c r="GD81" s="138">
        <f t="shared" si="181"/>
        <v>0</v>
      </c>
      <c r="GE81" s="238">
        <f t="shared" si="182"/>
        <v>0</v>
      </c>
      <c r="GF81" s="216">
        <f t="shared" si="29"/>
        <v>2.3622047244094495E-2</v>
      </c>
      <c r="GG81" s="138">
        <f t="shared" si="30"/>
        <v>0</v>
      </c>
      <c r="GH81" s="138">
        <f t="shared" si="31"/>
        <v>0</v>
      </c>
      <c r="GI81" s="238">
        <f t="shared" si="32"/>
        <v>0</v>
      </c>
      <c r="GJ81" s="216">
        <f t="shared" si="183"/>
        <v>0.25</v>
      </c>
      <c r="GK81" s="216">
        <f t="shared" si="184"/>
        <v>2.3622047244094495E-2</v>
      </c>
      <c r="GL81" s="17">
        <f t="shared" si="185"/>
        <v>2.3622047244094495E-2</v>
      </c>
      <c r="GM81" s="216">
        <f t="shared" si="186"/>
        <v>7.2724975589110417E-3</v>
      </c>
      <c r="GN81" s="2">
        <f t="shared" si="187"/>
        <v>1</v>
      </c>
      <c r="GO81" s="2">
        <f t="shared" si="188"/>
        <v>2</v>
      </c>
      <c r="GP81" s="142">
        <f t="shared" si="189"/>
        <v>2</v>
      </c>
      <c r="GQ81" s="2">
        <f t="shared" si="190"/>
        <v>1.5748031496062995E-2</v>
      </c>
      <c r="GR81" s="8">
        <f t="shared" si="33"/>
        <v>7.653419058151012E-2</v>
      </c>
      <c r="GS81" s="138">
        <f t="shared" si="191"/>
        <v>0.25</v>
      </c>
      <c r="GT81" s="12">
        <f t="shared" si="34"/>
        <v>6343.8591310301481</v>
      </c>
      <c r="GU81" s="138">
        <f t="shared" si="192"/>
        <v>0.25</v>
      </c>
      <c r="GV81" s="116">
        <f t="shared" si="193"/>
        <v>2175570</v>
      </c>
      <c r="GW81" s="2">
        <f t="shared" si="35"/>
        <v>1.5748031496062995E-2</v>
      </c>
      <c r="GX81" s="8">
        <f t="shared" si="36"/>
        <v>2.0799213264</v>
      </c>
      <c r="GY81" s="116">
        <f t="shared" si="194"/>
        <v>2610.6840000000002</v>
      </c>
      <c r="GZ81" s="217">
        <f t="shared" si="195"/>
        <v>3.7424927795769722</v>
      </c>
      <c r="HA81" s="207">
        <f t="shared" si="196"/>
        <v>2</v>
      </c>
      <c r="HB81" s="144">
        <f t="shared" si="197"/>
        <v>155106.14806364436</v>
      </c>
      <c r="HC81" s="138">
        <f t="shared" si="37"/>
        <v>0.25</v>
      </c>
      <c r="HD81" s="116">
        <f t="shared" si="198"/>
        <v>2175570</v>
      </c>
      <c r="HE81" s="2">
        <f t="shared" si="38"/>
        <v>1.5748031496062995E-2</v>
      </c>
      <c r="HF81" s="8">
        <f t="shared" si="199"/>
        <v>2.0799213264</v>
      </c>
      <c r="HG81" s="116">
        <f t="shared" si="200"/>
        <v>2610.6840000000002</v>
      </c>
      <c r="HH81" s="217">
        <f t="shared" si="201"/>
        <v>3.7424927795769722</v>
      </c>
      <c r="HI81" s="207">
        <f t="shared" si="202"/>
        <v>2</v>
      </c>
      <c r="HJ81" s="144">
        <f t="shared" si="203"/>
        <v>155106.14806364436</v>
      </c>
      <c r="HK81" s="138">
        <f t="shared" si="39"/>
        <v>0.25</v>
      </c>
      <c r="HL81" s="116">
        <f t="shared" si="204"/>
        <v>2175570</v>
      </c>
      <c r="HM81" s="2">
        <f t="shared" si="40"/>
        <v>1.5748031496062995E-2</v>
      </c>
      <c r="HN81" s="8">
        <f t="shared" si="205"/>
        <v>2.0799213264</v>
      </c>
      <c r="HO81" s="116">
        <f t="shared" si="206"/>
        <v>2610.6840000000002</v>
      </c>
      <c r="HP81" s="217">
        <f t="shared" si="207"/>
        <v>3.7424927795769722</v>
      </c>
      <c r="HQ81" s="207">
        <f t="shared" si="208"/>
        <v>2</v>
      </c>
      <c r="HR81" s="144">
        <f t="shared" si="209"/>
        <v>155106.14806364436</v>
      </c>
      <c r="HS81" s="128">
        <f t="shared" si="210"/>
        <v>0.25</v>
      </c>
      <c r="HT81" s="2">
        <f t="shared" si="211"/>
        <v>1.5748031496062995E-2</v>
      </c>
      <c r="HU81" s="127">
        <f t="shared" si="212"/>
        <v>1.5748031496062995E-2</v>
      </c>
      <c r="HV81" s="216">
        <f t="shared" si="213"/>
        <v>0.25</v>
      </c>
      <c r="HW81" s="138">
        <f t="shared" si="214"/>
        <v>0</v>
      </c>
      <c r="HX81" s="138">
        <f t="shared" si="215"/>
        <v>0</v>
      </c>
      <c r="HY81" s="238">
        <f t="shared" si="216"/>
        <v>0</v>
      </c>
      <c r="HZ81" s="138">
        <f t="shared" si="217"/>
        <v>0.25</v>
      </c>
      <c r="IA81" s="138">
        <f t="shared" si="218"/>
        <v>0</v>
      </c>
      <c r="IB81" s="138">
        <f t="shared" si="219"/>
        <v>0</v>
      </c>
      <c r="IC81" s="138">
        <f t="shared" si="220"/>
        <v>0</v>
      </c>
      <c r="ID81" s="216">
        <f t="shared" si="221"/>
        <v>1.5748031496062995E-2</v>
      </c>
      <c r="IE81" s="138">
        <f t="shared" si="222"/>
        <v>0</v>
      </c>
      <c r="IF81" s="138">
        <f t="shared" si="223"/>
        <v>0</v>
      </c>
      <c r="IG81" s="238">
        <f t="shared" si="224"/>
        <v>0</v>
      </c>
      <c r="IH81" s="138">
        <f t="shared" si="225"/>
        <v>1.5748031496062995E-2</v>
      </c>
      <c r="II81" s="138">
        <f t="shared" si="226"/>
        <v>0</v>
      </c>
      <c r="IJ81" s="138">
        <f t="shared" si="227"/>
        <v>0</v>
      </c>
      <c r="IK81" s="138">
        <f t="shared" si="228"/>
        <v>0</v>
      </c>
      <c r="IL81" s="216">
        <f t="shared" si="229"/>
        <v>1.5748031496062995E-2</v>
      </c>
      <c r="IM81" s="138">
        <f t="shared" si="230"/>
        <v>0</v>
      </c>
      <c r="IN81" s="138">
        <f t="shared" si="231"/>
        <v>0</v>
      </c>
      <c r="IO81" s="238">
        <f t="shared" si="232"/>
        <v>0</v>
      </c>
      <c r="IP81" s="138">
        <f t="shared" si="233"/>
        <v>1.5748031496062995E-2</v>
      </c>
      <c r="IQ81" s="138">
        <f t="shared" si="234"/>
        <v>0</v>
      </c>
      <c r="IR81" s="138">
        <f t="shared" si="235"/>
        <v>0</v>
      </c>
      <c r="IS81" s="138">
        <f t="shared" si="236"/>
        <v>0</v>
      </c>
      <c r="IT81" s="17">
        <f t="shared" si="237"/>
        <v>0.25</v>
      </c>
      <c r="IU81" s="17">
        <f t="shared" si="238"/>
        <v>1.5748031496062995E-2</v>
      </c>
      <c r="IV81" s="17">
        <f t="shared" si="239"/>
        <v>1.5748031496062995E-2</v>
      </c>
      <c r="IW81" s="253">
        <f t="shared" si="240"/>
        <v>11.555118479999999</v>
      </c>
      <c r="IX81" s="116">
        <f t="shared" si="241"/>
        <v>320.45214125293717</v>
      </c>
      <c r="IY81" s="8">
        <f t="shared" si="242"/>
        <v>8.2853840352081123E-3</v>
      </c>
      <c r="IZ81" s="8">
        <f t="shared" si="243"/>
        <v>8.2853840352081123E-3</v>
      </c>
      <c r="JA81" s="8">
        <f t="shared" si="244"/>
        <v>4.1426920176040561E-3</v>
      </c>
      <c r="JB81" s="134">
        <f t="shared" si="245"/>
        <v>6.4363747697007645E-2</v>
      </c>
      <c r="JC81" s="170">
        <f t="shared" ref="JC81:JC89" si="256">MAX(JA$80:JA$89)</f>
        <v>4.2410538734210714E-3</v>
      </c>
      <c r="JD81" s="272">
        <f t="shared" ref="JD81:JD89" si="257">MAX(JB$80:JB$89)</f>
        <v>6.5123374247815752E-2</v>
      </c>
      <c r="JE81" s="8"/>
      <c r="JF81" s="8"/>
    </row>
    <row r="82" spans="1:266" x14ac:dyDescent="0.25">
      <c r="A82" s="186">
        <v>22</v>
      </c>
      <c r="B82" s="187">
        <f>A82/100*'Inputs-Imperial'!$E$5</f>
        <v>2.1653544</v>
      </c>
      <c r="C82" s="188">
        <f>'Inputs-Imperial'!$E$10+('Inputs-Imperial'!$E$9-'Inputs-Imperial'!$E$10)*(100-A82)/100</f>
        <v>1.9160105600000001</v>
      </c>
      <c r="D82" s="187">
        <f t="shared" si="248"/>
        <v>9.8425199999999879E-2</v>
      </c>
      <c r="E82" s="188">
        <f t="shared" si="249"/>
        <v>0.18906809856986379</v>
      </c>
      <c r="F82" s="423">
        <f>Loads!P42</f>
        <v>87.90867387711512</v>
      </c>
      <c r="G82" s="423">
        <f>Loads!M42</f>
        <v>879.08673877115052</v>
      </c>
      <c r="H82" s="423">
        <f>Loads!N42</f>
        <v>2997.7539910617766</v>
      </c>
      <c r="I82" s="423">
        <f>Loads!V42</f>
        <v>-769.83049225896798</v>
      </c>
      <c r="J82" s="423">
        <f>Loads!Q42</f>
        <v>299.77539910617776</v>
      </c>
      <c r="K82" s="2">
        <v>22</v>
      </c>
      <c r="L82" s="12">
        <f t="shared" si="41"/>
        <v>25.9842528</v>
      </c>
      <c r="M82" s="11">
        <f t="shared" si="42"/>
        <v>22.992126720000002</v>
      </c>
      <c r="N82" s="11">
        <f t="shared" si="43"/>
        <v>1.1811023999999986</v>
      </c>
      <c r="O82" s="152">
        <f t="shared" si="44"/>
        <v>27.225806194060382</v>
      </c>
      <c r="P82" s="151">
        <f t="shared" si="45"/>
        <v>87.90867387711512</v>
      </c>
      <c r="Q82" s="12">
        <f t="shared" si="46"/>
        <v>879.08673877115052</v>
      </c>
      <c r="R82" s="12">
        <f t="shared" si="47"/>
        <v>35973.047892741321</v>
      </c>
      <c r="S82" s="12">
        <f t="shared" si="48"/>
        <v>-9237.9659071076167</v>
      </c>
      <c r="T82" s="152">
        <f t="shared" si="49"/>
        <v>3597.3047892741333</v>
      </c>
      <c r="U82" s="8">
        <f t="shared" si="0"/>
        <v>4.1385828095999999</v>
      </c>
      <c r="V82" s="8">
        <f t="shared" si="1"/>
        <v>4.1385828095999999</v>
      </c>
      <c r="W82" s="134">
        <f t="shared" si="2"/>
        <v>2.0692914048</v>
      </c>
      <c r="X82" s="311">
        <f t="shared" si="3"/>
        <v>5.7480316800000004</v>
      </c>
      <c r="Y82" s="11">
        <f t="shared" si="4"/>
        <v>17.244095040000001</v>
      </c>
      <c r="Z82" s="11">
        <f t="shared" si="5"/>
        <v>11.496063360000001</v>
      </c>
      <c r="AA82" s="316">
        <f t="shared" si="50"/>
        <v>17.244095040000001</v>
      </c>
      <c r="AB82" s="170">
        <f t="shared" si="51"/>
        <v>3.1039371072000002</v>
      </c>
      <c r="AC82" s="11">
        <f t="shared" si="52"/>
        <v>17.244095040000001</v>
      </c>
      <c r="AD82" s="152">
        <f t="shared" si="53"/>
        <v>42.038111913868285</v>
      </c>
      <c r="AE82" s="151">
        <f t="shared" si="6"/>
        <v>5.0979001028003559</v>
      </c>
      <c r="AF82" s="12">
        <f t="shared" si="54"/>
        <v>109.87608013931795</v>
      </c>
      <c r="AG82" s="216">
        <f t="shared" si="7"/>
        <v>7.532616452950126E-3</v>
      </c>
      <c r="AH82" s="2">
        <f t="shared" si="55"/>
        <v>1</v>
      </c>
      <c r="AI82" s="2">
        <f t="shared" si="56"/>
        <v>3</v>
      </c>
      <c r="AJ82" s="127">
        <f t="shared" si="57"/>
        <v>2</v>
      </c>
      <c r="AK82" s="2">
        <f t="shared" si="58"/>
        <v>1.5748031496062995E-2</v>
      </c>
      <c r="AL82" s="8">
        <f t="shared" si="8"/>
        <v>7.9271625534079543E-2</v>
      </c>
      <c r="AM82" s="138">
        <f t="shared" si="59"/>
        <v>0.25</v>
      </c>
      <c r="AN82" s="12">
        <f t="shared" si="9"/>
        <v>6570.7629708370596</v>
      </c>
      <c r="AO82" s="138">
        <f t="shared" si="60"/>
        <v>0.25</v>
      </c>
      <c r="AP82" s="116">
        <f t="shared" si="61"/>
        <v>2175570</v>
      </c>
      <c r="AQ82" s="2">
        <f t="shared" si="62"/>
        <v>1.5748031496062995E-2</v>
      </c>
      <c r="AR82" s="8">
        <f t="shared" si="63"/>
        <v>11.496063360000001</v>
      </c>
      <c r="AS82" s="116">
        <f t="shared" si="64"/>
        <v>2610.6840000000002</v>
      </c>
      <c r="AT82" s="217">
        <f t="shared" si="65"/>
        <v>0.12250575455039718</v>
      </c>
      <c r="AU82" s="207">
        <f t="shared" si="66"/>
        <v>3.676024505984155</v>
      </c>
      <c r="AV82" s="144">
        <f t="shared" si="67"/>
        <v>9331.9613917183833</v>
      </c>
      <c r="AW82" s="138">
        <f t="shared" si="68"/>
        <v>0.25</v>
      </c>
      <c r="AX82" s="116">
        <f t="shared" si="69"/>
        <v>2175570</v>
      </c>
      <c r="AY82" s="2">
        <f t="shared" si="70"/>
        <v>1.5748031496062995E-2</v>
      </c>
      <c r="AZ82" s="8">
        <f t="shared" si="71"/>
        <v>11.496063360000001</v>
      </c>
      <c r="BA82" s="116">
        <f t="shared" si="72"/>
        <v>2610.6840000000002</v>
      </c>
      <c r="BB82" s="217">
        <f t="shared" si="73"/>
        <v>0.12250575455039718</v>
      </c>
      <c r="BC82" s="207">
        <f t="shared" si="74"/>
        <v>3.676024505984155</v>
      </c>
      <c r="BD82" s="144">
        <f t="shared" si="75"/>
        <v>9331.9613917183833</v>
      </c>
      <c r="BE82" s="138">
        <f t="shared" si="76"/>
        <v>0.25</v>
      </c>
      <c r="BF82" s="116">
        <f t="shared" si="77"/>
        <v>2175570</v>
      </c>
      <c r="BG82" s="2">
        <f t="shared" si="78"/>
        <v>1.5748031496062995E-2</v>
      </c>
      <c r="BH82" s="8">
        <f t="shared" si="79"/>
        <v>11.496063360000001</v>
      </c>
      <c r="BI82" s="116">
        <f t="shared" si="80"/>
        <v>2610.6840000000002</v>
      </c>
      <c r="BJ82" s="217">
        <f t="shared" si="81"/>
        <v>0.12250575455039718</v>
      </c>
      <c r="BK82" s="207">
        <f t="shared" si="82"/>
        <v>3.676024505984155</v>
      </c>
      <c r="BL82" s="144">
        <f t="shared" si="83"/>
        <v>9331.9613917183833</v>
      </c>
      <c r="BM82" s="216">
        <f t="shared" si="84"/>
        <v>0.25</v>
      </c>
      <c r="BN82" s="216">
        <f t="shared" si="85"/>
        <v>2.3622047244094495E-2</v>
      </c>
      <c r="BO82" s="238">
        <f t="shared" si="86"/>
        <v>1.5748031496062995E-2</v>
      </c>
      <c r="BP82" s="216">
        <f t="shared" si="87"/>
        <v>0.25</v>
      </c>
      <c r="BQ82" s="138">
        <f t="shared" si="88"/>
        <v>0</v>
      </c>
      <c r="BR82" s="138">
        <f t="shared" si="89"/>
        <v>0</v>
      </c>
      <c r="BS82" s="238">
        <f t="shared" si="90"/>
        <v>0</v>
      </c>
      <c r="BT82" s="138">
        <f t="shared" si="91"/>
        <v>0.25</v>
      </c>
      <c r="BU82" s="138">
        <f t="shared" si="92"/>
        <v>0</v>
      </c>
      <c r="BV82" s="138">
        <f t="shared" si="93"/>
        <v>0</v>
      </c>
      <c r="BW82" s="238">
        <f t="shared" si="94"/>
        <v>0</v>
      </c>
      <c r="BX82" s="216">
        <f t="shared" si="95"/>
        <v>2.3622047244094495E-2</v>
      </c>
      <c r="BY82" s="138">
        <f t="shared" si="96"/>
        <v>0</v>
      </c>
      <c r="BZ82" s="138">
        <f t="shared" si="97"/>
        <v>0</v>
      </c>
      <c r="CA82" s="238">
        <f t="shared" si="98"/>
        <v>0</v>
      </c>
      <c r="CB82" s="138">
        <f t="shared" si="99"/>
        <v>2.3622047244094495E-2</v>
      </c>
      <c r="CC82" s="138">
        <f t="shared" si="100"/>
        <v>0</v>
      </c>
      <c r="CD82" s="138">
        <f t="shared" si="101"/>
        <v>0</v>
      </c>
      <c r="CE82" s="238">
        <f t="shared" si="102"/>
        <v>0</v>
      </c>
      <c r="CF82" s="216">
        <f t="shared" si="103"/>
        <v>1.5748031496062995E-2</v>
      </c>
      <c r="CG82" s="138">
        <f t="shared" si="104"/>
        <v>0</v>
      </c>
      <c r="CH82" s="138">
        <f t="shared" si="105"/>
        <v>0</v>
      </c>
      <c r="CI82" s="238">
        <f t="shared" si="106"/>
        <v>0</v>
      </c>
      <c r="CJ82" s="138">
        <f t="shared" si="107"/>
        <v>1.5748031496062995E-2</v>
      </c>
      <c r="CK82" s="138">
        <f t="shared" si="108"/>
        <v>0</v>
      </c>
      <c r="CL82" s="138">
        <f t="shared" si="109"/>
        <v>0</v>
      </c>
      <c r="CM82" s="238">
        <f t="shared" si="110"/>
        <v>0</v>
      </c>
      <c r="CN82" s="17">
        <f t="shared" si="111"/>
        <v>0.25</v>
      </c>
      <c r="CO82" s="17">
        <f t="shared" si="112"/>
        <v>2.3622047244094495E-2</v>
      </c>
      <c r="CP82" s="17">
        <f t="shared" si="113"/>
        <v>1.5748031496062995E-2</v>
      </c>
      <c r="CQ82" s="17">
        <f>$U82-IF('Inputs-Imperial'!$E$13,0,2)*($CO82+$CN82+$CP82)</f>
        <v>4.1385828095999999</v>
      </c>
      <c r="CR82" s="116">
        <f t="shared" si="114"/>
        <v>8692.1174584925539</v>
      </c>
      <c r="CS82" s="8">
        <f t="shared" si="10"/>
        <v>0.22473724451072874</v>
      </c>
      <c r="CT82" s="8">
        <f t="shared" si="115"/>
        <v>0.47406459951226976</v>
      </c>
      <c r="CU82" s="8">
        <f t="shared" si="11"/>
        <v>0.22473724451072874</v>
      </c>
      <c r="CV82" s="8">
        <f t="shared" si="116"/>
        <v>0.47406459951226976</v>
      </c>
      <c r="CW82" s="216">
        <f t="shared" si="117"/>
        <v>3.6645182100877305</v>
      </c>
      <c r="CX82" s="116">
        <f t="shared" si="118"/>
        <v>9816.5831987720176</v>
      </c>
      <c r="CY82" s="8">
        <f t="shared" si="119"/>
        <v>0.25381063580161795</v>
      </c>
      <c r="CZ82" s="8">
        <f t="shared" si="120"/>
        <v>0.50379622448130545</v>
      </c>
      <c r="DA82" s="8">
        <f t="shared" si="121"/>
        <v>0.25381063580161795</v>
      </c>
      <c r="DB82" s="8">
        <f t="shared" si="122"/>
        <v>0.50379622448130545</v>
      </c>
      <c r="DC82" s="216">
        <f t="shared" si="123"/>
        <v>3.634786585118694</v>
      </c>
      <c r="DD82" s="116">
        <f t="shared" si="124"/>
        <v>9896.8803395555115</v>
      </c>
      <c r="DE82" s="8">
        <f t="shared" si="125"/>
        <v>0.25588674191131405</v>
      </c>
      <c r="DF82" s="8">
        <f t="shared" si="126"/>
        <v>0.50585249026896573</v>
      </c>
      <c r="DG82" s="8">
        <f t="shared" si="127"/>
        <v>0.25588674191131405</v>
      </c>
      <c r="DH82" s="8">
        <f t="shared" si="128"/>
        <v>0.50585249026896573</v>
      </c>
      <c r="DI82" s="216">
        <f t="shared" si="129"/>
        <v>3.6327303193310341</v>
      </c>
      <c r="DJ82" s="116">
        <f t="shared" si="130"/>
        <v>9902.4823564017661</v>
      </c>
      <c r="DK82" s="8">
        <f t="shared" si="131"/>
        <v>0.25603158369880047</v>
      </c>
      <c r="DL82" s="8">
        <f t="shared" si="132"/>
        <v>0.50599563604719011</v>
      </c>
      <c r="DM82" s="8">
        <f t="shared" si="133"/>
        <v>0.25603158369880047</v>
      </c>
      <c r="DN82" s="8">
        <f t="shared" si="134"/>
        <v>0.50599563604719011</v>
      </c>
      <c r="DO82" s="216">
        <f t="shared" si="253"/>
        <v>3.6325871735528095</v>
      </c>
      <c r="DP82" s="116">
        <f t="shared" si="136"/>
        <v>9902.8725737525256</v>
      </c>
      <c r="DQ82" s="170">
        <f t="shared" si="137"/>
        <v>0.25604167288277535</v>
      </c>
      <c r="DR82" s="8">
        <f t="shared" si="138"/>
        <v>0.50600560558434071</v>
      </c>
      <c r="DS82" s="8">
        <f t="shared" si="139"/>
        <v>0.25604167288277535</v>
      </c>
      <c r="DT82" s="134">
        <f t="shared" si="140"/>
        <v>0.50600560558434071</v>
      </c>
      <c r="DU82" s="170">
        <f t="shared" si="254"/>
        <v>0.26897785437563354</v>
      </c>
      <c r="DV82" s="170">
        <f t="shared" si="255"/>
        <v>0.51863074954695232</v>
      </c>
      <c r="DW82" s="170">
        <f t="shared" si="255"/>
        <v>0.26897785437563354</v>
      </c>
      <c r="DX82" s="272">
        <f t="shared" si="255"/>
        <v>0.51863074954695232</v>
      </c>
      <c r="DY82" s="272">
        <f t="shared" si="142"/>
        <v>3.1013213105060951</v>
      </c>
      <c r="DZ82" s="22">
        <f t="shared" si="12"/>
        <v>212.41250428334803</v>
      </c>
      <c r="EA82" s="216">
        <f t="shared" si="13"/>
        <v>1.3916382830338442E-2</v>
      </c>
      <c r="EB82" s="12">
        <f t="shared" si="143"/>
        <v>2</v>
      </c>
      <c r="EC82" s="7">
        <f>ROUND(MAX(DV82,DX82)/'Inputs-Imperial'!$E$21,0)</f>
        <v>4</v>
      </c>
      <c r="ED82" s="12">
        <f t="shared" si="144"/>
        <v>4</v>
      </c>
      <c r="EE82" s="2">
        <f t="shared" si="145"/>
        <v>2</v>
      </c>
      <c r="EF82" s="127">
        <f t="shared" si="146"/>
        <v>2</v>
      </c>
      <c r="EG82" s="2">
        <f t="shared" si="147"/>
        <v>1.5748031496062995E-2</v>
      </c>
      <c r="EH82" s="8">
        <f t="shared" si="14"/>
        <v>0.14645300147778376</v>
      </c>
      <c r="EI82" s="138">
        <f t="shared" si="148"/>
        <v>0.25</v>
      </c>
      <c r="EJ82" s="12">
        <f t="shared" si="15"/>
        <v>12139.374619793336</v>
      </c>
      <c r="EK82" s="138">
        <f t="shared" si="149"/>
        <v>0.25</v>
      </c>
      <c r="EL82" s="116">
        <f t="shared" si="150"/>
        <v>2175570</v>
      </c>
      <c r="EM82" s="2">
        <f t="shared" si="16"/>
        <v>1.5748031496062995E-2</v>
      </c>
      <c r="EN82" s="8">
        <f t="shared" si="151"/>
        <v>4.1385828095999999</v>
      </c>
      <c r="EO82" s="116">
        <f t="shared" si="152"/>
        <v>2610.6840000000002</v>
      </c>
      <c r="EP82" s="217">
        <f t="shared" si="153"/>
        <v>0.94526045177775631</v>
      </c>
      <c r="EQ82" s="207">
        <f t="shared" si="154"/>
        <v>2</v>
      </c>
      <c r="ER82" s="144">
        <f t="shared" si="155"/>
        <v>39175.949354462231</v>
      </c>
      <c r="ES82" s="138">
        <f t="shared" si="17"/>
        <v>0.25</v>
      </c>
      <c r="ET82" s="116">
        <f t="shared" si="156"/>
        <v>2175570</v>
      </c>
      <c r="EU82" s="2">
        <f t="shared" si="18"/>
        <v>1.5748031496062995E-2</v>
      </c>
      <c r="EV82" s="8">
        <f t="shared" si="157"/>
        <v>4.1385828095999999</v>
      </c>
      <c r="EW82" s="116">
        <f t="shared" si="158"/>
        <v>2610.6840000000002</v>
      </c>
      <c r="EX82" s="217">
        <f t="shared" si="159"/>
        <v>0.94526045177775631</v>
      </c>
      <c r="EY82" s="207">
        <f t="shared" si="160"/>
        <v>2</v>
      </c>
      <c r="EZ82" s="144">
        <f t="shared" si="161"/>
        <v>39175.949354462231</v>
      </c>
      <c r="FA82" s="138">
        <f t="shared" si="19"/>
        <v>0.25</v>
      </c>
      <c r="FB82" s="116">
        <f t="shared" si="162"/>
        <v>2175570</v>
      </c>
      <c r="FC82" s="2">
        <f t="shared" si="20"/>
        <v>1.5748031496062995E-2</v>
      </c>
      <c r="FD82" s="8">
        <f t="shared" si="163"/>
        <v>4.1385828095999999</v>
      </c>
      <c r="FE82" s="116">
        <f t="shared" si="164"/>
        <v>2610.6840000000002</v>
      </c>
      <c r="FF82" s="217">
        <f t="shared" si="165"/>
        <v>0.94526045177775631</v>
      </c>
      <c r="FG82" s="207">
        <f t="shared" si="166"/>
        <v>2</v>
      </c>
      <c r="FH82" s="144">
        <f t="shared" si="167"/>
        <v>39175.949354462231</v>
      </c>
      <c r="FI82" s="128">
        <f t="shared" si="168"/>
        <v>0.25</v>
      </c>
      <c r="FJ82" s="2">
        <f t="shared" si="169"/>
        <v>1.5748031496062995E-2</v>
      </c>
      <c r="FK82" s="127">
        <f t="shared" si="170"/>
        <v>1.5748031496062995E-2</v>
      </c>
      <c r="FL82" s="216">
        <f t="shared" si="171"/>
        <v>0.25</v>
      </c>
      <c r="FM82" s="138">
        <f t="shared" si="172"/>
        <v>0</v>
      </c>
      <c r="FN82" s="138">
        <f t="shared" si="173"/>
        <v>0</v>
      </c>
      <c r="FO82" s="238">
        <f t="shared" si="174"/>
        <v>0</v>
      </c>
      <c r="FP82" s="216">
        <f t="shared" si="21"/>
        <v>0.25</v>
      </c>
      <c r="FQ82" s="138">
        <f t="shared" si="22"/>
        <v>0</v>
      </c>
      <c r="FR82" s="138">
        <f t="shared" si="23"/>
        <v>0</v>
      </c>
      <c r="FS82" s="238">
        <f t="shared" si="24"/>
        <v>0</v>
      </c>
      <c r="FT82" s="216">
        <f t="shared" si="175"/>
        <v>1.5748031496062995E-2</v>
      </c>
      <c r="FU82" s="138">
        <f t="shared" si="176"/>
        <v>0</v>
      </c>
      <c r="FV82" s="138">
        <f t="shared" si="177"/>
        <v>0</v>
      </c>
      <c r="FW82" s="238">
        <f t="shared" si="178"/>
        <v>0</v>
      </c>
      <c r="FX82" s="216">
        <f t="shared" si="25"/>
        <v>2.3622047244094495E-2</v>
      </c>
      <c r="FY82" s="138">
        <f t="shared" si="26"/>
        <v>0</v>
      </c>
      <c r="FZ82" s="138">
        <f t="shared" si="27"/>
        <v>0</v>
      </c>
      <c r="GA82" s="238">
        <f t="shared" si="28"/>
        <v>0</v>
      </c>
      <c r="GB82" s="216">
        <f t="shared" si="179"/>
        <v>1.5748031496062995E-2</v>
      </c>
      <c r="GC82" s="138">
        <f t="shared" si="180"/>
        <v>0</v>
      </c>
      <c r="GD82" s="138">
        <f t="shared" si="181"/>
        <v>0</v>
      </c>
      <c r="GE82" s="238">
        <f t="shared" si="182"/>
        <v>0</v>
      </c>
      <c r="GF82" s="216">
        <f t="shared" si="29"/>
        <v>2.3622047244094495E-2</v>
      </c>
      <c r="GG82" s="138">
        <f t="shared" si="30"/>
        <v>0</v>
      </c>
      <c r="GH82" s="138">
        <f t="shared" si="31"/>
        <v>0</v>
      </c>
      <c r="GI82" s="238">
        <f t="shared" si="32"/>
        <v>0</v>
      </c>
      <c r="GJ82" s="216">
        <f t="shared" si="183"/>
        <v>0.25</v>
      </c>
      <c r="GK82" s="216">
        <f t="shared" si="184"/>
        <v>2.3622047244094495E-2</v>
      </c>
      <c r="GL82" s="17">
        <f t="shared" si="185"/>
        <v>2.3622047244094495E-2</v>
      </c>
      <c r="GM82" s="216">
        <f t="shared" si="186"/>
        <v>7.198623265022003E-3</v>
      </c>
      <c r="GN82" s="2">
        <f t="shared" si="187"/>
        <v>1</v>
      </c>
      <c r="GO82" s="2">
        <f t="shared" si="188"/>
        <v>2</v>
      </c>
      <c r="GP82" s="142">
        <f t="shared" si="189"/>
        <v>2</v>
      </c>
      <c r="GQ82" s="2">
        <f t="shared" si="190"/>
        <v>1.5748031496062995E-2</v>
      </c>
      <c r="GR82" s="8">
        <f t="shared" si="33"/>
        <v>7.5756753498612744E-2</v>
      </c>
      <c r="GS82" s="138">
        <f t="shared" si="191"/>
        <v>0.25</v>
      </c>
      <c r="GT82" s="12">
        <f t="shared" si="34"/>
        <v>6279.4179799620197</v>
      </c>
      <c r="GU82" s="138">
        <f t="shared" si="192"/>
        <v>0.25</v>
      </c>
      <c r="GV82" s="116">
        <f t="shared" si="193"/>
        <v>2175570</v>
      </c>
      <c r="GW82" s="2">
        <f t="shared" si="35"/>
        <v>1.5748031496062995E-2</v>
      </c>
      <c r="GX82" s="8">
        <f t="shared" si="36"/>
        <v>2.0692914048</v>
      </c>
      <c r="GY82" s="116">
        <f t="shared" si="194"/>
        <v>2610.6840000000002</v>
      </c>
      <c r="GZ82" s="217">
        <f t="shared" si="195"/>
        <v>3.7810418071110252</v>
      </c>
      <c r="HA82" s="207">
        <f t="shared" si="196"/>
        <v>2</v>
      </c>
      <c r="HB82" s="144">
        <f t="shared" si="197"/>
        <v>156703.79741784892</v>
      </c>
      <c r="HC82" s="138">
        <f t="shared" si="37"/>
        <v>0.25</v>
      </c>
      <c r="HD82" s="116">
        <f t="shared" si="198"/>
        <v>2175570</v>
      </c>
      <c r="HE82" s="2">
        <f t="shared" si="38"/>
        <v>1.5748031496062995E-2</v>
      </c>
      <c r="HF82" s="8">
        <f t="shared" si="199"/>
        <v>2.0692914048</v>
      </c>
      <c r="HG82" s="116">
        <f t="shared" si="200"/>
        <v>2610.6840000000002</v>
      </c>
      <c r="HH82" s="217">
        <f t="shared" si="201"/>
        <v>3.7810418071110252</v>
      </c>
      <c r="HI82" s="207">
        <f t="shared" si="202"/>
        <v>2</v>
      </c>
      <c r="HJ82" s="144">
        <f t="shared" si="203"/>
        <v>156703.79741784892</v>
      </c>
      <c r="HK82" s="138">
        <f t="shared" si="39"/>
        <v>0.25</v>
      </c>
      <c r="HL82" s="116">
        <f t="shared" si="204"/>
        <v>2175570</v>
      </c>
      <c r="HM82" s="2">
        <f t="shared" si="40"/>
        <v>1.5748031496062995E-2</v>
      </c>
      <c r="HN82" s="8">
        <f t="shared" si="205"/>
        <v>2.0692914048</v>
      </c>
      <c r="HO82" s="116">
        <f t="shared" si="206"/>
        <v>2610.6840000000002</v>
      </c>
      <c r="HP82" s="217">
        <f t="shared" si="207"/>
        <v>3.7810418071110252</v>
      </c>
      <c r="HQ82" s="207">
        <f t="shared" si="208"/>
        <v>2</v>
      </c>
      <c r="HR82" s="144">
        <f t="shared" si="209"/>
        <v>156703.79741784892</v>
      </c>
      <c r="HS82" s="128">
        <f t="shared" si="210"/>
        <v>0.25</v>
      </c>
      <c r="HT82" s="2">
        <f t="shared" si="211"/>
        <v>1.5748031496062995E-2</v>
      </c>
      <c r="HU82" s="127">
        <f t="shared" si="212"/>
        <v>1.5748031496062995E-2</v>
      </c>
      <c r="HV82" s="216">
        <f t="shared" si="213"/>
        <v>0.25</v>
      </c>
      <c r="HW82" s="138">
        <f t="shared" si="214"/>
        <v>0</v>
      </c>
      <c r="HX82" s="138">
        <f t="shared" si="215"/>
        <v>0</v>
      </c>
      <c r="HY82" s="238">
        <f t="shared" si="216"/>
        <v>0</v>
      </c>
      <c r="HZ82" s="138">
        <f t="shared" si="217"/>
        <v>0.25</v>
      </c>
      <c r="IA82" s="138">
        <f t="shared" si="218"/>
        <v>0</v>
      </c>
      <c r="IB82" s="138">
        <f t="shared" si="219"/>
        <v>0</v>
      </c>
      <c r="IC82" s="138">
        <f t="shared" si="220"/>
        <v>0</v>
      </c>
      <c r="ID82" s="216">
        <f t="shared" si="221"/>
        <v>1.5748031496062995E-2</v>
      </c>
      <c r="IE82" s="138">
        <f t="shared" si="222"/>
        <v>0</v>
      </c>
      <c r="IF82" s="138">
        <f t="shared" si="223"/>
        <v>0</v>
      </c>
      <c r="IG82" s="238">
        <f t="shared" si="224"/>
        <v>0</v>
      </c>
      <c r="IH82" s="138">
        <f t="shared" si="225"/>
        <v>1.5748031496062995E-2</v>
      </c>
      <c r="II82" s="138">
        <f t="shared" si="226"/>
        <v>0</v>
      </c>
      <c r="IJ82" s="138">
        <f t="shared" si="227"/>
        <v>0</v>
      </c>
      <c r="IK82" s="138">
        <f t="shared" si="228"/>
        <v>0</v>
      </c>
      <c r="IL82" s="216">
        <f t="shared" si="229"/>
        <v>1.5748031496062995E-2</v>
      </c>
      <c r="IM82" s="138">
        <f t="shared" si="230"/>
        <v>0</v>
      </c>
      <c r="IN82" s="138">
        <f t="shared" si="231"/>
        <v>0</v>
      </c>
      <c r="IO82" s="238">
        <f t="shared" si="232"/>
        <v>0</v>
      </c>
      <c r="IP82" s="138">
        <f t="shared" si="233"/>
        <v>1.5748031496062995E-2</v>
      </c>
      <c r="IQ82" s="138">
        <f t="shared" si="234"/>
        <v>0</v>
      </c>
      <c r="IR82" s="138">
        <f t="shared" si="235"/>
        <v>0</v>
      </c>
      <c r="IS82" s="138">
        <f t="shared" si="236"/>
        <v>0</v>
      </c>
      <c r="IT82" s="17">
        <f t="shared" si="237"/>
        <v>0.25</v>
      </c>
      <c r="IU82" s="17">
        <f t="shared" si="238"/>
        <v>1.5748031496062995E-2</v>
      </c>
      <c r="IV82" s="17">
        <f t="shared" si="239"/>
        <v>1.5748031496062995E-2</v>
      </c>
      <c r="IW82" s="253">
        <f t="shared" si="240"/>
        <v>11.496063360000001</v>
      </c>
      <c r="IX82" s="116">
        <f t="shared" si="241"/>
        <v>312.91622850573197</v>
      </c>
      <c r="IY82" s="8">
        <f t="shared" si="242"/>
        <v>8.0905408023862358E-3</v>
      </c>
      <c r="IZ82" s="8">
        <f t="shared" si="243"/>
        <v>8.0905408023862358E-3</v>
      </c>
      <c r="JA82" s="8">
        <f t="shared" si="244"/>
        <v>4.0452704011931179E-3</v>
      </c>
      <c r="JB82" s="134">
        <f t="shared" si="245"/>
        <v>6.3602440214138939E-2</v>
      </c>
      <c r="JC82" s="170">
        <f t="shared" si="256"/>
        <v>4.2410538734210714E-3</v>
      </c>
      <c r="JD82" s="272">
        <f t="shared" si="257"/>
        <v>6.5123374247815752E-2</v>
      </c>
      <c r="JE82" s="8"/>
      <c r="JF82" s="8"/>
    </row>
    <row r="83" spans="1:266" x14ac:dyDescent="0.25">
      <c r="A83" s="186">
        <v>23</v>
      </c>
      <c r="B83" s="187">
        <f>A83/100*'Inputs-Imperial'!$E$5</f>
        <v>2.2637796000000003</v>
      </c>
      <c r="C83" s="188">
        <f>'Inputs-Imperial'!$E$10+('Inputs-Imperial'!$E$9-'Inputs-Imperial'!$E$10)*(100-A83)/100</f>
        <v>1.9061680400000001</v>
      </c>
      <c r="D83" s="187">
        <f t="shared" si="248"/>
        <v>9.8425200000000324E-2</v>
      </c>
      <c r="E83" s="188">
        <f t="shared" si="249"/>
        <v>0.18809934657036062</v>
      </c>
      <c r="F83" s="423">
        <f>Loads!P43</f>
        <v>86.450567374295701</v>
      </c>
      <c r="G83" s="423">
        <f>Loads!M43</f>
        <v>864.50567374295633</v>
      </c>
      <c r="H83" s="423">
        <f>Loads!N43</f>
        <v>2911.2297029808778</v>
      </c>
      <c r="I83" s="423">
        <f>Loads!V43</f>
        <v>-754.03663855413072</v>
      </c>
      <c r="J83" s="423">
        <f>Loads!Q43</f>
        <v>291.12297029808792</v>
      </c>
      <c r="K83" s="2">
        <v>23</v>
      </c>
      <c r="L83" s="12">
        <f t="shared" si="41"/>
        <v>27.165355200000004</v>
      </c>
      <c r="M83" s="11">
        <f t="shared" si="42"/>
        <v>22.874016480000002</v>
      </c>
      <c r="N83" s="11">
        <f t="shared" si="43"/>
        <v>1.1811024000000039</v>
      </c>
      <c r="O83" s="152">
        <f t="shared" si="44"/>
        <v>27.086305906131926</v>
      </c>
      <c r="P83" s="151">
        <f t="shared" si="45"/>
        <v>86.450567374295701</v>
      </c>
      <c r="Q83" s="12">
        <f t="shared" si="46"/>
        <v>864.50567374295633</v>
      </c>
      <c r="R83" s="12">
        <f t="shared" si="47"/>
        <v>34934.756435770534</v>
      </c>
      <c r="S83" s="12">
        <f t="shared" si="48"/>
        <v>-9048.4396626495691</v>
      </c>
      <c r="T83" s="152">
        <f t="shared" si="49"/>
        <v>3493.4756435770551</v>
      </c>
      <c r="U83" s="8">
        <f t="shared" si="0"/>
        <v>4.1173229663999997</v>
      </c>
      <c r="V83" s="8">
        <f t="shared" si="1"/>
        <v>4.1173229663999997</v>
      </c>
      <c r="W83" s="134">
        <f t="shared" si="2"/>
        <v>2.0586614831999999</v>
      </c>
      <c r="X83" s="311">
        <f t="shared" si="3"/>
        <v>5.7185041200000004</v>
      </c>
      <c r="Y83" s="11">
        <f t="shared" si="4"/>
        <v>17.155512360000003</v>
      </c>
      <c r="Z83" s="11">
        <f t="shared" si="5"/>
        <v>11.437008240000003</v>
      </c>
      <c r="AA83" s="316">
        <f t="shared" si="50"/>
        <v>17.155512360000003</v>
      </c>
      <c r="AB83" s="170">
        <f t="shared" si="51"/>
        <v>3.0879922247999998</v>
      </c>
      <c r="AC83" s="11">
        <f t="shared" si="52"/>
        <v>17.155512360000003</v>
      </c>
      <c r="AD83" s="152">
        <f t="shared" si="53"/>
        <v>41.607322831902358</v>
      </c>
      <c r="AE83" s="151">
        <f t="shared" si="6"/>
        <v>5.0392296983134628</v>
      </c>
      <c r="AF83" s="12">
        <f t="shared" si="54"/>
        <v>108.73614362556019</v>
      </c>
      <c r="AG83" s="216">
        <f t="shared" si="7"/>
        <v>7.4540887184664064E-3</v>
      </c>
      <c r="AH83" s="2">
        <f t="shared" si="55"/>
        <v>1</v>
      </c>
      <c r="AI83" s="2">
        <f t="shared" si="56"/>
        <v>3</v>
      </c>
      <c r="AJ83" s="127">
        <f t="shared" si="57"/>
        <v>2</v>
      </c>
      <c r="AK83" s="2">
        <f t="shared" si="58"/>
        <v>1.5748031496062995E-2</v>
      </c>
      <c r="AL83" s="8">
        <f t="shared" si="8"/>
        <v>7.8445216649342689E-2</v>
      </c>
      <c r="AM83" s="138">
        <f t="shared" si="59"/>
        <v>0.25</v>
      </c>
      <c r="AN83" s="12">
        <f t="shared" si="9"/>
        <v>6502.262585459378</v>
      </c>
      <c r="AO83" s="138">
        <f t="shared" si="60"/>
        <v>0.25</v>
      </c>
      <c r="AP83" s="116">
        <f t="shared" si="61"/>
        <v>2175570</v>
      </c>
      <c r="AQ83" s="2">
        <f t="shared" si="62"/>
        <v>1.5748031496062995E-2</v>
      </c>
      <c r="AR83" s="8">
        <f t="shared" si="63"/>
        <v>11.437008240000003</v>
      </c>
      <c r="AS83" s="116">
        <f t="shared" si="64"/>
        <v>2610.6840000000002</v>
      </c>
      <c r="AT83" s="217">
        <f t="shared" si="65"/>
        <v>0.12377414044851227</v>
      </c>
      <c r="AU83" s="207">
        <f t="shared" si="66"/>
        <v>3.6644034821086389</v>
      </c>
      <c r="AV83" s="144">
        <f t="shared" si="67"/>
        <v>9398.7749787169487</v>
      </c>
      <c r="AW83" s="138">
        <f t="shared" si="68"/>
        <v>0.25</v>
      </c>
      <c r="AX83" s="116">
        <f t="shared" si="69"/>
        <v>2175570</v>
      </c>
      <c r="AY83" s="2">
        <f t="shared" si="70"/>
        <v>1.5748031496062995E-2</v>
      </c>
      <c r="AZ83" s="8">
        <f t="shared" si="71"/>
        <v>11.437008240000003</v>
      </c>
      <c r="BA83" s="116">
        <f t="shared" si="72"/>
        <v>2610.6840000000002</v>
      </c>
      <c r="BB83" s="217">
        <f t="shared" si="73"/>
        <v>0.12377414044851227</v>
      </c>
      <c r="BC83" s="207">
        <f t="shared" si="74"/>
        <v>3.6644034821086389</v>
      </c>
      <c r="BD83" s="144">
        <f t="shared" si="75"/>
        <v>9398.7749787169487</v>
      </c>
      <c r="BE83" s="138">
        <f t="shared" si="76"/>
        <v>0.25</v>
      </c>
      <c r="BF83" s="116">
        <f t="shared" si="77"/>
        <v>2175570</v>
      </c>
      <c r="BG83" s="2">
        <f t="shared" si="78"/>
        <v>1.5748031496062995E-2</v>
      </c>
      <c r="BH83" s="8">
        <f t="shared" si="79"/>
        <v>11.437008240000003</v>
      </c>
      <c r="BI83" s="116">
        <f t="shared" si="80"/>
        <v>2610.6840000000002</v>
      </c>
      <c r="BJ83" s="217">
        <f t="shared" si="81"/>
        <v>0.12377414044851227</v>
      </c>
      <c r="BK83" s="207">
        <f t="shared" si="82"/>
        <v>3.6644034821086389</v>
      </c>
      <c r="BL83" s="144">
        <f t="shared" si="83"/>
        <v>9398.7749787169487</v>
      </c>
      <c r="BM83" s="216">
        <f t="shared" si="84"/>
        <v>0.25</v>
      </c>
      <c r="BN83" s="216">
        <f t="shared" si="85"/>
        <v>2.3622047244094495E-2</v>
      </c>
      <c r="BO83" s="238">
        <f t="shared" si="86"/>
        <v>1.5748031496062995E-2</v>
      </c>
      <c r="BP83" s="216">
        <f t="shared" si="87"/>
        <v>0.25</v>
      </c>
      <c r="BQ83" s="138">
        <f t="shared" si="88"/>
        <v>0</v>
      </c>
      <c r="BR83" s="138">
        <f t="shared" si="89"/>
        <v>0</v>
      </c>
      <c r="BS83" s="238">
        <f t="shared" si="90"/>
        <v>0</v>
      </c>
      <c r="BT83" s="138">
        <f t="shared" si="91"/>
        <v>0.25</v>
      </c>
      <c r="BU83" s="138">
        <f t="shared" si="92"/>
        <v>0</v>
      </c>
      <c r="BV83" s="138">
        <f t="shared" si="93"/>
        <v>0</v>
      </c>
      <c r="BW83" s="238">
        <f t="shared" si="94"/>
        <v>0</v>
      </c>
      <c r="BX83" s="216">
        <f t="shared" si="95"/>
        <v>2.3622047244094495E-2</v>
      </c>
      <c r="BY83" s="138">
        <f t="shared" si="96"/>
        <v>0</v>
      </c>
      <c r="BZ83" s="138">
        <f t="shared" si="97"/>
        <v>0</v>
      </c>
      <c r="CA83" s="238">
        <f t="shared" si="98"/>
        <v>0</v>
      </c>
      <c r="CB83" s="138">
        <f t="shared" si="99"/>
        <v>2.3622047244094495E-2</v>
      </c>
      <c r="CC83" s="138">
        <f t="shared" si="100"/>
        <v>0</v>
      </c>
      <c r="CD83" s="138">
        <f t="shared" si="101"/>
        <v>0</v>
      </c>
      <c r="CE83" s="238">
        <f t="shared" si="102"/>
        <v>0</v>
      </c>
      <c r="CF83" s="216">
        <f t="shared" si="103"/>
        <v>1.5748031496062995E-2</v>
      </c>
      <c r="CG83" s="138">
        <f t="shared" si="104"/>
        <v>0</v>
      </c>
      <c r="CH83" s="138">
        <f t="shared" si="105"/>
        <v>0</v>
      </c>
      <c r="CI83" s="238">
        <f t="shared" si="106"/>
        <v>0</v>
      </c>
      <c r="CJ83" s="138">
        <f t="shared" si="107"/>
        <v>1.5748031496062995E-2</v>
      </c>
      <c r="CK83" s="138">
        <f t="shared" si="108"/>
        <v>0</v>
      </c>
      <c r="CL83" s="138">
        <f t="shared" si="109"/>
        <v>0</v>
      </c>
      <c r="CM83" s="238">
        <f t="shared" si="110"/>
        <v>0</v>
      </c>
      <c r="CN83" s="17">
        <f t="shared" si="111"/>
        <v>0.25</v>
      </c>
      <c r="CO83" s="17">
        <f t="shared" si="112"/>
        <v>2.3622047244094495E-2</v>
      </c>
      <c r="CP83" s="17">
        <f t="shared" si="113"/>
        <v>1.5748031496062995E-2</v>
      </c>
      <c r="CQ83" s="17">
        <f>$U83-IF('Inputs-Imperial'!$E$13,0,2)*($CO83+$CN83+$CP83)</f>
        <v>4.1173229663999997</v>
      </c>
      <c r="CR83" s="116">
        <f t="shared" si="114"/>
        <v>8484.8229592044609</v>
      </c>
      <c r="CS83" s="8">
        <f t="shared" si="10"/>
        <v>0.21937758447452893</v>
      </c>
      <c r="CT83" s="8">
        <f t="shared" si="115"/>
        <v>0.46837760885265312</v>
      </c>
      <c r="CU83" s="8">
        <f t="shared" si="11"/>
        <v>0.21937758447452893</v>
      </c>
      <c r="CV83" s="8">
        <f t="shared" si="116"/>
        <v>0.46837760885265312</v>
      </c>
      <c r="CW83" s="216">
        <f t="shared" si="117"/>
        <v>3.6489453575473467</v>
      </c>
      <c r="CX83" s="116">
        <f t="shared" si="118"/>
        <v>9573.9324688742581</v>
      </c>
      <c r="CY83" s="8">
        <f t="shared" si="119"/>
        <v>0.24753683006024949</v>
      </c>
      <c r="CZ83" s="8">
        <f t="shared" si="120"/>
        <v>0.49753073277964394</v>
      </c>
      <c r="DA83" s="8">
        <f t="shared" si="121"/>
        <v>0.24753683006024949</v>
      </c>
      <c r="DB83" s="8">
        <f t="shared" si="122"/>
        <v>0.49753073277964394</v>
      </c>
      <c r="DC83" s="216">
        <f t="shared" si="123"/>
        <v>3.6197922336203554</v>
      </c>
      <c r="DD83" s="116">
        <f t="shared" si="124"/>
        <v>9651.039115256166</v>
      </c>
      <c r="DE83" s="8">
        <f t="shared" si="125"/>
        <v>0.24953044500207269</v>
      </c>
      <c r="DF83" s="8">
        <f t="shared" si="126"/>
        <v>0.49953022431287647</v>
      </c>
      <c r="DG83" s="8">
        <f t="shared" si="127"/>
        <v>0.24953044500207269</v>
      </c>
      <c r="DH83" s="8">
        <f t="shared" si="128"/>
        <v>0.49953022431287647</v>
      </c>
      <c r="DI83" s="216">
        <f t="shared" si="129"/>
        <v>3.617792742087123</v>
      </c>
      <c r="DJ83" s="116">
        <f t="shared" si="130"/>
        <v>9656.3730778055833</v>
      </c>
      <c r="DK83" s="8">
        <f t="shared" si="131"/>
        <v>0.24966835616714886</v>
      </c>
      <c r="DL83" s="8">
        <f t="shared" si="132"/>
        <v>0.49966824610650301</v>
      </c>
      <c r="DM83" s="8">
        <f t="shared" si="133"/>
        <v>0.24966835616714886</v>
      </c>
      <c r="DN83" s="8">
        <f t="shared" si="134"/>
        <v>0.49966824610650301</v>
      </c>
      <c r="DO83" s="216">
        <f t="shared" si="253"/>
        <v>3.6176547202934968</v>
      </c>
      <c r="DP83" s="116">
        <f t="shared" si="136"/>
        <v>9656.7414905025289</v>
      </c>
      <c r="DQ83" s="170">
        <f t="shared" si="137"/>
        <v>0.24967788158540852</v>
      </c>
      <c r="DR83" s="8">
        <f t="shared" si="138"/>
        <v>0.49967777775823541</v>
      </c>
      <c r="DS83" s="8">
        <f t="shared" si="139"/>
        <v>0.24967788158540852</v>
      </c>
      <c r="DT83" s="134">
        <f t="shared" si="140"/>
        <v>0.49967777775823541</v>
      </c>
      <c r="DU83" s="170">
        <f t="shared" si="254"/>
        <v>0.26897785437563354</v>
      </c>
      <c r="DV83" s="170">
        <f t="shared" si="255"/>
        <v>0.51863074954695232</v>
      </c>
      <c r="DW83" s="170">
        <f t="shared" si="255"/>
        <v>0.26897785437563354</v>
      </c>
      <c r="DX83" s="272">
        <f t="shared" si="255"/>
        <v>0.51863074954695232</v>
      </c>
      <c r="DY83" s="272">
        <f t="shared" si="142"/>
        <v>3.0800614673060949</v>
      </c>
      <c r="DZ83" s="22">
        <f t="shared" si="12"/>
        <v>209.96790409639416</v>
      </c>
      <c r="EA83" s="216">
        <f t="shared" si="13"/>
        <v>1.3756222804997439E-2</v>
      </c>
      <c r="EB83" s="12">
        <f t="shared" si="143"/>
        <v>2</v>
      </c>
      <c r="EC83" s="7">
        <f>ROUND(MAX(DV83,DX83)/'Inputs-Imperial'!$E$21,0)</f>
        <v>4</v>
      </c>
      <c r="ED83" s="12">
        <f t="shared" si="144"/>
        <v>4</v>
      </c>
      <c r="EE83" s="2">
        <f t="shared" si="145"/>
        <v>2</v>
      </c>
      <c r="EF83" s="127">
        <f t="shared" si="146"/>
        <v>2</v>
      </c>
      <c r="EG83" s="2">
        <f t="shared" si="147"/>
        <v>1.5748031496062995E-2</v>
      </c>
      <c r="EH83" s="8">
        <f t="shared" si="14"/>
        <v>0.14476751202884358</v>
      </c>
      <c r="EI83" s="138">
        <f t="shared" si="148"/>
        <v>0.25</v>
      </c>
      <c r="EJ83" s="12">
        <f t="shared" si="15"/>
        <v>11999.665719108925</v>
      </c>
      <c r="EK83" s="138">
        <f t="shared" si="149"/>
        <v>0.25</v>
      </c>
      <c r="EL83" s="116">
        <f t="shared" si="150"/>
        <v>2175570</v>
      </c>
      <c r="EM83" s="2">
        <f t="shared" si="16"/>
        <v>1.5748031496062995E-2</v>
      </c>
      <c r="EN83" s="8">
        <f t="shared" si="151"/>
        <v>4.1173229663999997</v>
      </c>
      <c r="EO83" s="116">
        <f t="shared" si="152"/>
        <v>2610.6840000000002</v>
      </c>
      <c r="EP83" s="217">
        <f t="shared" si="153"/>
        <v>0.95504738000395317</v>
      </c>
      <c r="EQ83" s="207">
        <f t="shared" si="154"/>
        <v>2</v>
      </c>
      <c r="ER83" s="144">
        <f t="shared" si="155"/>
        <v>39581.564763214563</v>
      </c>
      <c r="ES83" s="138">
        <f t="shared" si="17"/>
        <v>0.25</v>
      </c>
      <c r="ET83" s="116">
        <f t="shared" si="156"/>
        <v>2175570</v>
      </c>
      <c r="EU83" s="2">
        <f t="shared" si="18"/>
        <v>1.5748031496062995E-2</v>
      </c>
      <c r="EV83" s="8">
        <f t="shared" si="157"/>
        <v>4.1173229663999997</v>
      </c>
      <c r="EW83" s="116">
        <f t="shared" si="158"/>
        <v>2610.6840000000002</v>
      </c>
      <c r="EX83" s="217">
        <f t="shared" si="159"/>
        <v>0.95504738000395317</v>
      </c>
      <c r="EY83" s="207">
        <f t="shared" si="160"/>
        <v>2</v>
      </c>
      <c r="EZ83" s="144">
        <f t="shared" si="161"/>
        <v>39581.564763214563</v>
      </c>
      <c r="FA83" s="138">
        <f t="shared" si="19"/>
        <v>0.25</v>
      </c>
      <c r="FB83" s="116">
        <f t="shared" si="162"/>
        <v>2175570</v>
      </c>
      <c r="FC83" s="2">
        <f t="shared" si="20"/>
        <v>1.5748031496062995E-2</v>
      </c>
      <c r="FD83" s="8">
        <f t="shared" si="163"/>
        <v>4.1173229663999997</v>
      </c>
      <c r="FE83" s="116">
        <f t="shared" si="164"/>
        <v>2610.6840000000002</v>
      </c>
      <c r="FF83" s="217">
        <f t="shared" si="165"/>
        <v>0.95504738000395317</v>
      </c>
      <c r="FG83" s="207">
        <f t="shared" si="166"/>
        <v>2</v>
      </c>
      <c r="FH83" s="144">
        <f t="shared" si="167"/>
        <v>39581.564763214563</v>
      </c>
      <c r="FI83" s="128">
        <f t="shared" si="168"/>
        <v>0.25</v>
      </c>
      <c r="FJ83" s="2">
        <f t="shared" si="169"/>
        <v>1.5748031496062995E-2</v>
      </c>
      <c r="FK83" s="127">
        <f t="shared" si="170"/>
        <v>1.5748031496062995E-2</v>
      </c>
      <c r="FL83" s="216">
        <f t="shared" si="171"/>
        <v>0.25</v>
      </c>
      <c r="FM83" s="138">
        <f t="shared" si="172"/>
        <v>0</v>
      </c>
      <c r="FN83" s="138">
        <f t="shared" si="173"/>
        <v>0</v>
      </c>
      <c r="FO83" s="238">
        <f t="shared" si="174"/>
        <v>0</v>
      </c>
      <c r="FP83" s="216">
        <f t="shared" si="21"/>
        <v>0.25</v>
      </c>
      <c r="FQ83" s="138">
        <f t="shared" si="22"/>
        <v>0</v>
      </c>
      <c r="FR83" s="138">
        <f t="shared" si="23"/>
        <v>0</v>
      </c>
      <c r="FS83" s="238">
        <f t="shared" si="24"/>
        <v>0</v>
      </c>
      <c r="FT83" s="216">
        <f t="shared" si="175"/>
        <v>1.5748031496062995E-2</v>
      </c>
      <c r="FU83" s="138">
        <f t="shared" si="176"/>
        <v>0</v>
      </c>
      <c r="FV83" s="138">
        <f t="shared" si="177"/>
        <v>0</v>
      </c>
      <c r="FW83" s="238">
        <f t="shared" si="178"/>
        <v>0</v>
      </c>
      <c r="FX83" s="216">
        <f t="shared" si="25"/>
        <v>2.3622047244094495E-2</v>
      </c>
      <c r="FY83" s="138">
        <f t="shared" si="26"/>
        <v>0</v>
      </c>
      <c r="FZ83" s="138">
        <f t="shared" si="27"/>
        <v>0</v>
      </c>
      <c r="GA83" s="238">
        <f t="shared" si="28"/>
        <v>0</v>
      </c>
      <c r="GB83" s="216">
        <f t="shared" si="179"/>
        <v>1.5748031496062995E-2</v>
      </c>
      <c r="GC83" s="138">
        <f t="shared" si="180"/>
        <v>0</v>
      </c>
      <c r="GD83" s="138">
        <f t="shared" si="181"/>
        <v>0</v>
      </c>
      <c r="GE83" s="238">
        <f t="shared" si="182"/>
        <v>0</v>
      </c>
      <c r="GF83" s="216">
        <f t="shared" si="29"/>
        <v>2.3622047244094495E-2</v>
      </c>
      <c r="GG83" s="138">
        <f t="shared" si="30"/>
        <v>0</v>
      </c>
      <c r="GH83" s="138">
        <f t="shared" si="31"/>
        <v>0</v>
      </c>
      <c r="GI83" s="238">
        <f t="shared" si="32"/>
        <v>0</v>
      </c>
      <c r="GJ83" s="216">
        <f t="shared" si="183"/>
        <v>0.25</v>
      </c>
      <c r="GK83" s="216">
        <f t="shared" si="184"/>
        <v>2.3622047244094495E-2</v>
      </c>
      <c r="GL83" s="17">
        <f t="shared" si="185"/>
        <v>2.3622047244094495E-2</v>
      </c>
      <c r="GM83" s="216">
        <f t="shared" si="186"/>
        <v>7.123939371146467E-3</v>
      </c>
      <c r="GN83" s="2">
        <f t="shared" si="187"/>
        <v>1</v>
      </c>
      <c r="GO83" s="2">
        <f t="shared" si="188"/>
        <v>2</v>
      </c>
      <c r="GP83" s="142">
        <f t="shared" si="189"/>
        <v>2</v>
      </c>
      <c r="GQ83" s="2">
        <f t="shared" si="190"/>
        <v>1.5748031496062995E-2</v>
      </c>
      <c r="GR83" s="8">
        <f t="shared" si="33"/>
        <v>7.4970796360650446E-2</v>
      </c>
      <c r="GS83" s="138">
        <f t="shared" si="191"/>
        <v>0.25</v>
      </c>
      <c r="GT83" s="12">
        <f t="shared" si="34"/>
        <v>6214.2706082007644</v>
      </c>
      <c r="GU83" s="138">
        <f t="shared" si="192"/>
        <v>0.25</v>
      </c>
      <c r="GV83" s="116">
        <f t="shared" si="193"/>
        <v>2175570</v>
      </c>
      <c r="GW83" s="2">
        <f t="shared" si="35"/>
        <v>1.5748031496062995E-2</v>
      </c>
      <c r="GX83" s="8">
        <f t="shared" si="36"/>
        <v>2.0586614831999999</v>
      </c>
      <c r="GY83" s="116">
        <f t="shared" si="194"/>
        <v>2610.6840000000002</v>
      </c>
      <c r="GZ83" s="217">
        <f t="shared" si="195"/>
        <v>3.8201895200158127</v>
      </c>
      <c r="HA83" s="207">
        <f t="shared" si="196"/>
        <v>2</v>
      </c>
      <c r="HB83" s="144">
        <f t="shared" si="197"/>
        <v>158326.25905285825</v>
      </c>
      <c r="HC83" s="138">
        <f t="shared" si="37"/>
        <v>0.25</v>
      </c>
      <c r="HD83" s="116">
        <f t="shared" si="198"/>
        <v>2175570</v>
      </c>
      <c r="HE83" s="2">
        <f t="shared" si="38"/>
        <v>1.5748031496062995E-2</v>
      </c>
      <c r="HF83" s="8">
        <f t="shared" si="199"/>
        <v>2.0586614831999999</v>
      </c>
      <c r="HG83" s="116">
        <f t="shared" si="200"/>
        <v>2610.6840000000002</v>
      </c>
      <c r="HH83" s="217">
        <f t="shared" si="201"/>
        <v>3.8201895200158127</v>
      </c>
      <c r="HI83" s="207">
        <f t="shared" si="202"/>
        <v>2</v>
      </c>
      <c r="HJ83" s="144">
        <f t="shared" si="203"/>
        <v>158326.25905285825</v>
      </c>
      <c r="HK83" s="138">
        <f t="shared" si="39"/>
        <v>0.25</v>
      </c>
      <c r="HL83" s="116">
        <f t="shared" si="204"/>
        <v>2175570</v>
      </c>
      <c r="HM83" s="2">
        <f t="shared" si="40"/>
        <v>1.5748031496062995E-2</v>
      </c>
      <c r="HN83" s="8">
        <f t="shared" si="205"/>
        <v>2.0586614831999999</v>
      </c>
      <c r="HO83" s="116">
        <f t="shared" si="206"/>
        <v>2610.6840000000002</v>
      </c>
      <c r="HP83" s="217">
        <f t="shared" si="207"/>
        <v>3.8201895200158127</v>
      </c>
      <c r="HQ83" s="207">
        <f t="shared" si="208"/>
        <v>2</v>
      </c>
      <c r="HR83" s="144">
        <f t="shared" si="209"/>
        <v>158326.25905285825</v>
      </c>
      <c r="HS83" s="128">
        <f t="shared" si="210"/>
        <v>0.25</v>
      </c>
      <c r="HT83" s="2">
        <f t="shared" si="211"/>
        <v>1.5748031496062995E-2</v>
      </c>
      <c r="HU83" s="127">
        <f t="shared" si="212"/>
        <v>1.5748031496062995E-2</v>
      </c>
      <c r="HV83" s="216">
        <f t="shared" si="213"/>
        <v>0.25</v>
      </c>
      <c r="HW83" s="138">
        <f t="shared" si="214"/>
        <v>0</v>
      </c>
      <c r="HX83" s="138">
        <f t="shared" si="215"/>
        <v>0</v>
      </c>
      <c r="HY83" s="238">
        <f t="shared" si="216"/>
        <v>0</v>
      </c>
      <c r="HZ83" s="138">
        <f t="shared" si="217"/>
        <v>0.25</v>
      </c>
      <c r="IA83" s="138">
        <f t="shared" si="218"/>
        <v>0</v>
      </c>
      <c r="IB83" s="138">
        <f t="shared" si="219"/>
        <v>0</v>
      </c>
      <c r="IC83" s="138">
        <f t="shared" si="220"/>
        <v>0</v>
      </c>
      <c r="ID83" s="216">
        <f t="shared" si="221"/>
        <v>1.5748031496062995E-2</v>
      </c>
      <c r="IE83" s="138">
        <f t="shared" si="222"/>
        <v>0</v>
      </c>
      <c r="IF83" s="138">
        <f t="shared" si="223"/>
        <v>0</v>
      </c>
      <c r="IG83" s="238">
        <f t="shared" si="224"/>
        <v>0</v>
      </c>
      <c r="IH83" s="138">
        <f t="shared" si="225"/>
        <v>1.5748031496062995E-2</v>
      </c>
      <c r="II83" s="138">
        <f t="shared" si="226"/>
        <v>0</v>
      </c>
      <c r="IJ83" s="138">
        <f t="shared" si="227"/>
        <v>0</v>
      </c>
      <c r="IK83" s="138">
        <f t="shared" si="228"/>
        <v>0</v>
      </c>
      <c r="IL83" s="216">
        <f t="shared" si="229"/>
        <v>1.5748031496062995E-2</v>
      </c>
      <c r="IM83" s="138">
        <f t="shared" si="230"/>
        <v>0</v>
      </c>
      <c r="IN83" s="138">
        <f t="shared" si="231"/>
        <v>0</v>
      </c>
      <c r="IO83" s="238">
        <f t="shared" si="232"/>
        <v>0</v>
      </c>
      <c r="IP83" s="138">
        <f t="shared" si="233"/>
        <v>1.5748031496062995E-2</v>
      </c>
      <c r="IQ83" s="138">
        <f t="shared" si="234"/>
        <v>0</v>
      </c>
      <c r="IR83" s="138">
        <f t="shared" si="235"/>
        <v>0</v>
      </c>
      <c r="IS83" s="138">
        <f t="shared" si="236"/>
        <v>0</v>
      </c>
      <c r="IT83" s="17">
        <f t="shared" si="237"/>
        <v>0.25</v>
      </c>
      <c r="IU83" s="17">
        <f t="shared" si="238"/>
        <v>1.5748031496062995E-2</v>
      </c>
      <c r="IV83" s="17">
        <f t="shared" si="239"/>
        <v>1.5748031496062995E-2</v>
      </c>
      <c r="IW83" s="253">
        <f t="shared" si="240"/>
        <v>11.437008240000003</v>
      </c>
      <c r="IX83" s="116">
        <f t="shared" si="241"/>
        <v>305.45362653136061</v>
      </c>
      <c r="IY83" s="8">
        <f t="shared" si="242"/>
        <v>7.8975930410830411E-3</v>
      </c>
      <c r="IZ83" s="8">
        <f t="shared" si="243"/>
        <v>7.8975930410830411E-3</v>
      </c>
      <c r="JA83" s="8">
        <f t="shared" si="244"/>
        <v>3.9487965205415206E-3</v>
      </c>
      <c r="JB83" s="134">
        <f t="shared" si="245"/>
        <v>6.2839450352000378E-2</v>
      </c>
      <c r="JC83" s="170">
        <f t="shared" si="256"/>
        <v>4.2410538734210714E-3</v>
      </c>
      <c r="JD83" s="272">
        <f t="shared" si="257"/>
        <v>6.5123374247815752E-2</v>
      </c>
      <c r="JE83" s="8"/>
      <c r="JF83" s="8"/>
    </row>
    <row r="84" spans="1:266" x14ac:dyDescent="0.25">
      <c r="A84" s="186">
        <v>24</v>
      </c>
      <c r="B84" s="187">
        <f>A84/100*'Inputs-Imperial'!$E$5</f>
        <v>2.3622048000000002</v>
      </c>
      <c r="C84" s="188">
        <f>'Inputs-Imperial'!$E$10+('Inputs-Imperial'!$E$9-'Inputs-Imperial'!$E$10)*(100-A84)/100</f>
        <v>1.89632552</v>
      </c>
      <c r="D84" s="187">
        <f t="shared" si="248"/>
        <v>9.8425199999999879E-2</v>
      </c>
      <c r="E84" s="188">
        <f t="shared" si="249"/>
        <v>0.18713059457085579</v>
      </c>
      <c r="F84" s="423">
        <f>Loads!P44</f>
        <v>84.997921730907734</v>
      </c>
      <c r="G84" s="423">
        <f>Loads!M44</f>
        <v>849.9792173090766</v>
      </c>
      <c r="H84" s="423">
        <f>Loads!N44</f>
        <v>2826.1405591415928</v>
      </c>
      <c r="I84" s="423">
        <f>Loads!V44</f>
        <v>-738.36142705554573</v>
      </c>
      <c r="J84" s="423">
        <f>Loads!Q44</f>
        <v>282.61405591415939</v>
      </c>
      <c r="K84" s="2">
        <v>24</v>
      </c>
      <c r="L84" s="12">
        <f t="shared" si="41"/>
        <v>28.346457600000001</v>
      </c>
      <c r="M84" s="11">
        <f t="shared" si="42"/>
        <v>22.755906240000002</v>
      </c>
      <c r="N84" s="11">
        <f t="shared" si="43"/>
        <v>1.1811023999999986</v>
      </c>
      <c r="O84" s="152">
        <f t="shared" si="44"/>
        <v>26.946805618203236</v>
      </c>
      <c r="P84" s="151">
        <f t="shared" si="45"/>
        <v>84.997921730907734</v>
      </c>
      <c r="Q84" s="12">
        <f t="shared" si="46"/>
        <v>849.9792173090766</v>
      </c>
      <c r="R84" s="12">
        <f t="shared" si="47"/>
        <v>33913.686709699112</v>
      </c>
      <c r="S84" s="12">
        <f t="shared" si="48"/>
        <v>-8860.3371246665483</v>
      </c>
      <c r="T84" s="152">
        <f t="shared" si="49"/>
        <v>3391.3686709699127</v>
      </c>
      <c r="U84" s="8">
        <f t="shared" si="0"/>
        <v>4.0960631232000004</v>
      </c>
      <c r="V84" s="8">
        <f t="shared" si="1"/>
        <v>4.0960631232000004</v>
      </c>
      <c r="W84" s="134">
        <f t="shared" si="2"/>
        <v>2.0480315616000002</v>
      </c>
      <c r="X84" s="311">
        <f t="shared" si="3"/>
        <v>5.6889765600000004</v>
      </c>
      <c r="Y84" s="11">
        <f t="shared" si="4"/>
        <v>17.066929680000001</v>
      </c>
      <c r="Z84" s="11">
        <f t="shared" si="5"/>
        <v>11.377953120000001</v>
      </c>
      <c r="AA84" s="316">
        <f t="shared" si="50"/>
        <v>17.066929680000001</v>
      </c>
      <c r="AB84" s="170">
        <f t="shared" si="51"/>
        <v>3.0720473424000003</v>
      </c>
      <c r="AC84" s="11">
        <f t="shared" si="52"/>
        <v>17.066929680000001</v>
      </c>
      <c r="AD84" s="152">
        <f t="shared" si="53"/>
        <v>41.178752406152569</v>
      </c>
      <c r="AE84" s="151">
        <f t="shared" si="6"/>
        <v>4.9802702257871916</v>
      </c>
      <c r="AF84" s="12">
        <f t="shared" si="54"/>
        <v>107.5838461213642</v>
      </c>
      <c r="AG84" s="216">
        <f t="shared" si="7"/>
        <v>7.3747322048239713E-3</v>
      </c>
      <c r="AH84" s="2">
        <f t="shared" si="55"/>
        <v>1</v>
      </c>
      <c r="AI84" s="2">
        <f t="shared" si="56"/>
        <v>3</v>
      </c>
      <c r="AJ84" s="127">
        <f t="shared" si="57"/>
        <v>2</v>
      </c>
      <c r="AK84" s="2">
        <f t="shared" si="58"/>
        <v>1.5748031496062995E-2</v>
      </c>
      <c r="AL84" s="8">
        <f t="shared" si="8"/>
        <v>7.7610085872082762E-2</v>
      </c>
      <c r="AM84" s="138">
        <f t="shared" si="59"/>
        <v>0.25</v>
      </c>
      <c r="AN84" s="12">
        <f t="shared" si="9"/>
        <v>6433.0392492397013</v>
      </c>
      <c r="AO84" s="138">
        <f t="shared" si="60"/>
        <v>0.25</v>
      </c>
      <c r="AP84" s="116">
        <f t="shared" si="61"/>
        <v>2175570</v>
      </c>
      <c r="AQ84" s="2">
        <f t="shared" si="62"/>
        <v>1.5748031496062995E-2</v>
      </c>
      <c r="AR84" s="8">
        <f t="shared" si="63"/>
        <v>11.377953120000001</v>
      </c>
      <c r="AS84" s="116">
        <f t="shared" si="64"/>
        <v>2610.6840000000002</v>
      </c>
      <c r="AT84" s="217">
        <f t="shared" si="65"/>
        <v>0.12506232751026766</v>
      </c>
      <c r="AU84" s="207">
        <f t="shared" si="66"/>
        <v>3.6526887353415325</v>
      </c>
      <c r="AV84" s="144">
        <f t="shared" si="67"/>
        <v>9466.2336148786071</v>
      </c>
      <c r="AW84" s="138">
        <f t="shared" si="68"/>
        <v>0.25</v>
      </c>
      <c r="AX84" s="116">
        <f t="shared" si="69"/>
        <v>2175570</v>
      </c>
      <c r="AY84" s="2">
        <f t="shared" si="70"/>
        <v>1.5748031496062995E-2</v>
      </c>
      <c r="AZ84" s="8">
        <f t="shared" si="71"/>
        <v>11.377953120000001</v>
      </c>
      <c r="BA84" s="116">
        <f t="shared" si="72"/>
        <v>2610.6840000000002</v>
      </c>
      <c r="BB84" s="217">
        <f t="shared" si="73"/>
        <v>0.12506232751026766</v>
      </c>
      <c r="BC84" s="207">
        <f t="shared" si="74"/>
        <v>3.6526887353415325</v>
      </c>
      <c r="BD84" s="144">
        <f t="shared" si="75"/>
        <v>9466.2336148786071</v>
      </c>
      <c r="BE84" s="138">
        <f t="shared" si="76"/>
        <v>0.25</v>
      </c>
      <c r="BF84" s="116">
        <f t="shared" si="77"/>
        <v>2175570</v>
      </c>
      <c r="BG84" s="2">
        <f t="shared" si="78"/>
        <v>1.5748031496062995E-2</v>
      </c>
      <c r="BH84" s="8">
        <f t="shared" si="79"/>
        <v>11.377953120000001</v>
      </c>
      <c r="BI84" s="116">
        <f t="shared" si="80"/>
        <v>2610.6840000000002</v>
      </c>
      <c r="BJ84" s="217">
        <f t="shared" si="81"/>
        <v>0.12506232751026766</v>
      </c>
      <c r="BK84" s="207">
        <f t="shared" si="82"/>
        <v>3.6526887353415325</v>
      </c>
      <c r="BL84" s="144">
        <f t="shared" si="83"/>
        <v>9466.2336148786071</v>
      </c>
      <c r="BM84" s="216">
        <f t="shared" si="84"/>
        <v>0.25</v>
      </c>
      <c r="BN84" s="216">
        <f t="shared" si="85"/>
        <v>2.3622047244094495E-2</v>
      </c>
      <c r="BO84" s="238">
        <f t="shared" si="86"/>
        <v>1.5748031496062995E-2</v>
      </c>
      <c r="BP84" s="216">
        <f t="shared" si="87"/>
        <v>0.25</v>
      </c>
      <c r="BQ84" s="138">
        <f t="shared" si="88"/>
        <v>0</v>
      </c>
      <c r="BR84" s="138">
        <f t="shared" si="89"/>
        <v>0</v>
      </c>
      <c r="BS84" s="238">
        <f t="shared" si="90"/>
        <v>0</v>
      </c>
      <c r="BT84" s="138">
        <f t="shared" si="91"/>
        <v>0.25</v>
      </c>
      <c r="BU84" s="138">
        <f t="shared" si="92"/>
        <v>0</v>
      </c>
      <c r="BV84" s="138">
        <f t="shared" si="93"/>
        <v>0</v>
      </c>
      <c r="BW84" s="238">
        <f t="shared" si="94"/>
        <v>0</v>
      </c>
      <c r="BX84" s="216">
        <f t="shared" si="95"/>
        <v>2.3622047244094495E-2</v>
      </c>
      <c r="BY84" s="138">
        <f t="shared" si="96"/>
        <v>0</v>
      </c>
      <c r="BZ84" s="138">
        <f t="shared" si="97"/>
        <v>0</v>
      </c>
      <c r="CA84" s="238">
        <f t="shared" si="98"/>
        <v>0</v>
      </c>
      <c r="CB84" s="138">
        <f t="shared" si="99"/>
        <v>2.3622047244094495E-2</v>
      </c>
      <c r="CC84" s="138">
        <f t="shared" si="100"/>
        <v>0</v>
      </c>
      <c r="CD84" s="138">
        <f t="shared" si="101"/>
        <v>0</v>
      </c>
      <c r="CE84" s="238">
        <f t="shared" si="102"/>
        <v>0</v>
      </c>
      <c r="CF84" s="216">
        <f t="shared" si="103"/>
        <v>1.5748031496062995E-2</v>
      </c>
      <c r="CG84" s="138">
        <f t="shared" si="104"/>
        <v>0</v>
      </c>
      <c r="CH84" s="138">
        <f t="shared" si="105"/>
        <v>0</v>
      </c>
      <c r="CI84" s="238">
        <f t="shared" si="106"/>
        <v>0</v>
      </c>
      <c r="CJ84" s="138">
        <f t="shared" si="107"/>
        <v>1.5748031496062995E-2</v>
      </c>
      <c r="CK84" s="138">
        <f t="shared" si="108"/>
        <v>0</v>
      </c>
      <c r="CL84" s="138">
        <f t="shared" si="109"/>
        <v>0</v>
      </c>
      <c r="CM84" s="238">
        <f t="shared" si="110"/>
        <v>0</v>
      </c>
      <c r="CN84" s="17">
        <f t="shared" si="111"/>
        <v>0.25</v>
      </c>
      <c r="CO84" s="17">
        <f t="shared" si="112"/>
        <v>2.3622047244094495E-2</v>
      </c>
      <c r="CP84" s="17">
        <f t="shared" si="113"/>
        <v>1.5748031496062995E-2</v>
      </c>
      <c r="CQ84" s="17">
        <f>$U84-IF('Inputs-Imperial'!$E$13,0,2)*($CO84+$CN84+$CP84)</f>
        <v>4.0960631232000004</v>
      </c>
      <c r="CR84" s="116">
        <f t="shared" si="114"/>
        <v>8279.5810732536884</v>
      </c>
      <c r="CS84" s="8">
        <f t="shared" si="10"/>
        <v>0.21407099535777746</v>
      </c>
      <c r="CT84" s="8">
        <f t="shared" si="115"/>
        <v>0.46267806881002849</v>
      </c>
      <c r="CU84" s="8">
        <f t="shared" si="11"/>
        <v>0.21407099535777746</v>
      </c>
      <c r="CV84" s="8">
        <f t="shared" si="116"/>
        <v>0.46267806881002849</v>
      </c>
      <c r="CW84" s="216">
        <f t="shared" si="117"/>
        <v>3.6333850543899722</v>
      </c>
      <c r="CX84" s="116">
        <f t="shared" si="118"/>
        <v>9333.9093440491561</v>
      </c>
      <c r="CY84" s="8">
        <f t="shared" si="119"/>
        <v>0.24133096181817409</v>
      </c>
      <c r="CZ84" s="8">
        <f t="shared" si="120"/>
        <v>0.49125447765712438</v>
      </c>
      <c r="DA84" s="8">
        <f t="shared" si="121"/>
        <v>0.24133096181817409</v>
      </c>
      <c r="DB84" s="8">
        <f t="shared" si="122"/>
        <v>0.49125447765712438</v>
      </c>
      <c r="DC84" s="216">
        <f t="shared" si="123"/>
        <v>3.6048086455428763</v>
      </c>
      <c r="DD84" s="116">
        <f t="shared" si="124"/>
        <v>9407.9020675983156</v>
      </c>
      <c r="DE84" s="8">
        <f t="shared" si="125"/>
        <v>0.2432440653724795</v>
      </c>
      <c r="DF84" s="8">
        <f t="shared" si="126"/>
        <v>0.4931977953848532</v>
      </c>
      <c r="DG84" s="8">
        <f t="shared" si="127"/>
        <v>0.2432440653724795</v>
      </c>
      <c r="DH84" s="8">
        <f t="shared" si="128"/>
        <v>0.4931977953848532</v>
      </c>
      <c r="DI84" s="216">
        <f t="shared" si="129"/>
        <v>3.602865327815147</v>
      </c>
      <c r="DJ84" s="116">
        <f t="shared" si="130"/>
        <v>9412.976512853751</v>
      </c>
      <c r="DK84" s="8">
        <f t="shared" si="131"/>
        <v>0.24337526664185638</v>
      </c>
      <c r="DL84" s="8">
        <f t="shared" si="132"/>
        <v>0.49333078825657778</v>
      </c>
      <c r="DM84" s="8">
        <f t="shared" si="133"/>
        <v>0.24337526664185638</v>
      </c>
      <c r="DN84" s="8">
        <f t="shared" si="134"/>
        <v>0.49333078825657778</v>
      </c>
      <c r="DO84" s="216">
        <f t="shared" si="253"/>
        <v>3.6027323349434228</v>
      </c>
      <c r="DP84" s="116">
        <f t="shared" si="136"/>
        <v>9413.3239876760617</v>
      </c>
      <c r="DQ84" s="170">
        <f t="shared" si="137"/>
        <v>0.24338425070523056</v>
      </c>
      <c r="DR84" s="8">
        <f t="shared" si="138"/>
        <v>0.49333989368915887</v>
      </c>
      <c r="DS84" s="8">
        <f t="shared" si="139"/>
        <v>0.24338425070523056</v>
      </c>
      <c r="DT84" s="134">
        <f t="shared" si="140"/>
        <v>0.49333989368915887</v>
      </c>
      <c r="DU84" s="170">
        <f t="shared" si="254"/>
        <v>0.26897785437563354</v>
      </c>
      <c r="DV84" s="170">
        <f t="shared" si="255"/>
        <v>0.51863074954695232</v>
      </c>
      <c r="DW84" s="170">
        <f t="shared" si="255"/>
        <v>0.26897785437563354</v>
      </c>
      <c r="DX84" s="272">
        <f t="shared" si="255"/>
        <v>0.51863074954695232</v>
      </c>
      <c r="DY84" s="272">
        <f t="shared" si="142"/>
        <v>3.0588016241060956</v>
      </c>
      <c r="DZ84" s="22">
        <f t="shared" si="12"/>
        <v>207.51125940779949</v>
      </c>
      <c r="EA84" s="216">
        <f t="shared" si="13"/>
        <v>1.3595273674060229E-2</v>
      </c>
      <c r="EB84" s="12">
        <f t="shared" si="143"/>
        <v>2</v>
      </c>
      <c r="EC84" s="7">
        <f>ROUND(MAX(DV84,DX84)/'Inputs-Imperial'!$E$21,0)</f>
        <v>4</v>
      </c>
      <c r="ED84" s="12">
        <f t="shared" si="144"/>
        <v>4</v>
      </c>
      <c r="EE84" s="2">
        <f t="shared" si="145"/>
        <v>2</v>
      </c>
      <c r="EF84" s="127">
        <f t="shared" si="146"/>
        <v>2</v>
      </c>
      <c r="EG84" s="2">
        <f t="shared" si="147"/>
        <v>1.5748031496062995E-2</v>
      </c>
      <c r="EH84" s="8">
        <f t="shared" si="14"/>
        <v>0.14307371820336703</v>
      </c>
      <c r="EI84" s="138">
        <f t="shared" si="148"/>
        <v>0.25</v>
      </c>
      <c r="EJ84" s="12">
        <f t="shared" si="15"/>
        <v>11859.268475155737</v>
      </c>
      <c r="EK84" s="138">
        <f t="shared" si="149"/>
        <v>0.25</v>
      </c>
      <c r="EL84" s="116">
        <f t="shared" si="150"/>
        <v>2175570</v>
      </c>
      <c r="EM84" s="2">
        <f t="shared" si="16"/>
        <v>1.5748031496062995E-2</v>
      </c>
      <c r="EN84" s="8">
        <f t="shared" si="151"/>
        <v>4.0960631232000004</v>
      </c>
      <c r="EO84" s="116">
        <f t="shared" si="152"/>
        <v>2610.6840000000002</v>
      </c>
      <c r="EP84" s="217">
        <f t="shared" si="153"/>
        <v>0.96498709498663315</v>
      </c>
      <c r="EQ84" s="207">
        <f t="shared" si="154"/>
        <v>2</v>
      </c>
      <c r="ER84" s="144">
        <f t="shared" si="155"/>
        <v>39993.512359273322</v>
      </c>
      <c r="ES84" s="138">
        <f t="shared" si="17"/>
        <v>0.25</v>
      </c>
      <c r="ET84" s="116">
        <f t="shared" si="156"/>
        <v>2175570</v>
      </c>
      <c r="EU84" s="2">
        <f t="shared" si="18"/>
        <v>1.5748031496062995E-2</v>
      </c>
      <c r="EV84" s="8">
        <f t="shared" si="157"/>
        <v>4.0960631232000004</v>
      </c>
      <c r="EW84" s="116">
        <f t="shared" si="158"/>
        <v>2610.6840000000002</v>
      </c>
      <c r="EX84" s="217">
        <f t="shared" si="159"/>
        <v>0.96498709498663315</v>
      </c>
      <c r="EY84" s="207">
        <f t="shared" si="160"/>
        <v>2</v>
      </c>
      <c r="EZ84" s="144">
        <f t="shared" si="161"/>
        <v>39993.512359273322</v>
      </c>
      <c r="FA84" s="138">
        <f t="shared" si="19"/>
        <v>0.25</v>
      </c>
      <c r="FB84" s="116">
        <f t="shared" si="162"/>
        <v>2175570</v>
      </c>
      <c r="FC84" s="2">
        <f t="shared" si="20"/>
        <v>1.5748031496062995E-2</v>
      </c>
      <c r="FD84" s="8">
        <f t="shared" si="163"/>
        <v>4.0960631232000004</v>
      </c>
      <c r="FE84" s="116">
        <f t="shared" si="164"/>
        <v>2610.6840000000002</v>
      </c>
      <c r="FF84" s="217">
        <f t="shared" si="165"/>
        <v>0.96498709498663315</v>
      </c>
      <c r="FG84" s="207">
        <f t="shared" si="166"/>
        <v>2</v>
      </c>
      <c r="FH84" s="144">
        <f t="shared" si="167"/>
        <v>39993.512359273322</v>
      </c>
      <c r="FI84" s="128">
        <f t="shared" si="168"/>
        <v>0.25</v>
      </c>
      <c r="FJ84" s="2">
        <f t="shared" si="169"/>
        <v>1.5748031496062995E-2</v>
      </c>
      <c r="FK84" s="127">
        <f t="shared" si="170"/>
        <v>1.5748031496062995E-2</v>
      </c>
      <c r="FL84" s="216">
        <f t="shared" si="171"/>
        <v>0.25</v>
      </c>
      <c r="FM84" s="138">
        <f t="shared" si="172"/>
        <v>0</v>
      </c>
      <c r="FN84" s="138">
        <f t="shared" si="173"/>
        <v>0</v>
      </c>
      <c r="FO84" s="238">
        <f t="shared" si="174"/>
        <v>0</v>
      </c>
      <c r="FP84" s="216">
        <f t="shared" si="21"/>
        <v>0.25</v>
      </c>
      <c r="FQ84" s="138">
        <f t="shared" si="22"/>
        <v>0</v>
      </c>
      <c r="FR84" s="138">
        <f t="shared" si="23"/>
        <v>0</v>
      </c>
      <c r="FS84" s="238">
        <f t="shared" si="24"/>
        <v>0</v>
      </c>
      <c r="FT84" s="216">
        <f t="shared" si="175"/>
        <v>1.5748031496062995E-2</v>
      </c>
      <c r="FU84" s="138">
        <f t="shared" si="176"/>
        <v>0</v>
      </c>
      <c r="FV84" s="138">
        <f t="shared" si="177"/>
        <v>0</v>
      </c>
      <c r="FW84" s="238">
        <f t="shared" si="178"/>
        <v>0</v>
      </c>
      <c r="FX84" s="216">
        <f t="shared" si="25"/>
        <v>2.3622047244094495E-2</v>
      </c>
      <c r="FY84" s="138">
        <f t="shared" si="26"/>
        <v>0</v>
      </c>
      <c r="FZ84" s="138">
        <f t="shared" si="27"/>
        <v>0</v>
      </c>
      <c r="GA84" s="238">
        <f t="shared" si="28"/>
        <v>0</v>
      </c>
      <c r="GB84" s="216">
        <f t="shared" si="179"/>
        <v>1.5748031496062995E-2</v>
      </c>
      <c r="GC84" s="138">
        <f t="shared" si="180"/>
        <v>0</v>
      </c>
      <c r="GD84" s="138">
        <f t="shared" si="181"/>
        <v>0</v>
      </c>
      <c r="GE84" s="238">
        <f t="shared" si="182"/>
        <v>0</v>
      </c>
      <c r="GF84" s="216">
        <f t="shared" si="29"/>
        <v>2.3622047244094495E-2</v>
      </c>
      <c r="GG84" s="138">
        <f t="shared" si="30"/>
        <v>0</v>
      </c>
      <c r="GH84" s="138">
        <f t="shared" si="31"/>
        <v>0</v>
      </c>
      <c r="GI84" s="238">
        <f t="shared" si="32"/>
        <v>0</v>
      </c>
      <c r="GJ84" s="216">
        <f t="shared" si="183"/>
        <v>0.25</v>
      </c>
      <c r="GK84" s="216">
        <f t="shared" si="184"/>
        <v>2.3622047244094495E-2</v>
      </c>
      <c r="GL84" s="17">
        <f t="shared" si="185"/>
        <v>2.3622047244094495E-2</v>
      </c>
      <c r="GM84" s="216">
        <f t="shared" si="186"/>
        <v>7.048445636646525E-3</v>
      </c>
      <c r="GN84" s="2">
        <f t="shared" si="187"/>
        <v>1</v>
      </c>
      <c r="GO84" s="2">
        <f t="shared" si="188"/>
        <v>2</v>
      </c>
      <c r="GP84" s="142">
        <f t="shared" si="189"/>
        <v>2</v>
      </c>
      <c r="GQ84" s="2">
        <f t="shared" si="190"/>
        <v>1.5748031496062995E-2</v>
      </c>
      <c r="GR84" s="8">
        <f t="shared" si="33"/>
        <v>7.4176316635201939E-2</v>
      </c>
      <c r="GS84" s="138">
        <f t="shared" si="191"/>
        <v>0.25</v>
      </c>
      <c r="GT84" s="12">
        <f t="shared" si="34"/>
        <v>6148.4168058359628</v>
      </c>
      <c r="GU84" s="138">
        <f t="shared" si="192"/>
        <v>0.25</v>
      </c>
      <c r="GV84" s="116">
        <f t="shared" si="193"/>
        <v>2175570</v>
      </c>
      <c r="GW84" s="2">
        <f t="shared" si="35"/>
        <v>1.5748031496062995E-2</v>
      </c>
      <c r="GX84" s="8">
        <f t="shared" si="36"/>
        <v>2.0480315616000002</v>
      </c>
      <c r="GY84" s="116">
        <f t="shared" si="194"/>
        <v>2610.6840000000002</v>
      </c>
      <c r="GZ84" s="217">
        <f t="shared" si="195"/>
        <v>3.8599483799465326</v>
      </c>
      <c r="HA84" s="207">
        <f t="shared" si="196"/>
        <v>2</v>
      </c>
      <c r="HB84" s="144">
        <f t="shared" si="197"/>
        <v>159974.04943709329</v>
      </c>
      <c r="HC84" s="138">
        <f t="shared" si="37"/>
        <v>0.25</v>
      </c>
      <c r="HD84" s="116">
        <f t="shared" si="198"/>
        <v>2175570</v>
      </c>
      <c r="HE84" s="2">
        <f t="shared" si="38"/>
        <v>1.5748031496062995E-2</v>
      </c>
      <c r="HF84" s="8">
        <f t="shared" si="199"/>
        <v>2.0480315616000002</v>
      </c>
      <c r="HG84" s="116">
        <f t="shared" si="200"/>
        <v>2610.6840000000002</v>
      </c>
      <c r="HH84" s="217">
        <f t="shared" si="201"/>
        <v>3.8599483799465326</v>
      </c>
      <c r="HI84" s="207">
        <f t="shared" si="202"/>
        <v>2</v>
      </c>
      <c r="HJ84" s="144">
        <f t="shared" si="203"/>
        <v>159974.04943709329</v>
      </c>
      <c r="HK84" s="138">
        <f t="shared" si="39"/>
        <v>0.25</v>
      </c>
      <c r="HL84" s="116">
        <f t="shared" si="204"/>
        <v>2175570</v>
      </c>
      <c r="HM84" s="2">
        <f t="shared" si="40"/>
        <v>1.5748031496062995E-2</v>
      </c>
      <c r="HN84" s="8">
        <f t="shared" si="205"/>
        <v>2.0480315616000002</v>
      </c>
      <c r="HO84" s="116">
        <f t="shared" si="206"/>
        <v>2610.6840000000002</v>
      </c>
      <c r="HP84" s="217">
        <f t="shared" si="207"/>
        <v>3.8599483799465326</v>
      </c>
      <c r="HQ84" s="207">
        <f t="shared" si="208"/>
        <v>2</v>
      </c>
      <c r="HR84" s="144">
        <f t="shared" si="209"/>
        <v>159974.04943709329</v>
      </c>
      <c r="HS84" s="128">
        <f t="shared" si="210"/>
        <v>0.25</v>
      </c>
      <c r="HT84" s="2">
        <f t="shared" si="211"/>
        <v>1.5748031496062995E-2</v>
      </c>
      <c r="HU84" s="127">
        <f t="shared" si="212"/>
        <v>1.5748031496062995E-2</v>
      </c>
      <c r="HV84" s="216">
        <f t="shared" si="213"/>
        <v>0.25</v>
      </c>
      <c r="HW84" s="138">
        <f t="shared" si="214"/>
        <v>0</v>
      </c>
      <c r="HX84" s="138">
        <f t="shared" si="215"/>
        <v>0</v>
      </c>
      <c r="HY84" s="238">
        <f t="shared" si="216"/>
        <v>0</v>
      </c>
      <c r="HZ84" s="138">
        <f t="shared" si="217"/>
        <v>0.25</v>
      </c>
      <c r="IA84" s="138">
        <f t="shared" si="218"/>
        <v>0</v>
      </c>
      <c r="IB84" s="138">
        <f t="shared" si="219"/>
        <v>0</v>
      </c>
      <c r="IC84" s="138">
        <f t="shared" si="220"/>
        <v>0</v>
      </c>
      <c r="ID84" s="216">
        <f t="shared" si="221"/>
        <v>1.5748031496062995E-2</v>
      </c>
      <c r="IE84" s="138">
        <f t="shared" si="222"/>
        <v>0</v>
      </c>
      <c r="IF84" s="138">
        <f t="shared" si="223"/>
        <v>0</v>
      </c>
      <c r="IG84" s="238">
        <f t="shared" si="224"/>
        <v>0</v>
      </c>
      <c r="IH84" s="138">
        <f t="shared" si="225"/>
        <v>1.5748031496062995E-2</v>
      </c>
      <c r="II84" s="138">
        <f t="shared" si="226"/>
        <v>0</v>
      </c>
      <c r="IJ84" s="138">
        <f t="shared" si="227"/>
        <v>0</v>
      </c>
      <c r="IK84" s="138">
        <f t="shared" si="228"/>
        <v>0</v>
      </c>
      <c r="IL84" s="216">
        <f t="shared" si="229"/>
        <v>1.5748031496062995E-2</v>
      </c>
      <c r="IM84" s="138">
        <f t="shared" si="230"/>
        <v>0</v>
      </c>
      <c r="IN84" s="138">
        <f t="shared" si="231"/>
        <v>0</v>
      </c>
      <c r="IO84" s="238">
        <f t="shared" si="232"/>
        <v>0</v>
      </c>
      <c r="IP84" s="138">
        <f t="shared" si="233"/>
        <v>1.5748031496062995E-2</v>
      </c>
      <c r="IQ84" s="138">
        <f t="shared" si="234"/>
        <v>0</v>
      </c>
      <c r="IR84" s="138">
        <f t="shared" si="235"/>
        <v>0</v>
      </c>
      <c r="IS84" s="138">
        <f t="shared" si="236"/>
        <v>0</v>
      </c>
      <c r="IT84" s="17">
        <f t="shared" si="237"/>
        <v>0.25</v>
      </c>
      <c r="IU84" s="17">
        <f t="shared" si="238"/>
        <v>1.5748031496062995E-2</v>
      </c>
      <c r="IV84" s="17">
        <f t="shared" si="239"/>
        <v>1.5748031496062995E-2</v>
      </c>
      <c r="IW84" s="253">
        <f t="shared" si="240"/>
        <v>11.377953120000001</v>
      </c>
      <c r="IX84" s="116">
        <f t="shared" si="241"/>
        <v>298.06491863713291</v>
      </c>
      <c r="IY84" s="8">
        <f t="shared" si="242"/>
        <v>7.7065558328799919E-3</v>
      </c>
      <c r="IZ84" s="8">
        <f t="shared" si="243"/>
        <v>7.7065558328799919E-3</v>
      </c>
      <c r="JA84" s="8">
        <f t="shared" si="244"/>
        <v>3.8532779164399959E-3</v>
      </c>
      <c r="JB84" s="134">
        <f t="shared" si="245"/>
        <v>6.2074776813452949E-2</v>
      </c>
      <c r="JC84" s="170">
        <f t="shared" si="256"/>
        <v>4.2410538734210714E-3</v>
      </c>
      <c r="JD84" s="272">
        <f t="shared" si="257"/>
        <v>6.5123374247815752E-2</v>
      </c>
      <c r="JE84" s="8"/>
      <c r="JF84" s="8"/>
    </row>
    <row r="85" spans="1:266" x14ac:dyDescent="0.25">
      <c r="A85" s="186">
        <v>25</v>
      </c>
      <c r="B85" s="187">
        <f>A85/100*'Inputs-Imperial'!$E$5</f>
        <v>2.4606300000000001</v>
      </c>
      <c r="C85" s="188">
        <f>'Inputs-Imperial'!$E$10+('Inputs-Imperial'!$E$9-'Inputs-Imperial'!$E$10)*(100-A85)/100</f>
        <v>1.8864830000000001</v>
      </c>
      <c r="D85" s="187">
        <f t="shared" si="248"/>
        <v>9.8425199999999879E-2</v>
      </c>
      <c r="E85" s="188">
        <f t="shared" si="249"/>
        <v>0.18616184257135177</v>
      </c>
      <c r="F85" s="423">
        <f>Loads!P45</f>
        <v>83.550820994494572</v>
      </c>
      <c r="G85" s="423">
        <f>Loads!M45</f>
        <v>835.50820994494495</v>
      </c>
      <c r="H85" s="423">
        <f>Loads!N45</f>
        <v>2742.4811846821035</v>
      </c>
      <c r="I85" s="423">
        <f>Loads!V45</f>
        <v>-722.80622254527884</v>
      </c>
      <c r="J85" s="423">
        <f>Loads!Q45</f>
        <v>274.24811846821046</v>
      </c>
      <c r="K85" s="2">
        <v>25</v>
      </c>
      <c r="L85" s="12">
        <f t="shared" si="41"/>
        <v>29.527560000000001</v>
      </c>
      <c r="M85" s="11">
        <f t="shared" si="42"/>
        <v>22.637796000000002</v>
      </c>
      <c r="N85" s="11">
        <f t="shared" si="43"/>
        <v>1.1811023999999986</v>
      </c>
      <c r="O85" s="152">
        <f t="shared" si="44"/>
        <v>26.807305330274652</v>
      </c>
      <c r="P85" s="151">
        <f t="shared" si="45"/>
        <v>83.550820994494572</v>
      </c>
      <c r="Q85" s="12">
        <f t="shared" si="46"/>
        <v>835.50820994494495</v>
      </c>
      <c r="R85" s="12">
        <f t="shared" si="47"/>
        <v>32909.774216185244</v>
      </c>
      <c r="S85" s="12">
        <f t="shared" si="48"/>
        <v>-8673.674670543347</v>
      </c>
      <c r="T85" s="152">
        <f t="shared" si="49"/>
        <v>3290.9774216185256</v>
      </c>
      <c r="U85" s="8">
        <f t="shared" si="0"/>
        <v>4.0748032800000002</v>
      </c>
      <c r="V85" s="8">
        <f t="shared" si="1"/>
        <v>4.0748032800000002</v>
      </c>
      <c r="W85" s="134">
        <f t="shared" si="2"/>
        <v>2.0374016400000001</v>
      </c>
      <c r="X85" s="311">
        <f t="shared" si="3"/>
        <v>5.6594490000000004</v>
      </c>
      <c r="Y85" s="11">
        <f t="shared" si="4"/>
        <v>16.978346999999999</v>
      </c>
      <c r="Z85" s="11">
        <f t="shared" si="5"/>
        <v>11.318897999999999</v>
      </c>
      <c r="AA85" s="316">
        <f t="shared" si="50"/>
        <v>16.978346999999999</v>
      </c>
      <c r="AB85" s="170">
        <f t="shared" si="51"/>
        <v>3.05610246</v>
      </c>
      <c r="AC85" s="11">
        <f t="shared" si="52"/>
        <v>16.978346999999999</v>
      </c>
      <c r="AD85" s="152">
        <f t="shared" si="53"/>
        <v>40.752400636618908</v>
      </c>
      <c r="AE85" s="151">
        <f t="shared" si="6"/>
        <v>4.9210221109566543</v>
      </c>
      <c r="AF85" s="12">
        <f t="shared" si="54"/>
        <v>106.41918678466071</v>
      </c>
      <c r="AG85" s="216">
        <f t="shared" si="7"/>
        <v>7.2945468847463403E-3</v>
      </c>
      <c r="AH85" s="2">
        <f t="shared" si="55"/>
        <v>1</v>
      </c>
      <c r="AI85" s="2">
        <f t="shared" si="56"/>
        <v>3</v>
      </c>
      <c r="AJ85" s="127">
        <f t="shared" si="57"/>
        <v>2</v>
      </c>
      <c r="AK85" s="2">
        <f t="shared" si="58"/>
        <v>1.5748031496062995E-2</v>
      </c>
      <c r="AL85" s="8">
        <f t="shared" si="8"/>
        <v>7.6766232915247978E-2</v>
      </c>
      <c r="AM85" s="138">
        <f t="shared" si="59"/>
        <v>0.25</v>
      </c>
      <c r="AN85" s="12">
        <f t="shared" si="9"/>
        <v>6363.0929383845314</v>
      </c>
      <c r="AO85" s="138">
        <f t="shared" si="60"/>
        <v>0.25</v>
      </c>
      <c r="AP85" s="116">
        <f t="shared" si="61"/>
        <v>2175570</v>
      </c>
      <c r="AQ85" s="2">
        <f t="shared" si="62"/>
        <v>1.5748031496062995E-2</v>
      </c>
      <c r="AR85" s="8">
        <f t="shared" si="63"/>
        <v>11.318897999999999</v>
      </c>
      <c r="AS85" s="116">
        <f t="shared" si="64"/>
        <v>2610.6840000000002</v>
      </c>
      <c r="AT85" s="217">
        <f t="shared" si="65"/>
        <v>0.12637073005350555</v>
      </c>
      <c r="AU85" s="207">
        <f t="shared" si="66"/>
        <v>3.6408799467174768</v>
      </c>
      <c r="AV85" s="144">
        <f t="shared" si="67"/>
        <v>9534.3457979865634</v>
      </c>
      <c r="AW85" s="138">
        <f t="shared" si="68"/>
        <v>0.25</v>
      </c>
      <c r="AX85" s="116">
        <f t="shared" si="69"/>
        <v>2175570</v>
      </c>
      <c r="AY85" s="2">
        <f t="shared" si="70"/>
        <v>1.5748031496062995E-2</v>
      </c>
      <c r="AZ85" s="8">
        <f t="shared" si="71"/>
        <v>11.318897999999999</v>
      </c>
      <c r="BA85" s="116">
        <f t="shared" si="72"/>
        <v>2610.6840000000002</v>
      </c>
      <c r="BB85" s="217">
        <f t="shared" si="73"/>
        <v>0.12637073005350555</v>
      </c>
      <c r="BC85" s="207">
        <f t="shared" si="74"/>
        <v>3.6408799467174768</v>
      </c>
      <c r="BD85" s="144">
        <f t="shared" si="75"/>
        <v>9534.3457979865634</v>
      </c>
      <c r="BE85" s="138">
        <f t="shared" si="76"/>
        <v>0.25</v>
      </c>
      <c r="BF85" s="116">
        <f t="shared" si="77"/>
        <v>2175570</v>
      </c>
      <c r="BG85" s="2">
        <f t="shared" si="78"/>
        <v>1.5748031496062995E-2</v>
      </c>
      <c r="BH85" s="8">
        <f t="shared" si="79"/>
        <v>11.318897999999999</v>
      </c>
      <c r="BI85" s="116">
        <f t="shared" si="80"/>
        <v>2610.6840000000002</v>
      </c>
      <c r="BJ85" s="217">
        <f t="shared" si="81"/>
        <v>0.12637073005350555</v>
      </c>
      <c r="BK85" s="207">
        <f t="shared" si="82"/>
        <v>3.6408799467174768</v>
      </c>
      <c r="BL85" s="144">
        <f t="shared" si="83"/>
        <v>9534.3457979865634</v>
      </c>
      <c r="BM85" s="216">
        <f t="shared" si="84"/>
        <v>0.25</v>
      </c>
      <c r="BN85" s="216">
        <f t="shared" si="85"/>
        <v>2.3622047244094495E-2</v>
      </c>
      <c r="BO85" s="238">
        <f t="shared" si="86"/>
        <v>1.5748031496062995E-2</v>
      </c>
      <c r="BP85" s="216">
        <f t="shared" si="87"/>
        <v>0</v>
      </c>
      <c r="BQ85" s="138">
        <f t="shared" si="88"/>
        <v>0.25</v>
      </c>
      <c r="BR85" s="138">
        <f t="shared" si="89"/>
        <v>0</v>
      </c>
      <c r="BS85" s="238">
        <f t="shared" si="90"/>
        <v>0</v>
      </c>
      <c r="BT85" s="138">
        <f t="shared" si="91"/>
        <v>0</v>
      </c>
      <c r="BU85" s="138">
        <f t="shared" si="92"/>
        <v>0.25</v>
      </c>
      <c r="BV85" s="138">
        <f t="shared" si="93"/>
        <v>0</v>
      </c>
      <c r="BW85" s="238">
        <f t="shared" si="94"/>
        <v>0</v>
      </c>
      <c r="BX85" s="216">
        <f t="shared" si="95"/>
        <v>0</v>
      </c>
      <c r="BY85" s="138">
        <f t="shared" si="96"/>
        <v>2.3622047244094495E-2</v>
      </c>
      <c r="BZ85" s="138">
        <f t="shared" si="97"/>
        <v>0</v>
      </c>
      <c r="CA85" s="238">
        <f t="shared" si="98"/>
        <v>0</v>
      </c>
      <c r="CB85" s="138">
        <f t="shared" si="99"/>
        <v>0</v>
      </c>
      <c r="CC85" s="138">
        <f t="shared" si="100"/>
        <v>2.3622047244094495E-2</v>
      </c>
      <c r="CD85" s="138">
        <f t="shared" si="101"/>
        <v>0</v>
      </c>
      <c r="CE85" s="238">
        <f t="shared" si="102"/>
        <v>0</v>
      </c>
      <c r="CF85" s="216">
        <f t="shared" si="103"/>
        <v>0</v>
      </c>
      <c r="CG85" s="138">
        <f t="shared" si="104"/>
        <v>1.5748031496062995E-2</v>
      </c>
      <c r="CH85" s="138">
        <f t="shared" si="105"/>
        <v>0</v>
      </c>
      <c r="CI85" s="238">
        <f t="shared" si="106"/>
        <v>0</v>
      </c>
      <c r="CJ85" s="138">
        <f t="shared" si="107"/>
        <v>0</v>
      </c>
      <c r="CK85" s="138">
        <f t="shared" si="108"/>
        <v>1.5748031496062995E-2</v>
      </c>
      <c r="CL85" s="138">
        <f t="shared" si="109"/>
        <v>0</v>
      </c>
      <c r="CM85" s="238">
        <f t="shared" si="110"/>
        <v>0</v>
      </c>
      <c r="CN85" s="17">
        <f t="shared" si="111"/>
        <v>0.25</v>
      </c>
      <c r="CO85" s="17">
        <f t="shared" si="112"/>
        <v>2.3622047244094495E-2</v>
      </c>
      <c r="CP85" s="17">
        <f t="shared" si="113"/>
        <v>1.5748031496062995E-2</v>
      </c>
      <c r="CQ85" s="17">
        <f>$U85-IF('Inputs-Imperial'!$E$13,0,2)*($CO85+$CN85+$CP85)</f>
        <v>4.0748032800000002</v>
      </c>
      <c r="CR85" s="116">
        <f t="shared" si="114"/>
        <v>8076.4080999231064</v>
      </c>
      <c r="CS85" s="8">
        <f t="shared" si="10"/>
        <v>0.20881789858321023</v>
      </c>
      <c r="CT85" s="8">
        <f t="shared" si="115"/>
        <v>0.45696597092476177</v>
      </c>
      <c r="CU85" s="8">
        <f t="shared" si="11"/>
        <v>0.20881789858321023</v>
      </c>
      <c r="CV85" s="8">
        <f t="shared" si="116"/>
        <v>0.45696597092476177</v>
      </c>
      <c r="CW85" s="216">
        <f t="shared" si="117"/>
        <v>3.6178373090752389</v>
      </c>
      <c r="CX85" s="116">
        <f t="shared" si="118"/>
        <v>9096.5323768517828</v>
      </c>
      <c r="CY85" s="8">
        <f t="shared" si="119"/>
        <v>0.23519351075714076</v>
      </c>
      <c r="CZ85" s="8">
        <f t="shared" si="120"/>
        <v>0.48496753577651025</v>
      </c>
      <c r="DA85" s="8">
        <f t="shared" si="121"/>
        <v>0.23519351075714076</v>
      </c>
      <c r="DB85" s="8">
        <f t="shared" si="122"/>
        <v>0.48496753577651025</v>
      </c>
      <c r="DC85" s="216">
        <f t="shared" si="123"/>
        <v>3.5898357442234898</v>
      </c>
      <c r="DD85" s="116">
        <f t="shared" si="124"/>
        <v>9167.4874732475801</v>
      </c>
      <c r="DE85" s="8">
        <f t="shared" si="125"/>
        <v>0.23702807557108083</v>
      </c>
      <c r="DF85" s="8">
        <f t="shared" si="126"/>
        <v>0.48685529222868762</v>
      </c>
      <c r="DG85" s="8">
        <f t="shared" si="127"/>
        <v>0.23702807557108083</v>
      </c>
      <c r="DH85" s="8">
        <f t="shared" si="128"/>
        <v>0.48685529222868762</v>
      </c>
      <c r="DI85" s="216">
        <f t="shared" si="129"/>
        <v>3.5879479877713125</v>
      </c>
      <c r="DJ85" s="116">
        <f t="shared" si="130"/>
        <v>9172.3108384933585</v>
      </c>
      <c r="DK85" s="8">
        <f t="shared" si="131"/>
        <v>0.23715278509321758</v>
      </c>
      <c r="DL85" s="8">
        <f t="shared" si="132"/>
        <v>0.48698335196720799</v>
      </c>
      <c r="DM85" s="8">
        <f t="shared" si="133"/>
        <v>0.23715278509321758</v>
      </c>
      <c r="DN85" s="8">
        <f t="shared" si="134"/>
        <v>0.48698335196720799</v>
      </c>
      <c r="DO85" s="216">
        <f t="shared" si="253"/>
        <v>3.5878199280327925</v>
      </c>
      <c r="DP85" s="116">
        <f t="shared" si="136"/>
        <v>9172.6382249707076</v>
      </c>
      <c r="DQ85" s="170">
        <f t="shared" si="137"/>
        <v>0.23716124976654498</v>
      </c>
      <c r="DR85" s="8">
        <f t="shared" si="138"/>
        <v>0.48699204281645608</v>
      </c>
      <c r="DS85" s="8">
        <f t="shared" si="139"/>
        <v>0.23716124976654498</v>
      </c>
      <c r="DT85" s="134">
        <f t="shared" si="140"/>
        <v>0.48699204281645608</v>
      </c>
      <c r="DU85" s="170">
        <f t="shared" si="254"/>
        <v>0.26897785437563354</v>
      </c>
      <c r="DV85" s="170">
        <f t="shared" si="255"/>
        <v>0.51863074954695232</v>
      </c>
      <c r="DW85" s="170">
        <f t="shared" si="255"/>
        <v>0.26897785437563354</v>
      </c>
      <c r="DX85" s="272">
        <f t="shared" si="255"/>
        <v>0.51863074954695232</v>
      </c>
      <c r="DY85" s="272">
        <f t="shared" si="142"/>
        <v>3.0375417809060954</v>
      </c>
      <c r="DZ85" s="22">
        <f t="shared" si="12"/>
        <v>205.04258795652706</v>
      </c>
      <c r="EA85" s="216">
        <f t="shared" si="13"/>
        <v>1.3433536599709812E-2</v>
      </c>
      <c r="EB85" s="12">
        <f t="shared" si="143"/>
        <v>2</v>
      </c>
      <c r="EC85" s="7">
        <f>ROUND(MAX(DV85,DX85)/'Inputs-Imperial'!$E$21,0)</f>
        <v>4</v>
      </c>
      <c r="ED85" s="12">
        <f t="shared" si="144"/>
        <v>4</v>
      </c>
      <c r="EE85" s="2">
        <f t="shared" si="145"/>
        <v>2</v>
      </c>
      <c r="EF85" s="127">
        <f t="shared" si="146"/>
        <v>2</v>
      </c>
      <c r="EG85" s="2">
        <f t="shared" si="147"/>
        <v>1.5748031496062995E-2</v>
      </c>
      <c r="EH85" s="8">
        <f t="shared" si="14"/>
        <v>0.14137163223191648</v>
      </c>
      <c r="EI85" s="138">
        <f t="shared" si="148"/>
        <v>0.25</v>
      </c>
      <c r="EJ85" s="12">
        <f t="shared" si="15"/>
        <v>11718.18390171552</v>
      </c>
      <c r="EK85" s="138">
        <f t="shared" si="149"/>
        <v>0.25</v>
      </c>
      <c r="EL85" s="116">
        <f t="shared" si="150"/>
        <v>2175570</v>
      </c>
      <c r="EM85" s="2">
        <f t="shared" si="16"/>
        <v>1.5748031496062995E-2</v>
      </c>
      <c r="EN85" s="8">
        <f t="shared" si="151"/>
        <v>4.0748032800000002</v>
      </c>
      <c r="EO85" s="116">
        <f t="shared" si="152"/>
        <v>2610.6840000000002</v>
      </c>
      <c r="EP85" s="217">
        <f t="shared" si="153"/>
        <v>0.97508279362272776</v>
      </c>
      <c r="EQ85" s="207">
        <f t="shared" si="154"/>
        <v>2</v>
      </c>
      <c r="ER85" s="144">
        <f t="shared" si="155"/>
        <v>40411.924636780241</v>
      </c>
      <c r="ES85" s="138">
        <f t="shared" si="17"/>
        <v>0.25</v>
      </c>
      <c r="ET85" s="116">
        <f t="shared" si="156"/>
        <v>2175570</v>
      </c>
      <c r="EU85" s="2">
        <f t="shared" si="18"/>
        <v>1.5748031496062995E-2</v>
      </c>
      <c r="EV85" s="8">
        <f t="shared" si="157"/>
        <v>4.0748032800000002</v>
      </c>
      <c r="EW85" s="116">
        <f t="shared" si="158"/>
        <v>2610.6840000000002</v>
      </c>
      <c r="EX85" s="217">
        <f t="shared" si="159"/>
        <v>0.97508279362272776</v>
      </c>
      <c r="EY85" s="207">
        <f t="shared" si="160"/>
        <v>2</v>
      </c>
      <c r="EZ85" s="144">
        <f t="shared" si="161"/>
        <v>40411.924636780241</v>
      </c>
      <c r="FA85" s="138">
        <f t="shared" si="19"/>
        <v>0.25</v>
      </c>
      <c r="FB85" s="116">
        <f t="shared" si="162"/>
        <v>2175570</v>
      </c>
      <c r="FC85" s="2">
        <f t="shared" si="20"/>
        <v>1.5748031496062995E-2</v>
      </c>
      <c r="FD85" s="8">
        <f t="shared" si="163"/>
        <v>4.0748032800000002</v>
      </c>
      <c r="FE85" s="116">
        <f t="shared" si="164"/>
        <v>2610.6840000000002</v>
      </c>
      <c r="FF85" s="217">
        <f t="shared" si="165"/>
        <v>0.97508279362272776</v>
      </c>
      <c r="FG85" s="207">
        <f t="shared" si="166"/>
        <v>2</v>
      </c>
      <c r="FH85" s="144">
        <f t="shared" si="167"/>
        <v>40411.924636780241</v>
      </c>
      <c r="FI85" s="128">
        <f t="shared" si="168"/>
        <v>0.25</v>
      </c>
      <c r="FJ85" s="2">
        <f t="shared" si="169"/>
        <v>1.5748031496062995E-2</v>
      </c>
      <c r="FK85" s="127">
        <f t="shared" si="170"/>
        <v>1.5748031496062995E-2</v>
      </c>
      <c r="FL85" s="216">
        <f t="shared" si="171"/>
        <v>0</v>
      </c>
      <c r="FM85" s="138">
        <f t="shared" si="172"/>
        <v>0.25</v>
      </c>
      <c r="FN85" s="138">
        <f t="shared" si="173"/>
        <v>0</v>
      </c>
      <c r="FO85" s="238">
        <f t="shared" si="174"/>
        <v>0</v>
      </c>
      <c r="FP85" s="216">
        <f t="shared" si="21"/>
        <v>0</v>
      </c>
      <c r="FQ85" s="138">
        <f t="shared" si="22"/>
        <v>0.25</v>
      </c>
      <c r="FR85" s="138">
        <f t="shared" si="23"/>
        <v>0</v>
      </c>
      <c r="FS85" s="238">
        <f t="shared" si="24"/>
        <v>0</v>
      </c>
      <c r="FT85" s="216">
        <f t="shared" si="175"/>
        <v>0</v>
      </c>
      <c r="FU85" s="138">
        <f t="shared" si="176"/>
        <v>1.5748031496062995E-2</v>
      </c>
      <c r="FV85" s="138">
        <f t="shared" si="177"/>
        <v>0</v>
      </c>
      <c r="FW85" s="238">
        <f t="shared" si="178"/>
        <v>0</v>
      </c>
      <c r="FX85" s="216">
        <f t="shared" si="25"/>
        <v>0</v>
      </c>
      <c r="FY85" s="138">
        <f t="shared" si="26"/>
        <v>1.5748031496062995E-2</v>
      </c>
      <c r="FZ85" s="138">
        <f t="shared" si="27"/>
        <v>0</v>
      </c>
      <c r="GA85" s="238">
        <f t="shared" si="28"/>
        <v>0</v>
      </c>
      <c r="GB85" s="216">
        <f t="shared" si="179"/>
        <v>0</v>
      </c>
      <c r="GC85" s="138">
        <f t="shared" si="180"/>
        <v>1.5748031496062995E-2</v>
      </c>
      <c r="GD85" s="138">
        <f t="shared" si="181"/>
        <v>0</v>
      </c>
      <c r="GE85" s="238">
        <f t="shared" si="182"/>
        <v>0</v>
      </c>
      <c r="GF85" s="216">
        <f t="shared" si="29"/>
        <v>0</v>
      </c>
      <c r="GG85" s="138">
        <f t="shared" si="30"/>
        <v>1.5748031496062995E-2</v>
      </c>
      <c r="GH85" s="138">
        <f t="shared" si="31"/>
        <v>0</v>
      </c>
      <c r="GI85" s="238">
        <f t="shared" si="32"/>
        <v>0</v>
      </c>
      <c r="GJ85" s="216">
        <f t="shared" si="183"/>
        <v>0.25</v>
      </c>
      <c r="GK85" s="216">
        <f t="shared" si="184"/>
        <v>1.5748031496062995E-2</v>
      </c>
      <c r="GL85" s="17">
        <f t="shared" si="185"/>
        <v>1.5748031496062995E-2</v>
      </c>
      <c r="GM85" s="216">
        <f t="shared" si="186"/>
        <v>6.9721420063533039E-3</v>
      </c>
      <c r="GN85" s="2">
        <f t="shared" si="187"/>
        <v>1</v>
      </c>
      <c r="GO85" s="2">
        <f t="shared" si="188"/>
        <v>2</v>
      </c>
      <c r="GP85" s="142">
        <f t="shared" si="189"/>
        <v>2</v>
      </c>
      <c r="GQ85" s="2">
        <f t="shared" si="190"/>
        <v>1.5748031496062995E-2</v>
      </c>
      <c r="GR85" s="8">
        <f t="shared" si="33"/>
        <v>7.3373313741681975E-2</v>
      </c>
      <c r="GS85" s="138">
        <f t="shared" si="191"/>
        <v>0.25</v>
      </c>
      <c r="GT85" s="12">
        <f t="shared" si="34"/>
        <v>6081.856524743358</v>
      </c>
      <c r="GU85" s="138">
        <f t="shared" si="192"/>
        <v>0.25</v>
      </c>
      <c r="GV85" s="116">
        <f t="shared" si="193"/>
        <v>2175570</v>
      </c>
      <c r="GW85" s="2">
        <f t="shared" si="35"/>
        <v>1.5748031496062995E-2</v>
      </c>
      <c r="GX85" s="8">
        <f t="shared" si="36"/>
        <v>2.0374016400000001</v>
      </c>
      <c r="GY85" s="116">
        <f t="shared" si="194"/>
        <v>2610.6840000000002</v>
      </c>
      <c r="GZ85" s="217">
        <f t="shared" si="195"/>
        <v>3.900331174490911</v>
      </c>
      <c r="HA85" s="207">
        <f t="shared" si="196"/>
        <v>2</v>
      </c>
      <c r="HB85" s="144">
        <f t="shared" si="197"/>
        <v>161647.69854712096</v>
      </c>
      <c r="HC85" s="138">
        <f t="shared" si="37"/>
        <v>0.25</v>
      </c>
      <c r="HD85" s="116">
        <f t="shared" si="198"/>
        <v>2175570</v>
      </c>
      <c r="HE85" s="2">
        <f t="shared" si="38"/>
        <v>1.5748031496062995E-2</v>
      </c>
      <c r="HF85" s="8">
        <f t="shared" si="199"/>
        <v>2.0374016400000001</v>
      </c>
      <c r="HG85" s="116">
        <f t="shared" si="200"/>
        <v>2610.6840000000002</v>
      </c>
      <c r="HH85" s="217">
        <f t="shared" si="201"/>
        <v>3.900331174490911</v>
      </c>
      <c r="HI85" s="207">
        <f t="shared" si="202"/>
        <v>2</v>
      </c>
      <c r="HJ85" s="144">
        <f t="shared" si="203"/>
        <v>161647.69854712096</v>
      </c>
      <c r="HK85" s="138">
        <f t="shared" si="39"/>
        <v>0.25</v>
      </c>
      <c r="HL85" s="116">
        <f t="shared" si="204"/>
        <v>2175570</v>
      </c>
      <c r="HM85" s="2">
        <f t="shared" si="40"/>
        <v>1.5748031496062995E-2</v>
      </c>
      <c r="HN85" s="8">
        <f t="shared" si="205"/>
        <v>2.0374016400000001</v>
      </c>
      <c r="HO85" s="116">
        <f t="shared" si="206"/>
        <v>2610.6840000000002</v>
      </c>
      <c r="HP85" s="217">
        <f t="shared" si="207"/>
        <v>3.900331174490911</v>
      </c>
      <c r="HQ85" s="207">
        <f t="shared" si="208"/>
        <v>2</v>
      </c>
      <c r="HR85" s="144">
        <f t="shared" si="209"/>
        <v>161647.69854712096</v>
      </c>
      <c r="HS85" s="128">
        <f t="shared" si="210"/>
        <v>0.25</v>
      </c>
      <c r="HT85" s="2">
        <f t="shared" si="211"/>
        <v>1.5748031496062995E-2</v>
      </c>
      <c r="HU85" s="127">
        <f t="shared" si="212"/>
        <v>1.5748031496062995E-2</v>
      </c>
      <c r="HV85" s="216">
        <f t="shared" si="213"/>
        <v>0</v>
      </c>
      <c r="HW85" s="138">
        <f t="shared" si="214"/>
        <v>0.25</v>
      </c>
      <c r="HX85" s="138">
        <f t="shared" si="215"/>
        <v>0</v>
      </c>
      <c r="HY85" s="238">
        <f t="shared" si="216"/>
        <v>0</v>
      </c>
      <c r="HZ85" s="138">
        <f t="shared" si="217"/>
        <v>0</v>
      </c>
      <c r="IA85" s="138">
        <f t="shared" si="218"/>
        <v>0.25</v>
      </c>
      <c r="IB85" s="138">
        <f t="shared" si="219"/>
        <v>0</v>
      </c>
      <c r="IC85" s="138">
        <f t="shared" si="220"/>
        <v>0</v>
      </c>
      <c r="ID85" s="216">
        <f t="shared" si="221"/>
        <v>0</v>
      </c>
      <c r="IE85" s="138">
        <f t="shared" si="222"/>
        <v>1.5748031496062995E-2</v>
      </c>
      <c r="IF85" s="138">
        <f t="shared" si="223"/>
        <v>0</v>
      </c>
      <c r="IG85" s="238">
        <f t="shared" si="224"/>
        <v>0</v>
      </c>
      <c r="IH85" s="138">
        <f t="shared" si="225"/>
        <v>0</v>
      </c>
      <c r="II85" s="138">
        <f t="shared" si="226"/>
        <v>1.5748031496062995E-2</v>
      </c>
      <c r="IJ85" s="138">
        <f t="shared" si="227"/>
        <v>0</v>
      </c>
      <c r="IK85" s="138">
        <f t="shared" si="228"/>
        <v>0</v>
      </c>
      <c r="IL85" s="216">
        <f t="shared" si="229"/>
        <v>0</v>
      </c>
      <c r="IM85" s="138">
        <f t="shared" si="230"/>
        <v>1.5748031496062995E-2</v>
      </c>
      <c r="IN85" s="138">
        <f t="shared" si="231"/>
        <v>0</v>
      </c>
      <c r="IO85" s="238">
        <f t="shared" si="232"/>
        <v>0</v>
      </c>
      <c r="IP85" s="138">
        <f t="shared" si="233"/>
        <v>0</v>
      </c>
      <c r="IQ85" s="138">
        <f t="shared" si="234"/>
        <v>1.5748031496062995E-2</v>
      </c>
      <c r="IR85" s="138">
        <f t="shared" si="235"/>
        <v>0</v>
      </c>
      <c r="IS85" s="138">
        <f t="shared" si="236"/>
        <v>0</v>
      </c>
      <c r="IT85" s="17">
        <f t="shared" si="237"/>
        <v>0.25</v>
      </c>
      <c r="IU85" s="17">
        <f t="shared" si="238"/>
        <v>1.5748031496062995E-2</v>
      </c>
      <c r="IV85" s="17">
        <f t="shared" si="239"/>
        <v>1.5748031496062995E-2</v>
      </c>
      <c r="IW85" s="253">
        <f t="shared" si="240"/>
        <v>11.318897999999999</v>
      </c>
      <c r="IX85" s="116">
        <f t="shared" si="241"/>
        <v>290.75069159723199</v>
      </c>
      <c r="IY85" s="8">
        <f t="shared" si="242"/>
        <v>7.5174443489955728E-3</v>
      </c>
      <c r="IZ85" s="8">
        <f t="shared" si="243"/>
        <v>7.5174443489955728E-3</v>
      </c>
      <c r="JA85" s="8">
        <f t="shared" si="244"/>
        <v>3.7587221744977864E-3</v>
      </c>
      <c r="JB85" s="134">
        <f t="shared" si="245"/>
        <v>6.1308418463517603E-2</v>
      </c>
      <c r="JC85" s="170">
        <f t="shared" si="256"/>
        <v>4.2410538734210714E-3</v>
      </c>
      <c r="JD85" s="272">
        <f t="shared" si="257"/>
        <v>6.5123374247815752E-2</v>
      </c>
      <c r="JE85" s="8"/>
      <c r="JF85" s="8"/>
    </row>
    <row r="86" spans="1:266" x14ac:dyDescent="0.25">
      <c r="A86" s="186">
        <v>26</v>
      </c>
      <c r="B86" s="187">
        <f>A86/100*'Inputs-Imperial'!$E$5</f>
        <v>2.5590552</v>
      </c>
      <c r="C86" s="188">
        <f>'Inputs-Imperial'!$E$10+('Inputs-Imperial'!$E$9-'Inputs-Imperial'!$E$10)*(100-A86)/100</f>
        <v>1.8766404800000001</v>
      </c>
      <c r="D86" s="187">
        <f t="shared" si="248"/>
        <v>9.8425199999999879E-2</v>
      </c>
      <c r="E86" s="188">
        <f t="shared" si="249"/>
        <v>0.18519309057184777</v>
      </c>
      <c r="F86" s="423">
        <f>Loads!P46</f>
        <v>82.1093498573955</v>
      </c>
      <c r="G86" s="423">
        <f>Loads!M46</f>
        <v>821.09349857395432</v>
      </c>
      <c r="H86" s="423">
        <f>Loads!N46</f>
        <v>2660.2461220166306</v>
      </c>
      <c r="I86" s="423">
        <f>Loads!V46</f>
        <v>-707.3723828860775</v>
      </c>
      <c r="J86" s="423">
        <f>Loads!Q46</f>
        <v>266.02461220166316</v>
      </c>
      <c r="K86" s="2">
        <v>26</v>
      </c>
      <c r="L86" s="12">
        <f t="shared" si="41"/>
        <v>30.708662400000001</v>
      </c>
      <c r="M86" s="11">
        <f t="shared" si="42"/>
        <v>22.519685760000002</v>
      </c>
      <c r="N86" s="11">
        <f t="shared" si="43"/>
        <v>1.1811023999999986</v>
      </c>
      <c r="O86" s="152">
        <f t="shared" si="44"/>
        <v>26.667805042346082</v>
      </c>
      <c r="P86" s="151">
        <f t="shared" si="45"/>
        <v>82.1093498573955</v>
      </c>
      <c r="Q86" s="12">
        <f t="shared" si="46"/>
        <v>821.09349857395432</v>
      </c>
      <c r="R86" s="12">
        <f t="shared" si="47"/>
        <v>31922.953464199567</v>
      </c>
      <c r="S86" s="12">
        <f t="shared" si="48"/>
        <v>-8488.46859463293</v>
      </c>
      <c r="T86" s="152">
        <f t="shared" si="49"/>
        <v>3192.2953464199582</v>
      </c>
      <c r="U86" s="8">
        <f t="shared" si="0"/>
        <v>4.0535434368000001</v>
      </c>
      <c r="V86" s="8">
        <f t="shared" si="1"/>
        <v>4.0535434368000001</v>
      </c>
      <c r="W86" s="134">
        <f t="shared" si="2"/>
        <v>2.0267717184</v>
      </c>
      <c r="X86" s="311">
        <f t="shared" si="3"/>
        <v>5.6299214400000004</v>
      </c>
      <c r="Y86" s="11">
        <f t="shared" si="4"/>
        <v>16.889764320000001</v>
      </c>
      <c r="Z86" s="11">
        <f t="shared" si="5"/>
        <v>11.259842880000001</v>
      </c>
      <c r="AA86" s="316">
        <f t="shared" si="50"/>
        <v>16.889764320000001</v>
      </c>
      <c r="AB86" s="170">
        <f t="shared" si="51"/>
        <v>3.0401575776</v>
      </c>
      <c r="AC86" s="11">
        <f t="shared" si="52"/>
        <v>16.889764320000001</v>
      </c>
      <c r="AD86" s="152">
        <f t="shared" si="53"/>
        <v>40.328267523301392</v>
      </c>
      <c r="AE86" s="151">
        <f t="shared" si="6"/>
        <v>4.8614858266651941</v>
      </c>
      <c r="AF86" s="12">
        <f t="shared" si="54"/>
        <v>105.24216778873965</v>
      </c>
      <c r="AG86" s="216">
        <f t="shared" si="7"/>
        <v>7.2135329315971466E-3</v>
      </c>
      <c r="AH86" s="2">
        <f t="shared" si="55"/>
        <v>1</v>
      </c>
      <c r="AI86" s="2">
        <f t="shared" si="56"/>
        <v>3</v>
      </c>
      <c r="AJ86" s="127">
        <f t="shared" si="57"/>
        <v>2</v>
      </c>
      <c r="AK86" s="2">
        <f t="shared" si="58"/>
        <v>1.5748031496062995E-2</v>
      </c>
      <c r="AL86" s="8">
        <f t="shared" si="8"/>
        <v>7.5913659603279712E-2</v>
      </c>
      <c r="AM86" s="138">
        <f>IF(ROUNDUP(AL86/$E$42,0)*$E$42&gt;$E$42,ROUNDUP(AL86/$E$42,0)*$E$42,$E$42)</f>
        <v>0.25</v>
      </c>
      <c r="AN86" s="12">
        <f t="shared" si="9"/>
        <v>6292.4238041203853</v>
      </c>
      <c r="AO86" s="138">
        <f t="shared" si="60"/>
        <v>0.25</v>
      </c>
      <c r="AP86" s="116">
        <f t="shared" si="61"/>
        <v>2175570</v>
      </c>
      <c r="AQ86" s="2">
        <f t="shared" si="62"/>
        <v>1.5748031496062995E-2</v>
      </c>
      <c r="AR86" s="8">
        <f t="shared" si="63"/>
        <v>11.259842880000001</v>
      </c>
      <c r="AS86" s="116">
        <f t="shared" si="64"/>
        <v>2610.6840000000002</v>
      </c>
      <c r="AT86" s="217">
        <f t="shared" si="65"/>
        <v>0.12769977328946486</v>
      </c>
      <c r="AU86" s="207">
        <f t="shared" si="66"/>
        <v>3.6289768160641862</v>
      </c>
      <c r="AV86" s="144">
        <f t="shared" si="67"/>
        <v>9603.1202201162941</v>
      </c>
      <c r="AW86" s="138">
        <f t="shared" si="68"/>
        <v>0.25</v>
      </c>
      <c r="AX86" s="116">
        <f t="shared" si="69"/>
        <v>2175570</v>
      </c>
      <c r="AY86" s="2">
        <f t="shared" si="70"/>
        <v>1.5748031496062995E-2</v>
      </c>
      <c r="AZ86" s="8">
        <f t="shared" si="71"/>
        <v>11.259842880000001</v>
      </c>
      <c r="BA86" s="116">
        <f t="shared" si="72"/>
        <v>2610.6840000000002</v>
      </c>
      <c r="BB86" s="217">
        <f t="shared" si="73"/>
        <v>0.12769977328946486</v>
      </c>
      <c r="BC86" s="207">
        <f t="shared" si="74"/>
        <v>3.6289768160641862</v>
      </c>
      <c r="BD86" s="144">
        <f t="shared" si="75"/>
        <v>9603.1202201162941</v>
      </c>
      <c r="BE86" s="138">
        <f>IF(BD86&gt;AN86,AW86,ROUNDUP(AW86*AN86/BD86/$E$42,0)*$E$42)</f>
        <v>0.25</v>
      </c>
      <c r="BF86" s="116">
        <f t="shared" si="77"/>
        <v>2175570</v>
      </c>
      <c r="BG86" s="2">
        <f t="shared" si="78"/>
        <v>1.5748031496062995E-2</v>
      </c>
      <c r="BH86" s="8">
        <f t="shared" si="79"/>
        <v>11.259842880000001</v>
      </c>
      <c r="BI86" s="116">
        <f t="shared" si="80"/>
        <v>2610.6840000000002</v>
      </c>
      <c r="BJ86" s="217">
        <f t="shared" si="81"/>
        <v>0.12769977328946486</v>
      </c>
      <c r="BK86" s="207">
        <f t="shared" si="82"/>
        <v>3.6289768160641862</v>
      </c>
      <c r="BL86" s="144">
        <f t="shared" si="83"/>
        <v>9603.1202201162941</v>
      </c>
      <c r="BM86" s="216">
        <f>IF(BL86&gt;AN86,BE86,ROUNDUP(BE86*AN86/BL86/$E$42,0)*$E$42)</f>
        <v>0.25</v>
      </c>
      <c r="BN86" s="216">
        <f t="shared" si="85"/>
        <v>2.3622047244094495E-2</v>
      </c>
      <c r="BO86" s="238">
        <f t="shared" si="86"/>
        <v>1.5748031496062995E-2</v>
      </c>
      <c r="BP86" s="216">
        <f t="shared" si="87"/>
        <v>0</v>
      </c>
      <c r="BQ86" s="138">
        <f t="shared" si="88"/>
        <v>0.25</v>
      </c>
      <c r="BR86" s="138">
        <f t="shared" si="89"/>
        <v>0</v>
      </c>
      <c r="BS86" s="238">
        <f t="shared" si="90"/>
        <v>0</v>
      </c>
      <c r="BT86" s="138">
        <f t="shared" si="91"/>
        <v>0</v>
      </c>
      <c r="BU86" s="138">
        <f t="shared" si="92"/>
        <v>0.25</v>
      </c>
      <c r="BV86" s="138">
        <f t="shared" si="93"/>
        <v>0</v>
      </c>
      <c r="BW86" s="238">
        <f t="shared" si="94"/>
        <v>0</v>
      </c>
      <c r="BX86" s="216">
        <f t="shared" si="95"/>
        <v>0</v>
      </c>
      <c r="BY86" s="138">
        <f t="shared" si="96"/>
        <v>2.3622047244094495E-2</v>
      </c>
      <c r="BZ86" s="138">
        <f t="shared" si="97"/>
        <v>0</v>
      </c>
      <c r="CA86" s="238">
        <f t="shared" si="98"/>
        <v>0</v>
      </c>
      <c r="CB86" s="138">
        <f t="shared" si="99"/>
        <v>0</v>
      </c>
      <c r="CC86" s="138">
        <f t="shared" si="100"/>
        <v>2.3622047244094495E-2</v>
      </c>
      <c r="CD86" s="138">
        <f t="shared" si="101"/>
        <v>0</v>
      </c>
      <c r="CE86" s="238">
        <f t="shared" si="102"/>
        <v>0</v>
      </c>
      <c r="CF86" s="216">
        <f t="shared" si="103"/>
        <v>0</v>
      </c>
      <c r="CG86" s="138">
        <f t="shared" si="104"/>
        <v>1.5748031496062995E-2</v>
      </c>
      <c r="CH86" s="138">
        <f t="shared" si="105"/>
        <v>0</v>
      </c>
      <c r="CI86" s="238">
        <f t="shared" si="106"/>
        <v>0</v>
      </c>
      <c r="CJ86" s="138">
        <f t="shared" si="107"/>
        <v>0</v>
      </c>
      <c r="CK86" s="138">
        <f t="shared" si="108"/>
        <v>1.5748031496062995E-2</v>
      </c>
      <c r="CL86" s="138">
        <f t="shared" si="109"/>
        <v>0</v>
      </c>
      <c r="CM86" s="238">
        <f t="shared" si="110"/>
        <v>0</v>
      </c>
      <c r="CN86" s="17">
        <f t="shared" si="111"/>
        <v>0.25</v>
      </c>
      <c r="CO86" s="17">
        <f t="shared" si="112"/>
        <v>2.3622047244094495E-2</v>
      </c>
      <c r="CP86" s="17">
        <f t="shared" si="113"/>
        <v>1.5748031496062995E-2</v>
      </c>
      <c r="CQ86" s="17">
        <f>$U86-IF('Inputs-Imperial'!$E$13,0,2)*($CO86+$CN86+$CP86)</f>
        <v>4.0535434368000001</v>
      </c>
      <c r="CR86" s="116">
        <f t="shared" si="114"/>
        <v>7875.3204355448061</v>
      </c>
      <c r="CS86" s="8">
        <f t="shared" si="10"/>
        <v>0.20361871808279913</v>
      </c>
      <c r="CT86" s="8">
        <f t="shared" si="115"/>
        <v>0.4512413080412731</v>
      </c>
      <c r="CU86" s="8">
        <f t="shared" si="11"/>
        <v>0.20361871808279913</v>
      </c>
      <c r="CV86" s="8">
        <f t="shared" si="116"/>
        <v>0.4512413080412731</v>
      </c>
      <c r="CW86" s="216">
        <f t="shared" si="117"/>
        <v>3.6023021287587271</v>
      </c>
      <c r="CX86" s="116">
        <f t="shared" si="118"/>
        <v>8861.8201147940654</v>
      </c>
      <c r="CY86" s="8">
        <f t="shared" si="119"/>
        <v>0.22912495642850661</v>
      </c>
      <c r="CZ86" s="8">
        <f t="shared" si="120"/>
        <v>0.47866998697276458</v>
      </c>
      <c r="DA86" s="8">
        <f t="shared" si="121"/>
        <v>0.22912495642850661</v>
      </c>
      <c r="DB86" s="8">
        <f t="shared" si="122"/>
        <v>0.47866998697276458</v>
      </c>
      <c r="DC86" s="216">
        <f t="shared" si="123"/>
        <v>3.5748734498272352</v>
      </c>
      <c r="DD86" s="116">
        <f t="shared" si="124"/>
        <v>8929.8135758462504</v>
      </c>
      <c r="DE86" s="8">
        <f t="shared" si="125"/>
        <v>0.23088294729259529</v>
      </c>
      <c r="DF86" s="8">
        <f t="shared" si="126"/>
        <v>0.48050280674788498</v>
      </c>
      <c r="DG86" s="8">
        <f t="shared" si="127"/>
        <v>0.23088294729259529</v>
      </c>
      <c r="DH86" s="8">
        <f t="shared" si="128"/>
        <v>0.48050280674788498</v>
      </c>
      <c r="DI86" s="216">
        <f t="shared" si="129"/>
        <v>3.5730406300521151</v>
      </c>
      <c r="DJ86" s="116">
        <f t="shared" si="130"/>
        <v>8934.3941951575143</v>
      </c>
      <c r="DK86" s="8">
        <f t="shared" si="131"/>
        <v>0.2310013805474474</v>
      </c>
      <c r="DL86" s="8">
        <f t="shared" si="132"/>
        <v>0.48062602982719049</v>
      </c>
      <c r="DM86" s="8">
        <f t="shared" si="133"/>
        <v>0.2310013805474474</v>
      </c>
      <c r="DN86" s="8">
        <f t="shared" si="134"/>
        <v>0.48062602982719049</v>
      </c>
      <c r="DO86" s="216">
        <f t="shared" si="253"/>
        <v>3.5729174069728096</v>
      </c>
      <c r="DP86" s="116">
        <f t="shared" si="136"/>
        <v>8934.7023253041316</v>
      </c>
      <c r="DQ86" s="170">
        <f t="shared" si="137"/>
        <v>0.23100934734269979</v>
      </c>
      <c r="DR86" s="8">
        <f t="shared" si="138"/>
        <v>0.48063431769142306</v>
      </c>
      <c r="DS86" s="8">
        <f t="shared" si="139"/>
        <v>0.23100934734269979</v>
      </c>
      <c r="DT86" s="134">
        <f t="shared" si="140"/>
        <v>0.48063431769142306</v>
      </c>
      <c r="DU86" s="170">
        <f t="shared" si="254"/>
        <v>0.26897785437563354</v>
      </c>
      <c r="DV86" s="170">
        <f t="shared" si="255"/>
        <v>0.51863074954695232</v>
      </c>
      <c r="DW86" s="170">
        <f t="shared" si="255"/>
        <v>0.26897785437563354</v>
      </c>
      <c r="DX86" s="272">
        <f t="shared" si="255"/>
        <v>0.51863074954695232</v>
      </c>
      <c r="DY86" s="272">
        <f t="shared" si="142"/>
        <v>3.0162819377060952</v>
      </c>
      <c r="DZ86" s="22">
        <f t="shared" si="12"/>
        <v>202.56190944438291</v>
      </c>
      <c r="EA86" s="216">
        <f t="shared" si="13"/>
        <v>1.3271012872726482E-2</v>
      </c>
      <c r="EB86" s="12">
        <f t="shared" si="143"/>
        <v>2</v>
      </c>
      <c r="EC86" s="7">
        <f>ROUND(MAX(DV86,DX86)/'Inputs-Imperial'!$E$21,0)</f>
        <v>4</v>
      </c>
      <c r="ED86" s="12">
        <f t="shared" si="144"/>
        <v>4</v>
      </c>
      <c r="EE86" s="2">
        <f t="shared" si="145"/>
        <v>2</v>
      </c>
      <c r="EF86" s="127">
        <f t="shared" si="146"/>
        <v>2</v>
      </c>
      <c r="EG86" s="2">
        <f t="shared" si="147"/>
        <v>1.5748031496062995E-2</v>
      </c>
      <c r="EH86" s="8">
        <f t="shared" si="14"/>
        <v>0.13966126769838449</v>
      </c>
      <c r="EI86" s="138">
        <f t="shared" si="148"/>
        <v>0.25</v>
      </c>
      <c r="EJ86" s="12">
        <f t="shared" si="15"/>
        <v>11576.413124746481</v>
      </c>
      <c r="EK86" s="138">
        <f t="shared" si="149"/>
        <v>0.25</v>
      </c>
      <c r="EL86" s="116">
        <f t="shared" si="150"/>
        <v>2175570</v>
      </c>
      <c r="EM86" s="2">
        <f t="shared" si="16"/>
        <v>1.5748031496062995E-2</v>
      </c>
      <c r="EN86" s="8">
        <f t="shared" si="151"/>
        <v>4.0535434368000001</v>
      </c>
      <c r="EO86" s="116">
        <f t="shared" si="152"/>
        <v>2610.6840000000002</v>
      </c>
      <c r="EP86" s="217">
        <f t="shared" si="153"/>
        <v>0.98533775686315472</v>
      </c>
      <c r="EQ86" s="207">
        <f t="shared" si="154"/>
        <v>2</v>
      </c>
      <c r="ER86" s="144">
        <f t="shared" si="155"/>
        <v>40836.937573461626</v>
      </c>
      <c r="ES86" s="138">
        <f t="shared" si="17"/>
        <v>0.25</v>
      </c>
      <c r="ET86" s="116">
        <f t="shared" si="156"/>
        <v>2175570</v>
      </c>
      <c r="EU86" s="2">
        <f t="shared" si="18"/>
        <v>1.5748031496062995E-2</v>
      </c>
      <c r="EV86" s="8">
        <f t="shared" si="157"/>
        <v>4.0535434368000001</v>
      </c>
      <c r="EW86" s="116">
        <f t="shared" si="158"/>
        <v>2610.6840000000002</v>
      </c>
      <c r="EX86" s="217">
        <f t="shared" si="159"/>
        <v>0.98533775686315472</v>
      </c>
      <c r="EY86" s="207">
        <f t="shared" si="160"/>
        <v>2</v>
      </c>
      <c r="EZ86" s="144">
        <f t="shared" si="161"/>
        <v>40836.937573461626</v>
      </c>
      <c r="FA86" s="138">
        <f t="shared" si="19"/>
        <v>0.25</v>
      </c>
      <c r="FB86" s="116">
        <f t="shared" si="162"/>
        <v>2175570</v>
      </c>
      <c r="FC86" s="2">
        <f t="shared" si="20"/>
        <v>1.5748031496062995E-2</v>
      </c>
      <c r="FD86" s="8">
        <f t="shared" si="163"/>
        <v>4.0535434368000001</v>
      </c>
      <c r="FE86" s="116">
        <f t="shared" si="164"/>
        <v>2610.6840000000002</v>
      </c>
      <c r="FF86" s="217">
        <f t="shared" si="165"/>
        <v>0.98533775686315472</v>
      </c>
      <c r="FG86" s="207">
        <f t="shared" si="166"/>
        <v>2</v>
      </c>
      <c r="FH86" s="144">
        <f t="shared" si="167"/>
        <v>40836.937573461626</v>
      </c>
      <c r="FI86" s="128">
        <f t="shared" si="168"/>
        <v>0.25</v>
      </c>
      <c r="FJ86" s="2">
        <f t="shared" si="169"/>
        <v>1.5748031496062995E-2</v>
      </c>
      <c r="FK86" s="127">
        <f t="shared" si="170"/>
        <v>1.5748031496062995E-2</v>
      </c>
      <c r="FL86" s="216">
        <f t="shared" si="171"/>
        <v>0</v>
      </c>
      <c r="FM86" s="138">
        <f t="shared" si="172"/>
        <v>0.25</v>
      </c>
      <c r="FN86" s="138">
        <f t="shared" si="173"/>
        <v>0</v>
      </c>
      <c r="FO86" s="238">
        <f t="shared" si="174"/>
        <v>0</v>
      </c>
      <c r="FP86" s="216">
        <f t="shared" si="21"/>
        <v>0</v>
      </c>
      <c r="FQ86" s="138">
        <f t="shared" si="22"/>
        <v>0.25</v>
      </c>
      <c r="FR86" s="138">
        <f t="shared" si="23"/>
        <v>0</v>
      </c>
      <c r="FS86" s="238">
        <f t="shared" si="24"/>
        <v>0</v>
      </c>
      <c r="FT86" s="216">
        <f t="shared" si="175"/>
        <v>0</v>
      </c>
      <c r="FU86" s="138">
        <f t="shared" si="176"/>
        <v>1.5748031496062995E-2</v>
      </c>
      <c r="FV86" s="138">
        <f t="shared" si="177"/>
        <v>0</v>
      </c>
      <c r="FW86" s="238">
        <f t="shared" si="178"/>
        <v>0</v>
      </c>
      <c r="FX86" s="216">
        <f t="shared" si="25"/>
        <v>0</v>
      </c>
      <c r="FY86" s="138">
        <f t="shared" si="26"/>
        <v>1.5748031496062995E-2</v>
      </c>
      <c r="FZ86" s="138">
        <f t="shared" si="27"/>
        <v>0</v>
      </c>
      <c r="GA86" s="238">
        <f t="shared" si="28"/>
        <v>0</v>
      </c>
      <c r="GB86" s="216">
        <f t="shared" si="179"/>
        <v>0</v>
      </c>
      <c r="GC86" s="138">
        <f t="shared" si="180"/>
        <v>1.5748031496062995E-2</v>
      </c>
      <c r="GD86" s="138">
        <f t="shared" si="181"/>
        <v>0</v>
      </c>
      <c r="GE86" s="238">
        <f t="shared" si="182"/>
        <v>0</v>
      </c>
      <c r="GF86" s="216">
        <f t="shared" si="29"/>
        <v>0</v>
      </c>
      <c r="GG86" s="138">
        <f t="shared" si="30"/>
        <v>1.5748031496062995E-2</v>
      </c>
      <c r="GH86" s="138">
        <f t="shared" si="31"/>
        <v>0</v>
      </c>
      <c r="GI86" s="238">
        <f t="shared" si="32"/>
        <v>0</v>
      </c>
      <c r="GJ86" s="216">
        <f t="shared" si="183"/>
        <v>0.25</v>
      </c>
      <c r="GK86" s="216">
        <f t="shared" si="184"/>
        <v>1.5748031496062995E-2</v>
      </c>
      <c r="GL86" s="17">
        <f t="shared" si="185"/>
        <v>1.5748031496062995E-2</v>
      </c>
      <c r="GM86" s="216">
        <f t="shared" si="186"/>
        <v>6.8950286226517115E-3</v>
      </c>
      <c r="GN86" s="2">
        <f t="shared" si="187"/>
        <v>1</v>
      </c>
      <c r="GO86" s="2">
        <f t="shared" si="188"/>
        <v>2</v>
      </c>
      <c r="GP86" s="142">
        <f t="shared" si="189"/>
        <v>2</v>
      </c>
      <c r="GQ86" s="2">
        <f t="shared" si="190"/>
        <v>1.5748031496062995E-2</v>
      </c>
      <c r="GR86" s="8">
        <f t="shared" si="33"/>
        <v>7.2561789178518493E-2</v>
      </c>
      <c r="GS86" s="138">
        <f t="shared" si="191"/>
        <v>0.25</v>
      </c>
      <c r="GT86" s="12">
        <f t="shared" si="34"/>
        <v>6014.5898891264696</v>
      </c>
      <c r="GU86" s="138">
        <f t="shared" si="192"/>
        <v>0.25</v>
      </c>
      <c r="GV86" s="116">
        <f t="shared" si="193"/>
        <v>2175570</v>
      </c>
      <c r="GW86" s="2">
        <f t="shared" si="35"/>
        <v>1.5748031496062995E-2</v>
      </c>
      <c r="GX86" s="8">
        <f t="shared" si="36"/>
        <v>2.0267717184</v>
      </c>
      <c r="GY86" s="116">
        <f t="shared" si="194"/>
        <v>2610.6840000000002</v>
      </c>
      <c r="GZ86" s="217">
        <f t="shared" si="195"/>
        <v>3.9413510274526189</v>
      </c>
      <c r="HA86" s="207">
        <f t="shared" si="196"/>
        <v>2</v>
      </c>
      <c r="HB86" s="144">
        <f t="shared" si="197"/>
        <v>163347.7502938465</v>
      </c>
      <c r="HC86" s="138">
        <f t="shared" si="37"/>
        <v>0.25</v>
      </c>
      <c r="HD86" s="116">
        <f t="shared" si="198"/>
        <v>2175570</v>
      </c>
      <c r="HE86" s="2">
        <f t="shared" si="38"/>
        <v>1.5748031496062995E-2</v>
      </c>
      <c r="HF86" s="8">
        <f t="shared" si="199"/>
        <v>2.0267717184</v>
      </c>
      <c r="HG86" s="116">
        <f t="shared" si="200"/>
        <v>2610.6840000000002</v>
      </c>
      <c r="HH86" s="217">
        <f t="shared" si="201"/>
        <v>3.9413510274526189</v>
      </c>
      <c r="HI86" s="207">
        <f t="shared" si="202"/>
        <v>2</v>
      </c>
      <c r="HJ86" s="144">
        <f t="shared" si="203"/>
        <v>163347.7502938465</v>
      </c>
      <c r="HK86" s="138">
        <f t="shared" si="39"/>
        <v>0.25</v>
      </c>
      <c r="HL86" s="116">
        <f t="shared" si="204"/>
        <v>2175570</v>
      </c>
      <c r="HM86" s="2">
        <f t="shared" si="40"/>
        <v>1.5748031496062995E-2</v>
      </c>
      <c r="HN86" s="8">
        <f t="shared" si="205"/>
        <v>2.0267717184</v>
      </c>
      <c r="HO86" s="116">
        <f t="shared" si="206"/>
        <v>2610.6840000000002</v>
      </c>
      <c r="HP86" s="217">
        <f t="shared" si="207"/>
        <v>3.9413510274526189</v>
      </c>
      <c r="HQ86" s="207">
        <f t="shared" si="208"/>
        <v>2</v>
      </c>
      <c r="HR86" s="144">
        <f t="shared" si="209"/>
        <v>163347.7502938465</v>
      </c>
      <c r="HS86" s="128">
        <f t="shared" si="210"/>
        <v>0.25</v>
      </c>
      <c r="HT86" s="2">
        <f t="shared" si="211"/>
        <v>1.5748031496062995E-2</v>
      </c>
      <c r="HU86" s="127">
        <f t="shared" si="212"/>
        <v>1.5748031496062995E-2</v>
      </c>
      <c r="HV86" s="216">
        <f t="shared" si="213"/>
        <v>0</v>
      </c>
      <c r="HW86" s="138">
        <f t="shared" si="214"/>
        <v>0.25</v>
      </c>
      <c r="HX86" s="138">
        <f t="shared" si="215"/>
        <v>0</v>
      </c>
      <c r="HY86" s="238">
        <f t="shared" si="216"/>
        <v>0</v>
      </c>
      <c r="HZ86" s="138">
        <f t="shared" si="217"/>
        <v>0</v>
      </c>
      <c r="IA86" s="138">
        <f t="shared" si="218"/>
        <v>0.25</v>
      </c>
      <c r="IB86" s="138">
        <f t="shared" si="219"/>
        <v>0</v>
      </c>
      <c r="IC86" s="138">
        <f t="shared" si="220"/>
        <v>0</v>
      </c>
      <c r="ID86" s="216">
        <f t="shared" si="221"/>
        <v>0</v>
      </c>
      <c r="IE86" s="138">
        <f t="shared" si="222"/>
        <v>1.5748031496062995E-2</v>
      </c>
      <c r="IF86" s="138">
        <f t="shared" si="223"/>
        <v>0</v>
      </c>
      <c r="IG86" s="238">
        <f t="shared" si="224"/>
        <v>0</v>
      </c>
      <c r="IH86" s="138">
        <f t="shared" si="225"/>
        <v>0</v>
      </c>
      <c r="II86" s="138">
        <f t="shared" si="226"/>
        <v>1.5748031496062995E-2</v>
      </c>
      <c r="IJ86" s="138">
        <f t="shared" si="227"/>
        <v>0</v>
      </c>
      <c r="IK86" s="138">
        <f t="shared" si="228"/>
        <v>0</v>
      </c>
      <c r="IL86" s="216">
        <f t="shared" si="229"/>
        <v>0</v>
      </c>
      <c r="IM86" s="138">
        <f t="shared" si="230"/>
        <v>1.5748031496062995E-2</v>
      </c>
      <c r="IN86" s="138">
        <f t="shared" si="231"/>
        <v>0</v>
      </c>
      <c r="IO86" s="238">
        <f t="shared" si="232"/>
        <v>0</v>
      </c>
      <c r="IP86" s="138">
        <f t="shared" si="233"/>
        <v>0</v>
      </c>
      <c r="IQ86" s="138">
        <f t="shared" si="234"/>
        <v>1.5748031496062995E-2</v>
      </c>
      <c r="IR86" s="138">
        <f t="shared" si="235"/>
        <v>0</v>
      </c>
      <c r="IS86" s="138">
        <f t="shared" si="236"/>
        <v>0</v>
      </c>
      <c r="IT86" s="17">
        <f t="shared" si="237"/>
        <v>0.25</v>
      </c>
      <c r="IU86" s="17">
        <f t="shared" si="238"/>
        <v>1.5748031496062995E-2</v>
      </c>
      <c r="IV86" s="17">
        <f t="shared" si="239"/>
        <v>1.5748031496062995E-2</v>
      </c>
      <c r="IW86" s="253">
        <f t="shared" si="240"/>
        <v>11.259842880000001</v>
      </c>
      <c r="IX86" s="116">
        <f t="shared" si="241"/>
        <v>283.51153567961313</v>
      </c>
      <c r="IY86" s="8">
        <f t="shared" si="242"/>
        <v>7.330273850980772E-3</v>
      </c>
      <c r="IZ86" s="8">
        <f t="shared" si="243"/>
        <v>7.330273850980772E-3</v>
      </c>
      <c r="JA86" s="8">
        <f t="shared" si="244"/>
        <v>3.665136925490386E-3</v>
      </c>
      <c r="JB86" s="134">
        <f t="shared" si="245"/>
        <v>6.0540374342172562E-2</v>
      </c>
      <c r="JC86" s="170">
        <f t="shared" si="256"/>
        <v>4.2410538734210714E-3</v>
      </c>
      <c r="JD86" s="272">
        <f t="shared" si="257"/>
        <v>6.5123374247815752E-2</v>
      </c>
      <c r="JE86" s="8"/>
      <c r="JF86" s="8"/>
    </row>
    <row r="87" spans="1:266" x14ac:dyDescent="0.25">
      <c r="A87" s="186">
        <v>27</v>
      </c>
      <c r="B87" s="187">
        <f>A87/100*'Inputs-Imperial'!$E$5</f>
        <v>2.6574804000000003</v>
      </c>
      <c r="C87" s="188">
        <f>'Inputs-Imperial'!$E$10+('Inputs-Imperial'!$E$9-'Inputs-Imperial'!$E$10)*(100-A87)/100</f>
        <v>1.86679796</v>
      </c>
      <c r="D87" s="187">
        <f t="shared" si="248"/>
        <v>9.8425200000000324E-2</v>
      </c>
      <c r="E87" s="188">
        <f t="shared" si="249"/>
        <v>0.18422433857234463</v>
      </c>
      <c r="F87" s="423">
        <f>Loads!P47</f>
        <v>80.673593692428213</v>
      </c>
      <c r="G87" s="423">
        <f>Loads!M47</f>
        <v>806.73593692428153</v>
      </c>
      <c r="H87" s="423">
        <f>Loads!N47</f>
        <v>2579.4298302007892</v>
      </c>
      <c r="I87" s="423">
        <f>Loads!V47</f>
        <v>-692.06125924988567</v>
      </c>
      <c r="J87" s="423">
        <f>Loads!Q47</f>
        <v>257.942983020079</v>
      </c>
      <c r="K87" s="2">
        <v>27</v>
      </c>
      <c r="L87" s="12">
        <f t="shared" si="41"/>
        <v>31.889764800000002</v>
      </c>
      <c r="M87" s="11">
        <f t="shared" si="42"/>
        <v>22.401575520000002</v>
      </c>
      <c r="N87" s="11">
        <f t="shared" si="43"/>
        <v>1.1811024000000039</v>
      </c>
      <c r="O87" s="152">
        <f t="shared" si="44"/>
        <v>26.528304754417626</v>
      </c>
      <c r="P87" s="151">
        <f t="shared" si="45"/>
        <v>80.673593692428213</v>
      </c>
      <c r="Q87" s="12">
        <f t="shared" si="46"/>
        <v>806.73593692428153</v>
      </c>
      <c r="R87" s="12">
        <f t="shared" si="47"/>
        <v>30953.15796240947</v>
      </c>
      <c r="S87" s="12">
        <f t="shared" si="48"/>
        <v>-8304.7351109986284</v>
      </c>
      <c r="T87" s="152">
        <f t="shared" si="49"/>
        <v>3095.3157962409477</v>
      </c>
      <c r="U87" s="8">
        <f t="shared" si="0"/>
        <v>4.0322835935999999</v>
      </c>
      <c r="V87" s="8">
        <f t="shared" si="1"/>
        <v>4.0322835935999999</v>
      </c>
      <c r="W87" s="134">
        <f t="shared" si="2"/>
        <v>2.0161417967999999</v>
      </c>
      <c r="X87" s="311">
        <f t="shared" si="3"/>
        <v>5.6003938800000004</v>
      </c>
      <c r="Y87" s="11">
        <f t="shared" si="4"/>
        <v>16.801181640000003</v>
      </c>
      <c r="Z87" s="11">
        <f t="shared" si="5"/>
        <v>11.200787760000003</v>
      </c>
      <c r="AA87" s="316">
        <f t="shared" si="50"/>
        <v>16.801181640000003</v>
      </c>
      <c r="AB87" s="170">
        <f t="shared" si="51"/>
        <v>3.0242126952000001</v>
      </c>
      <c r="AC87" s="11">
        <f t="shared" si="52"/>
        <v>16.801181640000003</v>
      </c>
      <c r="AD87" s="152">
        <f t="shared" si="53"/>
        <v>39.906353066200012</v>
      </c>
      <c r="AE87" s="151">
        <f t="shared" si="6"/>
        <v>4.8016618962300681</v>
      </c>
      <c r="AF87" s="12">
        <f t="shared" si="54"/>
        <v>104.05279451647756</v>
      </c>
      <c r="AG87" s="216">
        <f t="shared" si="7"/>
        <v>7.1316907323256181E-3</v>
      </c>
      <c r="AH87" s="2">
        <f t="shared" si="55"/>
        <v>1</v>
      </c>
      <c r="AI87" s="2">
        <f t="shared" si="56"/>
        <v>3</v>
      </c>
      <c r="AJ87" s="127">
        <f t="shared" si="57"/>
        <v>2</v>
      </c>
      <c r="AK87" s="2">
        <f t="shared" si="58"/>
        <v>1.5748031496062995E-2</v>
      </c>
      <c r="AL87" s="8">
        <f t="shared" si="8"/>
        <v>7.5052370008347899E-2</v>
      </c>
      <c r="AM87" s="138">
        <f t="shared" si="59"/>
        <v>0.25</v>
      </c>
      <c r="AN87" s="12">
        <f t="shared" si="9"/>
        <v>6221.0321839862399</v>
      </c>
      <c r="AO87" s="138">
        <f t="shared" si="60"/>
        <v>0.25</v>
      </c>
      <c r="AP87" s="116">
        <f t="shared" si="61"/>
        <v>2175570</v>
      </c>
      <c r="AQ87" s="2">
        <f t="shared" si="62"/>
        <v>1.5748031496062995E-2</v>
      </c>
      <c r="AR87" s="8">
        <f t="shared" si="63"/>
        <v>11.200787760000003</v>
      </c>
      <c r="AS87" s="116">
        <f t="shared" si="64"/>
        <v>2610.6840000000002</v>
      </c>
      <c r="AT87" s="217">
        <f t="shared" si="65"/>
        <v>0.12904989366829311</v>
      </c>
      <c r="AU87" s="207">
        <f t="shared" si="66"/>
        <v>3.616979062536501</v>
      </c>
      <c r="AV87" s="144">
        <f t="shared" si="67"/>
        <v>9672.5657746101278</v>
      </c>
      <c r="AW87" s="138">
        <f t="shared" si="68"/>
        <v>0.25</v>
      </c>
      <c r="AX87" s="116">
        <f t="shared" si="69"/>
        <v>2175570</v>
      </c>
      <c r="AY87" s="2">
        <f t="shared" si="70"/>
        <v>1.5748031496062995E-2</v>
      </c>
      <c r="AZ87" s="8">
        <f t="shared" si="71"/>
        <v>11.200787760000003</v>
      </c>
      <c r="BA87" s="116">
        <f t="shared" si="72"/>
        <v>2610.6840000000002</v>
      </c>
      <c r="BB87" s="217">
        <f t="shared" si="73"/>
        <v>0.12904989366829311</v>
      </c>
      <c r="BC87" s="207">
        <f t="shared" si="74"/>
        <v>3.616979062536501</v>
      </c>
      <c r="BD87" s="144">
        <f t="shared" si="75"/>
        <v>9672.5657746101278</v>
      </c>
      <c r="BE87" s="138">
        <f t="shared" si="76"/>
        <v>0.25</v>
      </c>
      <c r="BF87" s="116">
        <f t="shared" si="77"/>
        <v>2175570</v>
      </c>
      <c r="BG87" s="2">
        <f t="shared" si="78"/>
        <v>1.5748031496062995E-2</v>
      </c>
      <c r="BH87" s="8">
        <f t="shared" si="79"/>
        <v>11.200787760000003</v>
      </c>
      <c r="BI87" s="116">
        <f t="shared" si="80"/>
        <v>2610.6840000000002</v>
      </c>
      <c r="BJ87" s="217">
        <f t="shared" si="81"/>
        <v>0.12904989366829311</v>
      </c>
      <c r="BK87" s="207">
        <f t="shared" si="82"/>
        <v>3.616979062536501</v>
      </c>
      <c r="BL87" s="144">
        <f t="shared" si="83"/>
        <v>9672.5657746101278</v>
      </c>
      <c r="BM87" s="216">
        <f t="shared" si="84"/>
        <v>0.25</v>
      </c>
      <c r="BN87" s="216">
        <f t="shared" si="85"/>
        <v>2.3622047244094495E-2</v>
      </c>
      <c r="BO87" s="238">
        <f t="shared" si="86"/>
        <v>1.5748031496062995E-2</v>
      </c>
      <c r="BP87" s="216">
        <f t="shared" si="87"/>
        <v>0</v>
      </c>
      <c r="BQ87" s="138">
        <f t="shared" si="88"/>
        <v>0.25</v>
      </c>
      <c r="BR87" s="138">
        <f t="shared" si="89"/>
        <v>0</v>
      </c>
      <c r="BS87" s="238">
        <f t="shared" si="90"/>
        <v>0</v>
      </c>
      <c r="BT87" s="138">
        <f t="shared" si="91"/>
        <v>0</v>
      </c>
      <c r="BU87" s="138">
        <f t="shared" si="92"/>
        <v>0.25</v>
      </c>
      <c r="BV87" s="138">
        <f t="shared" si="93"/>
        <v>0</v>
      </c>
      <c r="BW87" s="238">
        <f t="shared" si="94"/>
        <v>0</v>
      </c>
      <c r="BX87" s="216">
        <f t="shared" si="95"/>
        <v>0</v>
      </c>
      <c r="BY87" s="138">
        <f t="shared" si="96"/>
        <v>2.3622047244094495E-2</v>
      </c>
      <c r="BZ87" s="138">
        <f t="shared" si="97"/>
        <v>0</v>
      </c>
      <c r="CA87" s="238">
        <f t="shared" si="98"/>
        <v>0</v>
      </c>
      <c r="CB87" s="138">
        <f t="shared" si="99"/>
        <v>0</v>
      </c>
      <c r="CC87" s="138">
        <f t="shared" si="100"/>
        <v>2.3622047244094495E-2</v>
      </c>
      <c r="CD87" s="138">
        <f t="shared" si="101"/>
        <v>0</v>
      </c>
      <c r="CE87" s="238">
        <f t="shared" si="102"/>
        <v>0</v>
      </c>
      <c r="CF87" s="216">
        <f t="shared" si="103"/>
        <v>0</v>
      </c>
      <c r="CG87" s="138">
        <f t="shared" si="104"/>
        <v>1.5748031496062995E-2</v>
      </c>
      <c r="CH87" s="138">
        <f t="shared" si="105"/>
        <v>0</v>
      </c>
      <c r="CI87" s="238">
        <f t="shared" si="106"/>
        <v>0</v>
      </c>
      <c r="CJ87" s="138">
        <f t="shared" si="107"/>
        <v>0</v>
      </c>
      <c r="CK87" s="138">
        <f t="shared" si="108"/>
        <v>1.5748031496062995E-2</v>
      </c>
      <c r="CL87" s="138">
        <f t="shared" si="109"/>
        <v>0</v>
      </c>
      <c r="CM87" s="238">
        <f t="shared" si="110"/>
        <v>0</v>
      </c>
      <c r="CN87" s="17">
        <f t="shared" si="111"/>
        <v>0.25</v>
      </c>
      <c r="CO87" s="17">
        <f t="shared" si="112"/>
        <v>2.3622047244094495E-2</v>
      </c>
      <c r="CP87" s="17">
        <f t="shared" si="113"/>
        <v>1.5748031496062995E-2</v>
      </c>
      <c r="CQ87" s="17">
        <f>$U87-IF('Inputs-Imperial'!$E$13,0,2)*($CO87+$CN87+$CP87)</f>
        <v>4.0322835935999999</v>
      </c>
      <c r="CR87" s="116">
        <f t="shared" si="114"/>
        <v>7676.3345741698358</v>
      </c>
      <c r="CS87" s="8">
        <f t="shared" si="10"/>
        <v>0.19847388031506835</v>
      </c>
      <c r="CT87" s="8">
        <f t="shared" si="115"/>
        <v>0.44550407440905448</v>
      </c>
      <c r="CU87" s="8">
        <f t="shared" si="11"/>
        <v>0.19847388031506835</v>
      </c>
      <c r="CV87" s="8">
        <f t="shared" si="116"/>
        <v>0.44550407440905448</v>
      </c>
      <c r="CW87" s="216">
        <f t="shared" si="117"/>
        <v>3.5867795191909453</v>
      </c>
      <c r="CX87" s="116">
        <f t="shared" si="118"/>
        <v>8629.7910972212321</v>
      </c>
      <c r="CY87" s="8">
        <f t="shared" si="119"/>
        <v>0.22312577817247631</v>
      </c>
      <c r="CZ87" s="8">
        <f t="shared" si="120"/>
        <v>0.4723619143966587</v>
      </c>
      <c r="DA87" s="8">
        <f t="shared" si="121"/>
        <v>0.22312577817247631</v>
      </c>
      <c r="DB87" s="8">
        <f t="shared" si="122"/>
        <v>0.4723619143966587</v>
      </c>
      <c r="DC87" s="216">
        <f t="shared" si="123"/>
        <v>3.5599216792033408</v>
      </c>
      <c r="DD87" s="116">
        <f t="shared" si="124"/>
        <v>8694.8985825262153</v>
      </c>
      <c r="DE87" s="8">
        <f t="shared" si="125"/>
        <v>0.22480915128775428</v>
      </c>
      <c r="DF87" s="8">
        <f t="shared" si="126"/>
        <v>0.47414043414135676</v>
      </c>
      <c r="DG87" s="8">
        <f t="shared" si="127"/>
        <v>0.22480915128775428</v>
      </c>
      <c r="DH87" s="8">
        <f t="shared" si="128"/>
        <v>0.47414043414135676</v>
      </c>
      <c r="DI87" s="216">
        <f t="shared" si="129"/>
        <v>3.558143159458643</v>
      </c>
      <c r="DJ87" s="116">
        <f t="shared" si="130"/>
        <v>8699.2446833192807</v>
      </c>
      <c r="DK87" s="8">
        <f t="shared" si="131"/>
        <v>0.224921520997582</v>
      </c>
      <c r="DL87" s="8">
        <f t="shared" si="132"/>
        <v>0.47425891767849976</v>
      </c>
      <c r="DM87" s="8">
        <f t="shared" si="133"/>
        <v>0.224921520997582</v>
      </c>
      <c r="DN87" s="8">
        <f t="shared" si="134"/>
        <v>0.47425891767849976</v>
      </c>
      <c r="DO87" s="216">
        <f t="shared" si="253"/>
        <v>3.5580246759214997</v>
      </c>
      <c r="DP87" s="116">
        <f t="shared" si="136"/>
        <v>8699.5343713834282</v>
      </c>
      <c r="DQ87" s="170">
        <f t="shared" si="137"/>
        <v>0.22492901096738685</v>
      </c>
      <c r="DR87" s="8">
        <f t="shared" si="138"/>
        <v>0.47426681411141014</v>
      </c>
      <c r="DS87" s="8">
        <f t="shared" si="139"/>
        <v>0.22492901096738685</v>
      </c>
      <c r="DT87" s="134">
        <f t="shared" si="140"/>
        <v>0.47426681411141014</v>
      </c>
      <c r="DU87" s="170">
        <f t="shared" si="254"/>
        <v>0.26897785437563354</v>
      </c>
      <c r="DV87" s="170">
        <f t="shared" si="255"/>
        <v>0.51863074954695232</v>
      </c>
      <c r="DW87" s="170">
        <f t="shared" si="255"/>
        <v>0.26897785437563354</v>
      </c>
      <c r="DX87" s="272">
        <f t="shared" si="255"/>
        <v>0.51863074954695232</v>
      </c>
      <c r="DY87" s="272">
        <f t="shared" si="142"/>
        <v>2.995022094506095</v>
      </c>
      <c r="DZ87" s="22">
        <f t="shared" si="12"/>
        <v>200.06924567625271</v>
      </c>
      <c r="EA87" s="216">
        <f t="shared" si="13"/>
        <v>1.3107703921675555E-2</v>
      </c>
      <c r="EB87" s="12">
        <f t="shared" si="143"/>
        <v>2</v>
      </c>
      <c r="EC87" s="7">
        <f>ROUND(MAX(DV87,DX87)/'Inputs-Imperial'!$E$21,0)</f>
        <v>4</v>
      </c>
      <c r="ED87" s="12">
        <f t="shared" si="144"/>
        <v>4</v>
      </c>
      <c r="EE87" s="2">
        <f t="shared" si="145"/>
        <v>2</v>
      </c>
      <c r="EF87" s="127">
        <f t="shared" si="146"/>
        <v>2</v>
      </c>
      <c r="EG87" s="2">
        <f t="shared" si="147"/>
        <v>1.5748031496062995E-2</v>
      </c>
      <c r="EH87" s="8">
        <f t="shared" si="14"/>
        <v>0.13794263963668327</v>
      </c>
      <c r="EI87" s="138">
        <f t="shared" si="148"/>
        <v>0.25</v>
      </c>
      <c r="EJ87" s="12">
        <f t="shared" si="15"/>
        <v>11433.95739039784</v>
      </c>
      <c r="EK87" s="138">
        <f t="shared" si="149"/>
        <v>0.25</v>
      </c>
      <c r="EL87" s="116">
        <f t="shared" si="150"/>
        <v>2175570</v>
      </c>
      <c r="EM87" s="2">
        <f t="shared" si="16"/>
        <v>1.5748031496062995E-2</v>
      </c>
      <c r="EN87" s="8">
        <f t="shared" si="151"/>
        <v>4.0322835935999999</v>
      </c>
      <c r="EO87" s="116">
        <f t="shared" si="152"/>
        <v>2610.6840000000002</v>
      </c>
      <c r="EP87" s="217">
        <f t="shared" si="153"/>
        <v>0.99575535237880541</v>
      </c>
      <c r="EQ87" s="207">
        <f t="shared" si="154"/>
        <v>2</v>
      </c>
      <c r="ER87" s="144">
        <f t="shared" si="155"/>
        <v>41268.690741119128</v>
      </c>
      <c r="ES87" s="138">
        <f t="shared" si="17"/>
        <v>0.25</v>
      </c>
      <c r="ET87" s="116">
        <f t="shared" si="156"/>
        <v>2175570</v>
      </c>
      <c r="EU87" s="2">
        <f t="shared" si="18"/>
        <v>1.5748031496062995E-2</v>
      </c>
      <c r="EV87" s="8">
        <f t="shared" si="157"/>
        <v>4.0322835935999999</v>
      </c>
      <c r="EW87" s="116">
        <f t="shared" si="158"/>
        <v>2610.6840000000002</v>
      </c>
      <c r="EX87" s="217">
        <f t="shared" si="159"/>
        <v>0.99575535237880541</v>
      </c>
      <c r="EY87" s="207">
        <f t="shared" si="160"/>
        <v>2</v>
      </c>
      <c r="EZ87" s="144">
        <f t="shared" si="161"/>
        <v>41268.690741119128</v>
      </c>
      <c r="FA87" s="138">
        <f t="shared" si="19"/>
        <v>0.25</v>
      </c>
      <c r="FB87" s="116">
        <f t="shared" si="162"/>
        <v>2175570</v>
      </c>
      <c r="FC87" s="2">
        <f t="shared" si="20"/>
        <v>1.5748031496062995E-2</v>
      </c>
      <c r="FD87" s="8">
        <f t="shared" si="163"/>
        <v>4.0322835935999999</v>
      </c>
      <c r="FE87" s="116">
        <f t="shared" si="164"/>
        <v>2610.6840000000002</v>
      </c>
      <c r="FF87" s="217">
        <f t="shared" si="165"/>
        <v>0.99575535237880541</v>
      </c>
      <c r="FG87" s="207">
        <f t="shared" si="166"/>
        <v>2</v>
      </c>
      <c r="FH87" s="144">
        <f t="shared" si="167"/>
        <v>41268.690741119128</v>
      </c>
      <c r="FI87" s="128">
        <f t="shared" si="168"/>
        <v>0.25</v>
      </c>
      <c r="FJ87" s="2">
        <f t="shared" si="169"/>
        <v>1.5748031496062995E-2</v>
      </c>
      <c r="FK87" s="127">
        <f t="shared" si="170"/>
        <v>1.5748031496062995E-2</v>
      </c>
      <c r="FL87" s="216">
        <f t="shared" si="171"/>
        <v>0</v>
      </c>
      <c r="FM87" s="138">
        <f t="shared" si="172"/>
        <v>0.25</v>
      </c>
      <c r="FN87" s="138">
        <f t="shared" si="173"/>
        <v>0</v>
      </c>
      <c r="FO87" s="238">
        <f t="shared" si="174"/>
        <v>0</v>
      </c>
      <c r="FP87" s="216">
        <f t="shared" si="21"/>
        <v>0</v>
      </c>
      <c r="FQ87" s="138">
        <f t="shared" si="22"/>
        <v>0.25</v>
      </c>
      <c r="FR87" s="138">
        <f t="shared" si="23"/>
        <v>0</v>
      </c>
      <c r="FS87" s="238">
        <f t="shared" si="24"/>
        <v>0</v>
      </c>
      <c r="FT87" s="216">
        <f t="shared" si="175"/>
        <v>0</v>
      </c>
      <c r="FU87" s="138">
        <f t="shared" si="176"/>
        <v>1.5748031496062995E-2</v>
      </c>
      <c r="FV87" s="138">
        <f t="shared" si="177"/>
        <v>0</v>
      </c>
      <c r="FW87" s="238">
        <f t="shared" si="178"/>
        <v>0</v>
      </c>
      <c r="FX87" s="216">
        <f t="shared" si="25"/>
        <v>0</v>
      </c>
      <c r="FY87" s="138">
        <f t="shared" si="26"/>
        <v>1.5748031496062995E-2</v>
      </c>
      <c r="FZ87" s="138">
        <f t="shared" si="27"/>
        <v>0</v>
      </c>
      <c r="GA87" s="238">
        <f t="shared" si="28"/>
        <v>0</v>
      </c>
      <c r="GB87" s="216">
        <f t="shared" si="179"/>
        <v>0</v>
      </c>
      <c r="GC87" s="138">
        <f t="shared" si="180"/>
        <v>1.5748031496062995E-2</v>
      </c>
      <c r="GD87" s="138">
        <f t="shared" si="181"/>
        <v>0</v>
      </c>
      <c r="GE87" s="238">
        <f t="shared" si="182"/>
        <v>0</v>
      </c>
      <c r="GF87" s="216">
        <f t="shared" si="29"/>
        <v>0</v>
      </c>
      <c r="GG87" s="138">
        <f t="shared" si="30"/>
        <v>1.5748031496062995E-2</v>
      </c>
      <c r="GH87" s="138">
        <f t="shared" si="31"/>
        <v>0</v>
      </c>
      <c r="GI87" s="238">
        <f t="shared" si="32"/>
        <v>0</v>
      </c>
      <c r="GJ87" s="216">
        <f t="shared" si="183"/>
        <v>0.25</v>
      </c>
      <c r="GK87" s="216">
        <f t="shared" si="184"/>
        <v>1.5748031496062995E-2</v>
      </c>
      <c r="GL87" s="17">
        <f t="shared" si="185"/>
        <v>1.5748031496062995E-2</v>
      </c>
      <c r="GM87" s="216">
        <f t="shared" si="186"/>
        <v>6.8171058382054048E-3</v>
      </c>
      <c r="GN87" s="2">
        <f t="shared" si="187"/>
        <v>1</v>
      </c>
      <c r="GO87" s="2">
        <f t="shared" si="188"/>
        <v>2</v>
      </c>
      <c r="GP87" s="142">
        <f t="shared" si="189"/>
        <v>2</v>
      </c>
      <c r="GQ87" s="2">
        <f t="shared" si="190"/>
        <v>1.5748031496062995E-2</v>
      </c>
      <c r="GR87" s="8">
        <f t="shared" si="33"/>
        <v>7.1741746657067493E-2</v>
      </c>
      <c r="GS87" s="138">
        <f t="shared" si="191"/>
        <v>0.25</v>
      </c>
      <c r="GT87" s="12">
        <f t="shared" si="34"/>
        <v>5946.617206616691</v>
      </c>
      <c r="GU87" s="138">
        <f t="shared" si="192"/>
        <v>0.25</v>
      </c>
      <c r="GV87" s="116">
        <f t="shared" si="193"/>
        <v>2175570</v>
      </c>
      <c r="GW87" s="2">
        <f t="shared" si="35"/>
        <v>1.5748031496062995E-2</v>
      </c>
      <c r="GX87" s="8">
        <f t="shared" si="36"/>
        <v>2.0161417967999999</v>
      </c>
      <c r="GY87" s="116">
        <f t="shared" si="194"/>
        <v>2610.6840000000002</v>
      </c>
      <c r="GZ87" s="217">
        <f t="shared" si="195"/>
        <v>3.9830214095152217</v>
      </c>
      <c r="HA87" s="207">
        <f t="shared" si="196"/>
        <v>2</v>
      </c>
      <c r="HB87" s="144">
        <f t="shared" si="197"/>
        <v>165074.76296447651</v>
      </c>
      <c r="HC87" s="138">
        <f t="shared" si="37"/>
        <v>0.25</v>
      </c>
      <c r="HD87" s="116">
        <f t="shared" si="198"/>
        <v>2175570</v>
      </c>
      <c r="HE87" s="2">
        <f t="shared" si="38"/>
        <v>1.5748031496062995E-2</v>
      </c>
      <c r="HF87" s="8">
        <f t="shared" si="199"/>
        <v>2.0161417967999999</v>
      </c>
      <c r="HG87" s="116">
        <f t="shared" si="200"/>
        <v>2610.6840000000002</v>
      </c>
      <c r="HH87" s="217">
        <f t="shared" si="201"/>
        <v>3.9830214095152217</v>
      </c>
      <c r="HI87" s="207">
        <f t="shared" si="202"/>
        <v>2</v>
      </c>
      <c r="HJ87" s="144">
        <f t="shared" si="203"/>
        <v>165074.76296447651</v>
      </c>
      <c r="HK87" s="138">
        <f t="shared" si="39"/>
        <v>0.25</v>
      </c>
      <c r="HL87" s="116">
        <f t="shared" si="204"/>
        <v>2175570</v>
      </c>
      <c r="HM87" s="2">
        <f t="shared" si="40"/>
        <v>1.5748031496062995E-2</v>
      </c>
      <c r="HN87" s="8">
        <f t="shared" si="205"/>
        <v>2.0161417967999999</v>
      </c>
      <c r="HO87" s="116">
        <f t="shared" si="206"/>
        <v>2610.6840000000002</v>
      </c>
      <c r="HP87" s="217">
        <f t="shared" si="207"/>
        <v>3.9830214095152217</v>
      </c>
      <c r="HQ87" s="207">
        <f t="shared" si="208"/>
        <v>2</v>
      </c>
      <c r="HR87" s="144">
        <f t="shared" si="209"/>
        <v>165074.76296447651</v>
      </c>
      <c r="HS87" s="128">
        <f t="shared" si="210"/>
        <v>0.25</v>
      </c>
      <c r="HT87" s="2">
        <f t="shared" si="211"/>
        <v>1.5748031496062995E-2</v>
      </c>
      <c r="HU87" s="127">
        <f t="shared" si="212"/>
        <v>1.5748031496062995E-2</v>
      </c>
      <c r="HV87" s="216">
        <f t="shared" si="213"/>
        <v>0</v>
      </c>
      <c r="HW87" s="138">
        <f t="shared" si="214"/>
        <v>0.25</v>
      </c>
      <c r="HX87" s="138">
        <f t="shared" si="215"/>
        <v>0</v>
      </c>
      <c r="HY87" s="238">
        <f t="shared" si="216"/>
        <v>0</v>
      </c>
      <c r="HZ87" s="138">
        <f t="shared" si="217"/>
        <v>0</v>
      </c>
      <c r="IA87" s="138">
        <f t="shared" si="218"/>
        <v>0.25</v>
      </c>
      <c r="IB87" s="138">
        <f t="shared" si="219"/>
        <v>0</v>
      </c>
      <c r="IC87" s="138">
        <f t="shared" si="220"/>
        <v>0</v>
      </c>
      <c r="ID87" s="216">
        <f t="shared" si="221"/>
        <v>0</v>
      </c>
      <c r="IE87" s="138">
        <f t="shared" si="222"/>
        <v>1.5748031496062995E-2</v>
      </c>
      <c r="IF87" s="138">
        <f t="shared" si="223"/>
        <v>0</v>
      </c>
      <c r="IG87" s="238">
        <f t="shared" si="224"/>
        <v>0</v>
      </c>
      <c r="IH87" s="138">
        <f t="shared" si="225"/>
        <v>0</v>
      </c>
      <c r="II87" s="138">
        <f t="shared" si="226"/>
        <v>1.5748031496062995E-2</v>
      </c>
      <c r="IJ87" s="138">
        <f t="shared" si="227"/>
        <v>0</v>
      </c>
      <c r="IK87" s="138">
        <f t="shared" si="228"/>
        <v>0</v>
      </c>
      <c r="IL87" s="216">
        <f t="shared" si="229"/>
        <v>0</v>
      </c>
      <c r="IM87" s="138">
        <f t="shared" si="230"/>
        <v>1.5748031496062995E-2</v>
      </c>
      <c r="IN87" s="138">
        <f t="shared" si="231"/>
        <v>0</v>
      </c>
      <c r="IO87" s="238">
        <f t="shared" si="232"/>
        <v>0</v>
      </c>
      <c r="IP87" s="138">
        <f t="shared" si="233"/>
        <v>0</v>
      </c>
      <c r="IQ87" s="138">
        <f t="shared" si="234"/>
        <v>1.5748031496062995E-2</v>
      </c>
      <c r="IR87" s="138">
        <f t="shared" si="235"/>
        <v>0</v>
      </c>
      <c r="IS87" s="138">
        <f t="shared" si="236"/>
        <v>0</v>
      </c>
      <c r="IT87" s="17">
        <f t="shared" si="237"/>
        <v>0.25</v>
      </c>
      <c r="IU87" s="17">
        <f t="shared" si="238"/>
        <v>1.5748031496062995E-2</v>
      </c>
      <c r="IV87" s="17">
        <f t="shared" si="239"/>
        <v>1.5748031496062995E-2</v>
      </c>
      <c r="IW87" s="253">
        <f t="shared" si="240"/>
        <v>11.200787760000003</v>
      </c>
      <c r="IX87" s="116">
        <f t="shared" si="241"/>
        <v>276.34804467011406</v>
      </c>
      <c r="IY87" s="8">
        <f t="shared" si="242"/>
        <v>7.1450596913424595E-3</v>
      </c>
      <c r="IZ87" s="8">
        <f t="shared" si="243"/>
        <v>7.1450596913424595E-3</v>
      </c>
      <c r="JA87" s="8">
        <f t="shared" si="244"/>
        <v>3.5725298456712297E-3</v>
      </c>
      <c r="JB87" s="134">
        <f t="shared" si="245"/>
        <v>5.9770643677906209E-2</v>
      </c>
      <c r="JC87" s="170">
        <f t="shared" si="256"/>
        <v>4.2410538734210714E-3</v>
      </c>
      <c r="JD87" s="272">
        <f t="shared" si="257"/>
        <v>6.5123374247815752E-2</v>
      </c>
      <c r="JE87" s="8"/>
      <c r="JF87" s="8"/>
    </row>
    <row r="88" spans="1:266" x14ac:dyDescent="0.25">
      <c r="A88" s="186">
        <v>28</v>
      </c>
      <c r="B88" s="187">
        <f>A88/100*'Inputs-Imperial'!$E$5</f>
        <v>2.7559056000000002</v>
      </c>
      <c r="C88" s="188">
        <f>'Inputs-Imperial'!$E$10+('Inputs-Imperial'!$E$9-'Inputs-Imperial'!$E$10)*(100-A88)/100</f>
        <v>1.8569554400000001</v>
      </c>
      <c r="D88" s="187">
        <f t="shared" si="248"/>
        <v>9.8425199999999879E-2</v>
      </c>
      <c r="E88" s="188">
        <f t="shared" si="249"/>
        <v>0.18325558657283977</v>
      </c>
      <c r="F88" s="423">
        <f>Loads!P48</f>
        <v>79.243638589830752</v>
      </c>
      <c r="G88" s="423">
        <f>Loads!M48</f>
        <v>792.43638589830698</v>
      </c>
      <c r="H88" s="423">
        <f>Loads!N48</f>
        <v>2500.0266842618294</v>
      </c>
      <c r="I88" s="423">
        <f>Loads!V48</f>
        <v>-676.87419634972912</v>
      </c>
      <c r="J88" s="423">
        <f>Loads!Q48</f>
        <v>250.00266842618305</v>
      </c>
      <c r="K88" s="2">
        <v>28</v>
      </c>
      <c r="L88" s="12">
        <f t="shared" si="41"/>
        <v>33.070867200000002</v>
      </c>
      <c r="M88" s="11">
        <f t="shared" si="42"/>
        <v>22.283465280000001</v>
      </c>
      <c r="N88" s="11">
        <f t="shared" si="43"/>
        <v>1.1811023999999986</v>
      </c>
      <c r="O88" s="152">
        <f t="shared" si="44"/>
        <v>26.388804466488928</v>
      </c>
      <c r="P88" s="151">
        <f t="shared" si="45"/>
        <v>79.243638589830752</v>
      </c>
      <c r="Q88" s="12">
        <f t="shared" si="46"/>
        <v>792.43638589830698</v>
      </c>
      <c r="R88" s="12">
        <f t="shared" si="47"/>
        <v>30000.320211141952</v>
      </c>
      <c r="S88" s="12">
        <f t="shared" si="48"/>
        <v>-8122.4903561967494</v>
      </c>
      <c r="T88" s="152">
        <f t="shared" si="49"/>
        <v>3000.0320211141966</v>
      </c>
      <c r="U88" s="8">
        <f t="shared" si="0"/>
        <v>4.0110237503999997</v>
      </c>
      <c r="V88" s="8">
        <f t="shared" si="1"/>
        <v>4.0110237503999997</v>
      </c>
      <c r="W88" s="134">
        <f t="shared" si="2"/>
        <v>2.0055118751999998</v>
      </c>
      <c r="X88" s="311">
        <f t="shared" si="3"/>
        <v>5.5708663200000004</v>
      </c>
      <c r="Y88" s="11">
        <f t="shared" si="4"/>
        <v>16.712598960000001</v>
      </c>
      <c r="Z88" s="11">
        <f t="shared" si="5"/>
        <v>11.141732640000001</v>
      </c>
      <c r="AA88" s="316">
        <f t="shared" si="50"/>
        <v>16.712598960000001</v>
      </c>
      <c r="AB88" s="170">
        <f t="shared" si="51"/>
        <v>3.0082678127999998</v>
      </c>
      <c r="AC88" s="11">
        <f t="shared" si="52"/>
        <v>16.712598960000001</v>
      </c>
      <c r="AD88" s="152">
        <f t="shared" si="53"/>
        <v>39.486657265314747</v>
      </c>
      <c r="AE88" s="151">
        <f t="shared" si="6"/>
        <v>4.7415508969905149</v>
      </c>
      <c r="AF88" s="12">
        <f t="shared" si="54"/>
        <v>102.85107576492149</v>
      </c>
      <c r="AG88" s="216">
        <f t="shared" si="7"/>
        <v>7.0490209011025082E-3</v>
      </c>
      <c r="AH88" s="2">
        <f t="shared" si="55"/>
        <v>1</v>
      </c>
      <c r="AI88" s="2">
        <f t="shared" si="56"/>
        <v>3</v>
      </c>
      <c r="AJ88" s="127">
        <f t="shared" si="57"/>
        <v>2</v>
      </c>
      <c r="AK88" s="2">
        <f t="shared" si="58"/>
        <v>1.5748031496062995E-2</v>
      </c>
      <c r="AL88" s="8">
        <f t="shared" si="8"/>
        <v>7.4182370593852645E-2</v>
      </c>
      <c r="AM88" s="138">
        <f t="shared" si="59"/>
        <v>0.25</v>
      </c>
      <c r="AN88" s="12">
        <f t="shared" si="9"/>
        <v>6148.9186137282695</v>
      </c>
      <c r="AO88" s="138">
        <f t="shared" si="60"/>
        <v>0.25</v>
      </c>
      <c r="AP88" s="116">
        <f t="shared" si="61"/>
        <v>2175570</v>
      </c>
      <c r="AQ88" s="2">
        <f t="shared" si="62"/>
        <v>1.5748031496062995E-2</v>
      </c>
      <c r="AR88" s="8">
        <f t="shared" si="63"/>
        <v>11.141732640000001</v>
      </c>
      <c r="AS88" s="116">
        <f t="shared" si="64"/>
        <v>2610.6840000000002</v>
      </c>
      <c r="AT88" s="217">
        <f t="shared" si="65"/>
        <v>0.1304215392374117</v>
      </c>
      <c r="AU88" s="207">
        <f t="shared" si="66"/>
        <v>3.6048864251153696</v>
      </c>
      <c r="AV88" s="144">
        <f t="shared" si="67"/>
        <v>9742.6915632380842</v>
      </c>
      <c r="AW88" s="138">
        <f t="shared" si="68"/>
        <v>0.25</v>
      </c>
      <c r="AX88" s="116">
        <f t="shared" si="69"/>
        <v>2175570</v>
      </c>
      <c r="AY88" s="2">
        <f t="shared" si="70"/>
        <v>1.5748031496062995E-2</v>
      </c>
      <c r="AZ88" s="8">
        <f t="shared" si="71"/>
        <v>11.141732640000001</v>
      </c>
      <c r="BA88" s="116">
        <f t="shared" si="72"/>
        <v>2610.6840000000002</v>
      </c>
      <c r="BB88" s="217">
        <f t="shared" si="73"/>
        <v>0.1304215392374117</v>
      </c>
      <c r="BC88" s="207">
        <f t="shared" si="74"/>
        <v>3.6048864251153696</v>
      </c>
      <c r="BD88" s="144">
        <f t="shared" si="75"/>
        <v>9742.6915632380842</v>
      </c>
      <c r="BE88" s="138">
        <f t="shared" si="76"/>
        <v>0.25</v>
      </c>
      <c r="BF88" s="116">
        <f t="shared" si="77"/>
        <v>2175570</v>
      </c>
      <c r="BG88" s="2">
        <f t="shared" si="78"/>
        <v>1.5748031496062995E-2</v>
      </c>
      <c r="BH88" s="8">
        <f t="shared" si="79"/>
        <v>11.141732640000001</v>
      </c>
      <c r="BI88" s="116">
        <f t="shared" si="80"/>
        <v>2610.6840000000002</v>
      </c>
      <c r="BJ88" s="217">
        <f t="shared" si="81"/>
        <v>0.1304215392374117</v>
      </c>
      <c r="BK88" s="207">
        <f t="shared" si="82"/>
        <v>3.6048864251153696</v>
      </c>
      <c r="BL88" s="144">
        <f t="shared" si="83"/>
        <v>9742.6915632380842</v>
      </c>
      <c r="BM88" s="216">
        <f t="shared" si="84"/>
        <v>0.25</v>
      </c>
      <c r="BN88" s="216">
        <f t="shared" si="85"/>
        <v>2.3622047244094495E-2</v>
      </c>
      <c r="BO88" s="238">
        <f t="shared" si="86"/>
        <v>1.5748031496062995E-2</v>
      </c>
      <c r="BP88" s="216">
        <f t="shared" si="87"/>
        <v>0</v>
      </c>
      <c r="BQ88" s="138">
        <f t="shared" si="88"/>
        <v>0.25</v>
      </c>
      <c r="BR88" s="138">
        <f t="shared" si="89"/>
        <v>0</v>
      </c>
      <c r="BS88" s="238">
        <f t="shared" si="90"/>
        <v>0</v>
      </c>
      <c r="BT88" s="138">
        <f t="shared" si="91"/>
        <v>0</v>
      </c>
      <c r="BU88" s="138">
        <f t="shared" si="92"/>
        <v>0.25</v>
      </c>
      <c r="BV88" s="138">
        <f t="shared" si="93"/>
        <v>0</v>
      </c>
      <c r="BW88" s="238">
        <f t="shared" si="94"/>
        <v>0</v>
      </c>
      <c r="BX88" s="216">
        <f t="shared" si="95"/>
        <v>0</v>
      </c>
      <c r="BY88" s="138">
        <f t="shared" si="96"/>
        <v>2.3622047244094495E-2</v>
      </c>
      <c r="BZ88" s="138">
        <f t="shared" si="97"/>
        <v>0</v>
      </c>
      <c r="CA88" s="238">
        <f t="shared" si="98"/>
        <v>0</v>
      </c>
      <c r="CB88" s="138">
        <f t="shared" si="99"/>
        <v>0</v>
      </c>
      <c r="CC88" s="138">
        <f t="shared" si="100"/>
        <v>2.3622047244094495E-2</v>
      </c>
      <c r="CD88" s="138">
        <f t="shared" si="101"/>
        <v>0</v>
      </c>
      <c r="CE88" s="238">
        <f t="shared" si="102"/>
        <v>0</v>
      </c>
      <c r="CF88" s="216">
        <f t="shared" si="103"/>
        <v>0</v>
      </c>
      <c r="CG88" s="138">
        <f t="shared" si="104"/>
        <v>1.5748031496062995E-2</v>
      </c>
      <c r="CH88" s="138">
        <f t="shared" si="105"/>
        <v>0</v>
      </c>
      <c r="CI88" s="238">
        <f t="shared" si="106"/>
        <v>0</v>
      </c>
      <c r="CJ88" s="138">
        <f t="shared" si="107"/>
        <v>0</v>
      </c>
      <c r="CK88" s="138">
        <f t="shared" si="108"/>
        <v>1.5748031496062995E-2</v>
      </c>
      <c r="CL88" s="138">
        <f t="shared" si="109"/>
        <v>0</v>
      </c>
      <c r="CM88" s="238">
        <f t="shared" si="110"/>
        <v>0</v>
      </c>
      <c r="CN88" s="17">
        <f t="shared" si="111"/>
        <v>0.25</v>
      </c>
      <c r="CO88" s="17">
        <f t="shared" si="112"/>
        <v>2.3622047244094495E-2</v>
      </c>
      <c r="CP88" s="17">
        <f t="shared" si="113"/>
        <v>1.5748031496062995E-2</v>
      </c>
      <c r="CQ88" s="17">
        <f>$U88-IF('Inputs-Imperial'!$E$13,0,2)*($CO88+$CN88+$CP88)</f>
        <v>4.0110237503999997</v>
      </c>
      <c r="CR88" s="116">
        <f t="shared" si="114"/>
        <v>7479.4671081541637</v>
      </c>
      <c r="CS88" s="8">
        <f t="shared" si="10"/>
        <v>0.19338381428024456</v>
      </c>
      <c r="CT88" s="8">
        <f t="shared" si="115"/>
        <v>0.43975426578970733</v>
      </c>
      <c r="CU88" s="8">
        <f t="shared" si="11"/>
        <v>0.19338381428024456</v>
      </c>
      <c r="CV88" s="8">
        <f t="shared" si="116"/>
        <v>0.43975426578970733</v>
      </c>
      <c r="CW88" s="216">
        <f t="shared" si="117"/>
        <v>3.5712694846102924</v>
      </c>
      <c r="CX88" s="116">
        <f t="shared" si="118"/>
        <v>8400.4638519783057</v>
      </c>
      <c r="CY88" s="8">
        <f t="shared" si="119"/>
        <v>0.21719645503191332</v>
      </c>
      <c r="CZ88" s="8">
        <f t="shared" si="120"/>
        <v>0.46604340466518063</v>
      </c>
      <c r="DA88" s="8">
        <f t="shared" si="121"/>
        <v>0.21719645503191332</v>
      </c>
      <c r="DB88" s="8">
        <f t="shared" si="122"/>
        <v>0.46604340466518063</v>
      </c>
      <c r="DC88" s="216">
        <f t="shared" si="123"/>
        <v>3.5449803457348192</v>
      </c>
      <c r="DD88" s="116">
        <f t="shared" si="124"/>
        <v>8462.7606602211927</v>
      </c>
      <c r="DE88" s="8">
        <f t="shared" si="125"/>
        <v>0.21880715726795372</v>
      </c>
      <c r="DF88" s="8">
        <f t="shared" si="126"/>
        <v>0.46776827304548318</v>
      </c>
      <c r="DG88" s="8">
        <f t="shared" si="127"/>
        <v>0.21880715726795372</v>
      </c>
      <c r="DH88" s="8">
        <f t="shared" si="128"/>
        <v>0.46776827304548318</v>
      </c>
      <c r="DI88" s="216">
        <f t="shared" si="129"/>
        <v>3.5432554773545162</v>
      </c>
      <c r="DJ88" s="116">
        <f t="shared" si="130"/>
        <v>8466.8803598494542</v>
      </c>
      <c r="DK88" s="8">
        <f t="shared" si="131"/>
        <v>0.21891367330930825</v>
      </c>
      <c r="DL88" s="8">
        <f t="shared" si="132"/>
        <v>0.46788211475681379</v>
      </c>
      <c r="DM88" s="8">
        <f t="shared" si="133"/>
        <v>0.21891367330930825</v>
      </c>
      <c r="DN88" s="8">
        <f t="shared" si="134"/>
        <v>0.46788211475681379</v>
      </c>
      <c r="DO88" s="216">
        <f t="shared" si="253"/>
        <v>3.5431416356431855</v>
      </c>
      <c r="DP88" s="116">
        <f t="shared" si="136"/>
        <v>8467.1524020788984</v>
      </c>
      <c r="DQ88" s="170">
        <f t="shared" si="137"/>
        <v>0.21892070704088493</v>
      </c>
      <c r="DR88" s="8">
        <f t="shared" si="138"/>
        <v>0.46788963126028443</v>
      </c>
      <c r="DS88" s="8">
        <f t="shared" si="139"/>
        <v>0.21892070704088493</v>
      </c>
      <c r="DT88" s="134">
        <f t="shared" si="140"/>
        <v>0.46788963126028443</v>
      </c>
      <c r="DU88" s="170">
        <f t="shared" si="254"/>
        <v>0.26897785437563354</v>
      </c>
      <c r="DV88" s="170">
        <f t="shared" si="255"/>
        <v>0.51863074954695232</v>
      </c>
      <c r="DW88" s="170">
        <f t="shared" si="255"/>
        <v>0.26897785437563354</v>
      </c>
      <c r="DX88" s="272">
        <f t="shared" si="255"/>
        <v>0.51863074954695232</v>
      </c>
      <c r="DY88" s="272">
        <f t="shared" si="142"/>
        <v>2.9737622513060948</v>
      </c>
      <c r="DZ88" s="22">
        <f t="shared" si="12"/>
        <v>197.56462070793802</v>
      </c>
      <c r="EA88" s="216">
        <f t="shared" si="13"/>
        <v>1.2943611322592989E-2</v>
      </c>
      <c r="EB88" s="12">
        <f t="shared" si="143"/>
        <v>2</v>
      </c>
      <c r="EC88" s="7">
        <f>ROUND(MAX(DV88,DX88)/'Inputs-Imperial'!$E$21,0)</f>
        <v>4</v>
      </c>
      <c r="ED88" s="12">
        <f t="shared" si="144"/>
        <v>4</v>
      </c>
      <c r="EE88" s="2">
        <f t="shared" si="145"/>
        <v>2</v>
      </c>
      <c r="EF88" s="127">
        <f t="shared" si="146"/>
        <v>2</v>
      </c>
      <c r="EG88" s="2">
        <f t="shared" si="147"/>
        <v>1.5748031496062995E-2</v>
      </c>
      <c r="EH88" s="8">
        <f t="shared" si="14"/>
        <v>0.13621576463267421</v>
      </c>
      <c r="EI88" s="138">
        <f t="shared" si="148"/>
        <v>0.25</v>
      </c>
      <c r="EJ88" s="12">
        <f t="shared" si="15"/>
        <v>11290.818073458657</v>
      </c>
      <c r="EK88" s="138">
        <f t="shared" si="149"/>
        <v>0.25</v>
      </c>
      <c r="EL88" s="116">
        <f t="shared" si="150"/>
        <v>2175570</v>
      </c>
      <c r="EM88" s="2">
        <f t="shared" si="16"/>
        <v>1.5748031496062995E-2</v>
      </c>
      <c r="EN88" s="8">
        <f t="shared" si="151"/>
        <v>4.0110237503999997</v>
      </c>
      <c r="EO88" s="116">
        <f t="shared" si="152"/>
        <v>2610.6840000000002</v>
      </c>
      <c r="EP88" s="217">
        <f t="shared" si="153"/>
        <v>1.0063390373257077</v>
      </c>
      <c r="EQ88" s="207">
        <f t="shared" si="154"/>
        <v>2</v>
      </c>
      <c r="ER88" s="144">
        <f t="shared" si="155"/>
        <v>41707.327420230846</v>
      </c>
      <c r="ES88" s="138">
        <f t="shared" si="17"/>
        <v>0.25</v>
      </c>
      <c r="ET88" s="116">
        <f t="shared" si="156"/>
        <v>2175570</v>
      </c>
      <c r="EU88" s="2">
        <f t="shared" si="18"/>
        <v>1.5748031496062995E-2</v>
      </c>
      <c r="EV88" s="8">
        <f t="shared" si="157"/>
        <v>4.0110237503999997</v>
      </c>
      <c r="EW88" s="116">
        <f t="shared" si="158"/>
        <v>2610.6840000000002</v>
      </c>
      <c r="EX88" s="217">
        <f t="shared" si="159"/>
        <v>1.0063390373257077</v>
      </c>
      <c r="EY88" s="207">
        <f t="shared" si="160"/>
        <v>2</v>
      </c>
      <c r="EZ88" s="144">
        <f t="shared" si="161"/>
        <v>41707.327420230846</v>
      </c>
      <c r="FA88" s="138">
        <f t="shared" si="19"/>
        <v>0.25</v>
      </c>
      <c r="FB88" s="116">
        <f t="shared" si="162"/>
        <v>2175570</v>
      </c>
      <c r="FC88" s="2">
        <f t="shared" si="20"/>
        <v>1.5748031496062995E-2</v>
      </c>
      <c r="FD88" s="8">
        <f t="shared" si="163"/>
        <v>4.0110237503999997</v>
      </c>
      <c r="FE88" s="116">
        <f t="shared" si="164"/>
        <v>2610.6840000000002</v>
      </c>
      <c r="FF88" s="217">
        <f t="shared" si="165"/>
        <v>1.0063390373257077</v>
      </c>
      <c r="FG88" s="207">
        <f t="shared" si="166"/>
        <v>2</v>
      </c>
      <c r="FH88" s="144">
        <f t="shared" si="167"/>
        <v>41707.327420230846</v>
      </c>
      <c r="FI88" s="128">
        <f t="shared" si="168"/>
        <v>0.25</v>
      </c>
      <c r="FJ88" s="2">
        <f t="shared" si="169"/>
        <v>1.5748031496062995E-2</v>
      </c>
      <c r="FK88" s="127">
        <f t="shared" si="170"/>
        <v>1.5748031496062995E-2</v>
      </c>
      <c r="FL88" s="216">
        <f t="shared" si="171"/>
        <v>0</v>
      </c>
      <c r="FM88" s="138">
        <f t="shared" si="172"/>
        <v>0.25</v>
      </c>
      <c r="FN88" s="138">
        <f t="shared" si="173"/>
        <v>0</v>
      </c>
      <c r="FO88" s="238">
        <f t="shared" si="174"/>
        <v>0</v>
      </c>
      <c r="FP88" s="216">
        <f t="shared" si="21"/>
        <v>0</v>
      </c>
      <c r="FQ88" s="138">
        <f t="shared" si="22"/>
        <v>0.25</v>
      </c>
      <c r="FR88" s="138">
        <f t="shared" si="23"/>
        <v>0</v>
      </c>
      <c r="FS88" s="238">
        <f t="shared" si="24"/>
        <v>0</v>
      </c>
      <c r="FT88" s="216">
        <f t="shared" si="175"/>
        <v>0</v>
      </c>
      <c r="FU88" s="138">
        <f t="shared" si="176"/>
        <v>1.5748031496062995E-2</v>
      </c>
      <c r="FV88" s="138">
        <f t="shared" si="177"/>
        <v>0</v>
      </c>
      <c r="FW88" s="238">
        <f t="shared" si="178"/>
        <v>0</v>
      </c>
      <c r="FX88" s="216">
        <f t="shared" si="25"/>
        <v>0</v>
      </c>
      <c r="FY88" s="138">
        <f t="shared" si="26"/>
        <v>1.5748031496062995E-2</v>
      </c>
      <c r="FZ88" s="138">
        <f t="shared" si="27"/>
        <v>0</v>
      </c>
      <c r="GA88" s="238">
        <f t="shared" si="28"/>
        <v>0</v>
      </c>
      <c r="GB88" s="216">
        <f t="shared" si="179"/>
        <v>0</v>
      </c>
      <c r="GC88" s="138">
        <f t="shared" si="180"/>
        <v>1.5748031496062995E-2</v>
      </c>
      <c r="GD88" s="138">
        <f t="shared" si="181"/>
        <v>0</v>
      </c>
      <c r="GE88" s="238">
        <f t="shared" si="182"/>
        <v>0</v>
      </c>
      <c r="GF88" s="216">
        <f t="shared" si="29"/>
        <v>0</v>
      </c>
      <c r="GG88" s="138">
        <f t="shared" si="30"/>
        <v>1.5748031496062995E-2</v>
      </c>
      <c r="GH88" s="138">
        <f t="shared" si="31"/>
        <v>0</v>
      </c>
      <c r="GI88" s="238">
        <f t="shared" si="32"/>
        <v>0</v>
      </c>
      <c r="GJ88" s="216">
        <f t="shared" si="183"/>
        <v>0.25</v>
      </c>
      <c r="GK88" s="216">
        <f t="shared" si="184"/>
        <v>1.5748031496062995E-2</v>
      </c>
      <c r="GL88" s="17">
        <f t="shared" si="185"/>
        <v>1.5748031496062995E-2</v>
      </c>
      <c r="GM88" s="216">
        <f t="shared" si="186"/>
        <v>6.7383742293602765E-3</v>
      </c>
      <c r="GN88" s="2">
        <f t="shared" si="187"/>
        <v>1</v>
      </c>
      <c r="GO88" s="2">
        <f t="shared" si="188"/>
        <v>2</v>
      </c>
      <c r="GP88" s="142">
        <f t="shared" si="189"/>
        <v>2</v>
      </c>
      <c r="GQ88" s="2">
        <f t="shared" si="190"/>
        <v>1.5748031496062995E-2</v>
      </c>
      <c r="GR88" s="8">
        <f t="shared" si="33"/>
        <v>7.0913192242668455E-2</v>
      </c>
      <c r="GS88" s="138">
        <f t="shared" si="191"/>
        <v>0.25</v>
      </c>
      <c r="GT88" s="12">
        <f t="shared" si="34"/>
        <v>5877.9389799652618</v>
      </c>
      <c r="GU88" s="138">
        <f t="shared" si="192"/>
        <v>0.25</v>
      </c>
      <c r="GV88" s="116">
        <f t="shared" si="193"/>
        <v>2175570</v>
      </c>
      <c r="GW88" s="2">
        <f t="shared" si="35"/>
        <v>1.5748031496062995E-2</v>
      </c>
      <c r="GX88" s="8">
        <f t="shared" si="36"/>
        <v>2.0055118751999998</v>
      </c>
      <c r="GY88" s="116">
        <f t="shared" si="194"/>
        <v>2610.6840000000002</v>
      </c>
      <c r="GZ88" s="217">
        <f t="shared" si="195"/>
        <v>4.0253561493028309</v>
      </c>
      <c r="HA88" s="207">
        <f t="shared" si="196"/>
        <v>2</v>
      </c>
      <c r="HB88" s="144">
        <f t="shared" si="197"/>
        <v>166829.30968092338</v>
      </c>
      <c r="HC88" s="138">
        <f t="shared" si="37"/>
        <v>0.25</v>
      </c>
      <c r="HD88" s="116">
        <f t="shared" si="198"/>
        <v>2175570</v>
      </c>
      <c r="HE88" s="2">
        <f t="shared" si="38"/>
        <v>1.5748031496062995E-2</v>
      </c>
      <c r="HF88" s="8">
        <f t="shared" si="199"/>
        <v>2.0055118751999998</v>
      </c>
      <c r="HG88" s="116">
        <f t="shared" si="200"/>
        <v>2610.6840000000002</v>
      </c>
      <c r="HH88" s="217">
        <f t="shared" si="201"/>
        <v>4.0253561493028309</v>
      </c>
      <c r="HI88" s="207">
        <f t="shared" si="202"/>
        <v>2</v>
      </c>
      <c r="HJ88" s="144">
        <f t="shared" si="203"/>
        <v>166829.30968092338</v>
      </c>
      <c r="HK88" s="138">
        <f t="shared" si="39"/>
        <v>0.25</v>
      </c>
      <c r="HL88" s="116">
        <f t="shared" si="204"/>
        <v>2175570</v>
      </c>
      <c r="HM88" s="2">
        <f t="shared" si="40"/>
        <v>1.5748031496062995E-2</v>
      </c>
      <c r="HN88" s="8">
        <f t="shared" si="205"/>
        <v>2.0055118751999998</v>
      </c>
      <c r="HO88" s="116">
        <f t="shared" si="206"/>
        <v>2610.6840000000002</v>
      </c>
      <c r="HP88" s="217">
        <f t="shared" si="207"/>
        <v>4.0253561493028309</v>
      </c>
      <c r="HQ88" s="207">
        <f t="shared" si="208"/>
        <v>2</v>
      </c>
      <c r="HR88" s="144">
        <f t="shared" si="209"/>
        <v>166829.30968092338</v>
      </c>
      <c r="HS88" s="128">
        <f t="shared" si="210"/>
        <v>0.25</v>
      </c>
      <c r="HT88" s="2">
        <f t="shared" si="211"/>
        <v>1.5748031496062995E-2</v>
      </c>
      <c r="HU88" s="127">
        <f t="shared" si="212"/>
        <v>1.5748031496062995E-2</v>
      </c>
      <c r="HV88" s="216">
        <f t="shared" si="213"/>
        <v>0</v>
      </c>
      <c r="HW88" s="138">
        <f t="shared" si="214"/>
        <v>0.25</v>
      </c>
      <c r="HX88" s="138">
        <f t="shared" si="215"/>
        <v>0</v>
      </c>
      <c r="HY88" s="238">
        <f t="shared" si="216"/>
        <v>0</v>
      </c>
      <c r="HZ88" s="138">
        <f t="shared" si="217"/>
        <v>0</v>
      </c>
      <c r="IA88" s="138">
        <f t="shared" si="218"/>
        <v>0.25</v>
      </c>
      <c r="IB88" s="138">
        <f t="shared" si="219"/>
        <v>0</v>
      </c>
      <c r="IC88" s="138">
        <f t="shared" si="220"/>
        <v>0</v>
      </c>
      <c r="ID88" s="216">
        <f t="shared" si="221"/>
        <v>0</v>
      </c>
      <c r="IE88" s="138">
        <f t="shared" si="222"/>
        <v>1.5748031496062995E-2</v>
      </c>
      <c r="IF88" s="138">
        <f t="shared" si="223"/>
        <v>0</v>
      </c>
      <c r="IG88" s="238">
        <f t="shared" si="224"/>
        <v>0</v>
      </c>
      <c r="IH88" s="138">
        <f t="shared" si="225"/>
        <v>0</v>
      </c>
      <c r="II88" s="138">
        <f t="shared" si="226"/>
        <v>1.5748031496062995E-2</v>
      </c>
      <c r="IJ88" s="138">
        <f t="shared" si="227"/>
        <v>0</v>
      </c>
      <c r="IK88" s="138">
        <f t="shared" si="228"/>
        <v>0</v>
      </c>
      <c r="IL88" s="216">
        <f t="shared" si="229"/>
        <v>0</v>
      </c>
      <c r="IM88" s="138">
        <f t="shared" si="230"/>
        <v>1.5748031496062995E-2</v>
      </c>
      <c r="IN88" s="138">
        <f t="shared" si="231"/>
        <v>0</v>
      </c>
      <c r="IO88" s="238">
        <f t="shared" si="232"/>
        <v>0</v>
      </c>
      <c r="IP88" s="138">
        <f t="shared" si="233"/>
        <v>0</v>
      </c>
      <c r="IQ88" s="138">
        <f t="shared" si="234"/>
        <v>1.5748031496062995E-2</v>
      </c>
      <c r="IR88" s="138">
        <f t="shared" si="235"/>
        <v>0</v>
      </c>
      <c r="IS88" s="138">
        <f t="shared" si="236"/>
        <v>0</v>
      </c>
      <c r="IT88" s="17">
        <f t="shared" si="237"/>
        <v>0.25</v>
      </c>
      <c r="IU88" s="17">
        <f t="shared" si="238"/>
        <v>1.5748031496062995E-2</v>
      </c>
      <c r="IV88" s="17">
        <f t="shared" si="239"/>
        <v>1.5748031496062995E-2</v>
      </c>
      <c r="IW88" s="253">
        <f t="shared" si="240"/>
        <v>11.141732640000001</v>
      </c>
      <c r="IX88" s="116">
        <f t="shared" si="241"/>
        <v>269.26081589354999</v>
      </c>
      <c r="IY88" s="8">
        <f t="shared" si="242"/>
        <v>6.9618173140888065E-3</v>
      </c>
      <c r="IZ88" s="8">
        <f t="shared" si="243"/>
        <v>6.9618173140888065E-3</v>
      </c>
      <c r="JA88" s="8">
        <f t="shared" si="244"/>
        <v>3.4809086570444033E-3</v>
      </c>
      <c r="JB88" s="134">
        <f t="shared" si="245"/>
        <v>5.8999225902077762E-2</v>
      </c>
      <c r="JC88" s="170">
        <f t="shared" si="256"/>
        <v>4.2410538734210714E-3</v>
      </c>
      <c r="JD88" s="272">
        <f t="shared" si="257"/>
        <v>6.5123374247815752E-2</v>
      </c>
      <c r="JE88" s="8"/>
      <c r="JF88" s="8"/>
    </row>
    <row r="89" spans="1:266" x14ac:dyDescent="0.25">
      <c r="A89" s="186">
        <v>29</v>
      </c>
      <c r="B89" s="187">
        <f>A89/100*'Inputs-Imperial'!$E$5</f>
        <v>2.8543308000000001</v>
      </c>
      <c r="C89" s="188">
        <f>'Inputs-Imperial'!$E$10+('Inputs-Imperial'!$E$9-'Inputs-Imperial'!$E$10)*(100-A89)/100</f>
        <v>1.84711292</v>
      </c>
      <c r="D89" s="187">
        <f t="shared" si="248"/>
        <v>9.8425199999999879E-2</v>
      </c>
      <c r="E89" s="188">
        <f t="shared" si="249"/>
        <v>0.18228683457333578</v>
      </c>
      <c r="F89" s="423">
        <f>Loads!P49</f>
        <v>77.81957139555432</v>
      </c>
      <c r="G89" s="423">
        <f>Loads!M49</f>
        <v>778.19571395554271</v>
      </c>
      <c r="H89" s="423">
        <f>Loads!N49</f>
        <v>2422.0309744925116</v>
      </c>
      <c r="I89" s="423">
        <f>Loads!V49</f>
        <v>-661.81253267549937</v>
      </c>
      <c r="J89" s="423">
        <f>Loads!Q49</f>
        <v>242.20309744925126</v>
      </c>
      <c r="K89" s="2">
        <v>29</v>
      </c>
      <c r="L89" s="12">
        <f t="shared" si="41"/>
        <v>34.251969600000002</v>
      </c>
      <c r="M89" s="11">
        <f t="shared" si="42"/>
        <v>22.165355040000001</v>
      </c>
      <c r="N89" s="11">
        <f t="shared" si="43"/>
        <v>1.1811023999999986</v>
      </c>
      <c r="O89" s="152">
        <f t="shared" si="44"/>
        <v>26.249304178560354</v>
      </c>
      <c r="P89" s="151">
        <f t="shared" si="45"/>
        <v>77.81957139555432</v>
      </c>
      <c r="Q89" s="12">
        <f t="shared" si="46"/>
        <v>778.19571395554271</v>
      </c>
      <c r="R89" s="12">
        <f t="shared" si="47"/>
        <v>29064.37169391014</v>
      </c>
      <c r="S89" s="12">
        <f t="shared" si="48"/>
        <v>-7941.7503921059924</v>
      </c>
      <c r="T89" s="152">
        <f t="shared" si="49"/>
        <v>2906.4371693910152</v>
      </c>
      <c r="U89" s="8">
        <f t="shared" si="0"/>
        <v>3.9897639072</v>
      </c>
      <c r="V89" s="8">
        <f t="shared" si="1"/>
        <v>3.9897639072</v>
      </c>
      <c r="W89" s="134">
        <f t="shared" si="2"/>
        <v>1.9948819536</v>
      </c>
      <c r="X89" s="311">
        <f t="shared" si="3"/>
        <v>5.5413387600000004</v>
      </c>
      <c r="Y89" s="11">
        <f t="shared" si="4"/>
        <v>16.624016279999999</v>
      </c>
      <c r="Z89" s="11">
        <f t="shared" si="5"/>
        <v>11.082677519999999</v>
      </c>
      <c r="AA89" s="316">
        <f t="shared" si="50"/>
        <v>16.624016279999999</v>
      </c>
      <c r="AB89" s="170">
        <f t="shared" si="51"/>
        <v>2.9923229303999999</v>
      </c>
      <c r="AC89" s="11">
        <f t="shared" si="52"/>
        <v>16.624016279999999</v>
      </c>
      <c r="AD89" s="152">
        <f t="shared" si="53"/>
        <v>39.069180120645619</v>
      </c>
      <c r="AE89" s="151">
        <f t="shared" si="6"/>
        <v>4.6811534640505252</v>
      </c>
      <c r="AF89" s="12">
        <f t="shared" si="54"/>
        <v>101.63702396085442</v>
      </c>
      <c r="AG89" s="216">
        <f t="shared" si="7"/>
        <v>6.9655242936882645E-3</v>
      </c>
      <c r="AH89" s="2">
        <f t="shared" si="55"/>
        <v>1</v>
      </c>
      <c r="AI89" s="2">
        <f t="shared" si="56"/>
        <v>3</v>
      </c>
      <c r="AJ89" s="127">
        <f t="shared" si="57"/>
        <v>2</v>
      </c>
      <c r="AK89" s="2">
        <f t="shared" si="58"/>
        <v>1.5748031496062995E-2</v>
      </c>
      <c r="AL89" s="8">
        <f t="shared" si="8"/>
        <v>7.3303670365631721E-2</v>
      </c>
      <c r="AM89" s="138">
        <f t="shared" si="59"/>
        <v>0.25</v>
      </c>
      <c r="AN89" s="12">
        <f t="shared" si="9"/>
        <v>6076.0838398333162</v>
      </c>
      <c r="AO89" s="138">
        <f t="shared" si="60"/>
        <v>0.25</v>
      </c>
      <c r="AP89" s="116">
        <f t="shared" si="61"/>
        <v>2175570</v>
      </c>
      <c r="AQ89" s="2">
        <f t="shared" si="62"/>
        <v>1.5748031496062995E-2</v>
      </c>
      <c r="AR89" s="8">
        <f t="shared" si="63"/>
        <v>11.082677519999999</v>
      </c>
      <c r="AS89" s="116">
        <f t="shared" si="64"/>
        <v>2610.6840000000002</v>
      </c>
      <c r="AT89" s="217">
        <f t="shared" si="65"/>
        <v>0.13181517001328294</v>
      </c>
      <c r="AU89" s="207">
        <f t="shared" si="66"/>
        <v>3.5926986630647795</v>
      </c>
      <c r="AV89" s="144">
        <f t="shared" si="67"/>
        <v>9813.5069035314591</v>
      </c>
      <c r="AW89" s="138">
        <f t="shared" si="68"/>
        <v>0.25</v>
      </c>
      <c r="AX89" s="116">
        <f t="shared" si="69"/>
        <v>2175570</v>
      </c>
      <c r="AY89" s="2">
        <f t="shared" si="70"/>
        <v>1.5748031496062995E-2</v>
      </c>
      <c r="AZ89" s="8">
        <f t="shared" si="71"/>
        <v>11.082677519999999</v>
      </c>
      <c r="BA89" s="116">
        <f t="shared" si="72"/>
        <v>2610.6840000000002</v>
      </c>
      <c r="BB89" s="217">
        <f t="shared" si="73"/>
        <v>0.13181517001328294</v>
      </c>
      <c r="BC89" s="207">
        <f t="shared" si="74"/>
        <v>3.5926986630647795</v>
      </c>
      <c r="BD89" s="144">
        <f t="shared" si="75"/>
        <v>9813.5069035314591</v>
      </c>
      <c r="BE89" s="138">
        <f t="shared" si="76"/>
        <v>0.25</v>
      </c>
      <c r="BF89" s="116">
        <f t="shared" si="77"/>
        <v>2175570</v>
      </c>
      <c r="BG89" s="2">
        <f t="shared" si="78"/>
        <v>1.5748031496062995E-2</v>
      </c>
      <c r="BH89" s="8">
        <f t="shared" si="79"/>
        <v>11.082677519999999</v>
      </c>
      <c r="BI89" s="116">
        <f t="shared" si="80"/>
        <v>2610.6840000000002</v>
      </c>
      <c r="BJ89" s="217">
        <f t="shared" si="81"/>
        <v>0.13181517001328294</v>
      </c>
      <c r="BK89" s="207">
        <f t="shared" si="82"/>
        <v>3.5926986630647795</v>
      </c>
      <c r="BL89" s="144">
        <f t="shared" si="83"/>
        <v>9813.5069035314591</v>
      </c>
      <c r="BM89" s="216">
        <f t="shared" si="84"/>
        <v>0.25</v>
      </c>
      <c r="BN89" s="216">
        <f t="shared" si="85"/>
        <v>2.3622047244094495E-2</v>
      </c>
      <c r="BO89" s="238">
        <f t="shared" si="86"/>
        <v>1.5748031496062995E-2</v>
      </c>
      <c r="BP89" s="216">
        <f t="shared" si="87"/>
        <v>0</v>
      </c>
      <c r="BQ89" s="138">
        <f t="shared" si="88"/>
        <v>0.25</v>
      </c>
      <c r="BR89" s="138">
        <f t="shared" si="89"/>
        <v>0</v>
      </c>
      <c r="BS89" s="238">
        <f t="shared" si="90"/>
        <v>0</v>
      </c>
      <c r="BT89" s="138">
        <f t="shared" si="91"/>
        <v>0</v>
      </c>
      <c r="BU89" s="138">
        <f t="shared" si="92"/>
        <v>0.25</v>
      </c>
      <c r="BV89" s="138">
        <f t="shared" si="93"/>
        <v>0</v>
      </c>
      <c r="BW89" s="238">
        <f t="shared" si="94"/>
        <v>0</v>
      </c>
      <c r="BX89" s="216">
        <f t="shared" si="95"/>
        <v>0</v>
      </c>
      <c r="BY89" s="138">
        <f t="shared" si="96"/>
        <v>2.3622047244094495E-2</v>
      </c>
      <c r="BZ89" s="138">
        <f t="shared" si="97"/>
        <v>0</v>
      </c>
      <c r="CA89" s="238">
        <f t="shared" si="98"/>
        <v>0</v>
      </c>
      <c r="CB89" s="138">
        <f t="shared" si="99"/>
        <v>0</v>
      </c>
      <c r="CC89" s="138">
        <f t="shared" si="100"/>
        <v>2.3622047244094495E-2</v>
      </c>
      <c r="CD89" s="138">
        <f t="shared" si="101"/>
        <v>0</v>
      </c>
      <c r="CE89" s="238">
        <f t="shared" si="102"/>
        <v>0</v>
      </c>
      <c r="CF89" s="216">
        <f t="shared" si="103"/>
        <v>0</v>
      </c>
      <c r="CG89" s="138">
        <f t="shared" si="104"/>
        <v>1.5748031496062995E-2</v>
      </c>
      <c r="CH89" s="138">
        <f t="shared" si="105"/>
        <v>0</v>
      </c>
      <c r="CI89" s="238">
        <f t="shared" si="106"/>
        <v>0</v>
      </c>
      <c r="CJ89" s="138">
        <f t="shared" si="107"/>
        <v>0</v>
      </c>
      <c r="CK89" s="138">
        <f t="shared" si="108"/>
        <v>1.5748031496062995E-2</v>
      </c>
      <c r="CL89" s="138">
        <f t="shared" si="109"/>
        <v>0</v>
      </c>
      <c r="CM89" s="238">
        <f t="shared" si="110"/>
        <v>0</v>
      </c>
      <c r="CN89" s="17">
        <f t="shared" si="111"/>
        <v>0.25</v>
      </c>
      <c r="CO89" s="17">
        <f t="shared" si="112"/>
        <v>2.3622047244094495E-2</v>
      </c>
      <c r="CP89" s="17">
        <f t="shared" si="113"/>
        <v>1.5748031496062995E-2</v>
      </c>
      <c r="CQ89" s="17">
        <f>$U89-IF('Inputs-Imperial'!$E$13,0,2)*($CO89+$CN89+$CP89)</f>
        <v>3.9897639072</v>
      </c>
      <c r="CR89" s="116">
        <f t="shared" si="114"/>
        <v>7284.7347286540062</v>
      </c>
      <c r="CS89" s="8">
        <f t="shared" si="10"/>
        <v>0.18834895153306389</v>
      </c>
      <c r="CT89" s="8">
        <f t="shared" si="115"/>
        <v>0.43399187957041763</v>
      </c>
      <c r="CU89" s="8">
        <f t="shared" si="11"/>
        <v>0.18834895153306389</v>
      </c>
      <c r="CV89" s="8">
        <f t="shared" si="116"/>
        <v>0.43399187957041763</v>
      </c>
      <c r="CW89" s="216">
        <f t="shared" si="117"/>
        <v>3.5557720276295823</v>
      </c>
      <c r="CX89" s="116">
        <f t="shared" si="118"/>
        <v>8173.8568918563642</v>
      </c>
      <c r="CY89" s="8">
        <f t="shared" si="119"/>
        <v>0.211337465660457</v>
      </c>
      <c r="CZ89" s="8">
        <f t="shared" si="120"/>
        <v>0.45971454801915612</v>
      </c>
      <c r="DA89" s="8">
        <f t="shared" si="121"/>
        <v>0.211337465660457</v>
      </c>
      <c r="DB89" s="8">
        <f t="shared" si="122"/>
        <v>0.45971454801915612</v>
      </c>
      <c r="DC89" s="216">
        <f t="shared" si="123"/>
        <v>3.5300493591808437</v>
      </c>
      <c r="DD89" s="116">
        <f t="shared" si="124"/>
        <v>8233.4179317692578</v>
      </c>
      <c r="DE89" s="8">
        <f t="shared" si="125"/>
        <v>0.21287743380448376</v>
      </c>
      <c r="DF89" s="8">
        <f t="shared" si="126"/>
        <v>0.46138642568294502</v>
      </c>
      <c r="DG89" s="8">
        <f t="shared" si="127"/>
        <v>0.21287743380448376</v>
      </c>
      <c r="DH89" s="8">
        <f t="shared" si="128"/>
        <v>0.46138642568294502</v>
      </c>
      <c r="DI89" s="216">
        <f t="shared" si="129"/>
        <v>3.528377481517055</v>
      </c>
      <c r="DJ89" s="116">
        <f t="shared" si="130"/>
        <v>8237.3192341692629</v>
      </c>
      <c r="DK89" s="8">
        <f t="shared" si="131"/>
        <v>0.21297830312149046</v>
      </c>
      <c r="DL89" s="8">
        <f t="shared" si="132"/>
        <v>0.46149572383879189</v>
      </c>
      <c r="DM89" s="8">
        <f t="shared" si="133"/>
        <v>0.21297830312149046</v>
      </c>
      <c r="DN89" s="8">
        <f t="shared" si="134"/>
        <v>0.46149572383879189</v>
      </c>
      <c r="DO89" s="216">
        <f>$CQ89-DL89/2-DN89/2</f>
        <v>3.5282681833612082</v>
      </c>
      <c r="DP89" s="116">
        <f t="shared" si="136"/>
        <v>8237.5744085932656</v>
      </c>
      <c r="DQ89" s="170">
        <f t="shared" si="137"/>
        <v>0.21298490073101356</v>
      </c>
      <c r="DR89" s="8">
        <f t="shared" si="138"/>
        <v>0.46150287185565114</v>
      </c>
      <c r="DS89" s="8">
        <f t="shared" si="139"/>
        <v>0.21298490073101356</v>
      </c>
      <c r="DT89" s="134">
        <f t="shared" si="140"/>
        <v>0.46150287185565114</v>
      </c>
      <c r="DU89" s="170">
        <f t="shared" si="254"/>
        <v>0.26897785437563354</v>
      </c>
      <c r="DV89" s="170">
        <f t="shared" si="255"/>
        <v>0.51863074954695232</v>
      </c>
      <c r="DW89" s="170">
        <f t="shared" si="255"/>
        <v>0.26897785437563354</v>
      </c>
      <c r="DX89" s="272">
        <f t="shared" si="255"/>
        <v>0.51863074954695232</v>
      </c>
      <c r="DY89" s="272">
        <f t="shared" si="142"/>
        <v>2.9525024081060951</v>
      </c>
      <c r="DZ89" s="22">
        <f t="shared" si="12"/>
        <v>195.04806100210507</v>
      </c>
      <c r="EA89" s="216">
        <f t="shared" si="13"/>
        <v>1.2778736809202485E-2</v>
      </c>
      <c r="EB89" s="12">
        <f t="shared" si="143"/>
        <v>2</v>
      </c>
      <c r="EC89" s="7">
        <f>ROUND(MAX(DV89,DX89)/'Inputs-Imperial'!$E$21,0)</f>
        <v>4</v>
      </c>
      <c r="ED89" s="12">
        <f t="shared" si="144"/>
        <v>4</v>
      </c>
      <c r="EE89" s="2">
        <f t="shared" si="145"/>
        <v>2</v>
      </c>
      <c r="EF89" s="127">
        <f t="shared" si="146"/>
        <v>2</v>
      </c>
      <c r="EG89" s="2">
        <f t="shared" si="147"/>
        <v>1.5748031496062995E-2</v>
      </c>
      <c r="EH89" s="8">
        <f t="shared" si="14"/>
        <v>0.13448066093169034</v>
      </c>
      <c r="EI89" s="138">
        <f t="shared" si="148"/>
        <v>0.25</v>
      </c>
      <c r="EJ89" s="12">
        <f t="shared" si="15"/>
        <v>11146.996686270302</v>
      </c>
      <c r="EK89" s="138">
        <f t="shared" si="149"/>
        <v>0.25</v>
      </c>
      <c r="EL89" s="116">
        <f t="shared" si="150"/>
        <v>2175570</v>
      </c>
      <c r="EM89" s="2">
        <f t="shared" si="16"/>
        <v>1.5748031496062995E-2</v>
      </c>
      <c r="EN89" s="8">
        <f t="shared" si="151"/>
        <v>3.9897639072</v>
      </c>
      <c r="EO89" s="116">
        <f t="shared" si="152"/>
        <v>2610.6840000000002</v>
      </c>
      <c r="EP89" s="217">
        <f t="shared" si="153"/>
        <v>1.0170923612136027</v>
      </c>
      <c r="EQ89" s="207">
        <f t="shared" si="154"/>
        <v>2</v>
      </c>
      <c r="ER89" s="144">
        <f t="shared" si="155"/>
        <v>42152.994718838338</v>
      </c>
      <c r="ES89" s="138">
        <f t="shared" si="17"/>
        <v>0.25</v>
      </c>
      <c r="ET89" s="116">
        <f t="shared" si="156"/>
        <v>2175570</v>
      </c>
      <c r="EU89" s="2">
        <f t="shared" si="18"/>
        <v>1.5748031496062995E-2</v>
      </c>
      <c r="EV89" s="8">
        <f t="shared" si="157"/>
        <v>3.9897639072</v>
      </c>
      <c r="EW89" s="116">
        <f t="shared" si="158"/>
        <v>2610.6840000000002</v>
      </c>
      <c r="EX89" s="217">
        <f t="shared" si="159"/>
        <v>1.0170923612136027</v>
      </c>
      <c r="EY89" s="207">
        <f t="shared" si="160"/>
        <v>2</v>
      </c>
      <c r="EZ89" s="144">
        <f t="shared" si="161"/>
        <v>42152.994718838338</v>
      </c>
      <c r="FA89" s="138">
        <f t="shared" si="19"/>
        <v>0.25</v>
      </c>
      <c r="FB89" s="116">
        <f t="shared" si="162"/>
        <v>2175570</v>
      </c>
      <c r="FC89" s="2">
        <f t="shared" si="20"/>
        <v>1.5748031496062995E-2</v>
      </c>
      <c r="FD89" s="8">
        <f t="shared" si="163"/>
        <v>3.9897639072</v>
      </c>
      <c r="FE89" s="116">
        <f t="shared" si="164"/>
        <v>2610.6840000000002</v>
      </c>
      <c r="FF89" s="217">
        <f t="shared" si="165"/>
        <v>1.0170923612136027</v>
      </c>
      <c r="FG89" s="207">
        <f t="shared" si="166"/>
        <v>2</v>
      </c>
      <c r="FH89" s="144">
        <f t="shared" si="167"/>
        <v>42152.994718838338</v>
      </c>
      <c r="FI89" s="128">
        <f t="shared" si="168"/>
        <v>0.25</v>
      </c>
      <c r="FJ89" s="2">
        <f t="shared" si="169"/>
        <v>1.5748031496062995E-2</v>
      </c>
      <c r="FK89" s="127">
        <f t="shared" si="170"/>
        <v>1.5748031496062995E-2</v>
      </c>
      <c r="FL89" s="216">
        <f t="shared" si="171"/>
        <v>0</v>
      </c>
      <c r="FM89" s="138">
        <f t="shared" si="172"/>
        <v>0.25</v>
      </c>
      <c r="FN89" s="138">
        <f t="shared" si="173"/>
        <v>0</v>
      </c>
      <c r="FO89" s="238">
        <f t="shared" si="174"/>
        <v>0</v>
      </c>
      <c r="FP89" s="216">
        <f t="shared" si="21"/>
        <v>0</v>
      </c>
      <c r="FQ89" s="138">
        <f t="shared" si="22"/>
        <v>0.25</v>
      </c>
      <c r="FR89" s="138">
        <f t="shared" si="23"/>
        <v>0</v>
      </c>
      <c r="FS89" s="238">
        <f t="shared" si="24"/>
        <v>0</v>
      </c>
      <c r="FT89" s="216">
        <f t="shared" si="175"/>
        <v>0</v>
      </c>
      <c r="FU89" s="138">
        <f t="shared" si="176"/>
        <v>1.5748031496062995E-2</v>
      </c>
      <c r="FV89" s="138">
        <f t="shared" si="177"/>
        <v>0</v>
      </c>
      <c r="FW89" s="238">
        <f t="shared" si="178"/>
        <v>0</v>
      </c>
      <c r="FX89" s="216">
        <f t="shared" si="25"/>
        <v>0</v>
      </c>
      <c r="FY89" s="138">
        <f t="shared" si="26"/>
        <v>1.5748031496062995E-2</v>
      </c>
      <c r="FZ89" s="138">
        <f t="shared" si="27"/>
        <v>0</v>
      </c>
      <c r="GA89" s="238">
        <f t="shared" si="28"/>
        <v>0</v>
      </c>
      <c r="GB89" s="216">
        <f t="shared" si="179"/>
        <v>0</v>
      </c>
      <c r="GC89" s="138">
        <f t="shared" si="180"/>
        <v>1.5748031496062995E-2</v>
      </c>
      <c r="GD89" s="138">
        <f t="shared" si="181"/>
        <v>0</v>
      </c>
      <c r="GE89" s="238">
        <f t="shared" si="182"/>
        <v>0</v>
      </c>
      <c r="GF89" s="216">
        <f t="shared" si="29"/>
        <v>0</v>
      </c>
      <c r="GG89" s="138">
        <f t="shared" si="30"/>
        <v>1.5748031496062995E-2</v>
      </c>
      <c r="GH89" s="138">
        <f t="shared" si="31"/>
        <v>0</v>
      </c>
      <c r="GI89" s="238">
        <f t="shared" si="32"/>
        <v>0</v>
      </c>
      <c r="GJ89" s="216">
        <f t="shared" si="183"/>
        <v>0.25</v>
      </c>
      <c r="GK89" s="216">
        <f t="shared" si="184"/>
        <v>1.5748031496062995E-2</v>
      </c>
      <c r="GL89" s="17">
        <f t="shared" si="185"/>
        <v>1.5748031496062995E-2</v>
      </c>
      <c r="GM89" s="216">
        <f t="shared" si="186"/>
        <v>6.6588346102674049E-3</v>
      </c>
      <c r="GN89" s="2">
        <f t="shared" si="187"/>
        <v>1</v>
      </c>
      <c r="GO89" s="2">
        <f t="shared" si="188"/>
        <v>2</v>
      </c>
      <c r="GP89" s="142">
        <f t="shared" si="189"/>
        <v>2</v>
      </c>
      <c r="GQ89" s="2">
        <f t="shared" si="190"/>
        <v>1.5748031496062995E-2</v>
      </c>
      <c r="GR89" s="8">
        <f t="shared" si="33"/>
        <v>7.0076134503271159E-2</v>
      </c>
      <c r="GS89" s="138">
        <f t="shared" si="191"/>
        <v>0.25</v>
      </c>
      <c r="GT89" s="12">
        <f t="shared" si="34"/>
        <v>5808.5559193628287</v>
      </c>
      <c r="GU89" s="138">
        <f t="shared" si="192"/>
        <v>0.25</v>
      </c>
      <c r="GV89" s="116">
        <f t="shared" si="193"/>
        <v>2175570</v>
      </c>
      <c r="GW89" s="2">
        <f t="shared" si="35"/>
        <v>1.5748031496062995E-2</v>
      </c>
      <c r="GX89" s="8">
        <f t="shared" si="36"/>
        <v>1.9948819536</v>
      </c>
      <c r="GY89" s="116">
        <f t="shared" si="194"/>
        <v>2610.6840000000002</v>
      </c>
      <c r="GZ89" s="217">
        <f t="shared" si="195"/>
        <v>4.0683694448544108</v>
      </c>
      <c r="HA89" s="207">
        <f t="shared" si="196"/>
        <v>2</v>
      </c>
      <c r="HB89" s="144">
        <f t="shared" si="197"/>
        <v>168611.97887535335</v>
      </c>
      <c r="HC89" s="138">
        <f t="shared" si="37"/>
        <v>0.25</v>
      </c>
      <c r="HD89" s="116">
        <f t="shared" si="198"/>
        <v>2175570</v>
      </c>
      <c r="HE89" s="2">
        <f t="shared" si="38"/>
        <v>1.5748031496062995E-2</v>
      </c>
      <c r="HF89" s="8">
        <f t="shared" si="199"/>
        <v>1.9948819536</v>
      </c>
      <c r="HG89" s="116">
        <f t="shared" si="200"/>
        <v>2610.6840000000002</v>
      </c>
      <c r="HH89" s="217">
        <f t="shared" si="201"/>
        <v>4.0683694448544108</v>
      </c>
      <c r="HI89" s="207">
        <f t="shared" si="202"/>
        <v>2</v>
      </c>
      <c r="HJ89" s="144">
        <f t="shared" si="203"/>
        <v>168611.97887535335</v>
      </c>
      <c r="HK89" s="138">
        <f t="shared" si="39"/>
        <v>0.25</v>
      </c>
      <c r="HL89" s="116">
        <f t="shared" si="204"/>
        <v>2175570</v>
      </c>
      <c r="HM89" s="2">
        <f t="shared" si="40"/>
        <v>1.5748031496062995E-2</v>
      </c>
      <c r="HN89" s="8">
        <f t="shared" si="205"/>
        <v>1.9948819536</v>
      </c>
      <c r="HO89" s="116">
        <f t="shared" si="206"/>
        <v>2610.6840000000002</v>
      </c>
      <c r="HP89" s="217">
        <f t="shared" si="207"/>
        <v>4.0683694448544108</v>
      </c>
      <c r="HQ89" s="207">
        <f t="shared" si="208"/>
        <v>2</v>
      </c>
      <c r="HR89" s="144">
        <f t="shared" si="209"/>
        <v>168611.97887535335</v>
      </c>
      <c r="HS89" s="128">
        <f t="shared" si="210"/>
        <v>0.25</v>
      </c>
      <c r="HT89" s="2">
        <f t="shared" si="211"/>
        <v>1.5748031496062995E-2</v>
      </c>
      <c r="HU89" s="127">
        <f t="shared" si="212"/>
        <v>1.5748031496062995E-2</v>
      </c>
      <c r="HV89" s="216">
        <f t="shared" si="213"/>
        <v>0</v>
      </c>
      <c r="HW89" s="138">
        <f t="shared" si="214"/>
        <v>0.25</v>
      </c>
      <c r="HX89" s="138">
        <f t="shared" si="215"/>
        <v>0</v>
      </c>
      <c r="HY89" s="238">
        <f t="shared" si="216"/>
        <v>0</v>
      </c>
      <c r="HZ89" s="138">
        <f t="shared" si="217"/>
        <v>0</v>
      </c>
      <c r="IA89" s="138">
        <f t="shared" si="218"/>
        <v>0.25</v>
      </c>
      <c r="IB89" s="138">
        <f t="shared" si="219"/>
        <v>0</v>
      </c>
      <c r="IC89" s="138">
        <f t="shared" si="220"/>
        <v>0</v>
      </c>
      <c r="ID89" s="216">
        <f t="shared" si="221"/>
        <v>0</v>
      </c>
      <c r="IE89" s="138">
        <f t="shared" si="222"/>
        <v>1.5748031496062995E-2</v>
      </c>
      <c r="IF89" s="138">
        <f t="shared" si="223"/>
        <v>0</v>
      </c>
      <c r="IG89" s="238">
        <f t="shared" si="224"/>
        <v>0</v>
      </c>
      <c r="IH89" s="138">
        <f t="shared" si="225"/>
        <v>0</v>
      </c>
      <c r="II89" s="138">
        <f t="shared" si="226"/>
        <v>1.5748031496062995E-2</v>
      </c>
      <c r="IJ89" s="138">
        <f t="shared" si="227"/>
        <v>0</v>
      </c>
      <c r="IK89" s="138">
        <f t="shared" si="228"/>
        <v>0</v>
      </c>
      <c r="IL89" s="216">
        <f t="shared" si="229"/>
        <v>0</v>
      </c>
      <c r="IM89" s="138">
        <f t="shared" si="230"/>
        <v>1.5748031496062995E-2</v>
      </c>
      <c r="IN89" s="138">
        <f t="shared" si="231"/>
        <v>0</v>
      </c>
      <c r="IO89" s="238">
        <f t="shared" si="232"/>
        <v>0</v>
      </c>
      <c r="IP89" s="138">
        <f t="shared" si="233"/>
        <v>0</v>
      </c>
      <c r="IQ89" s="138">
        <f t="shared" si="234"/>
        <v>1.5748031496062995E-2</v>
      </c>
      <c r="IR89" s="138">
        <f t="shared" si="235"/>
        <v>0</v>
      </c>
      <c r="IS89" s="138">
        <f t="shared" si="236"/>
        <v>0</v>
      </c>
      <c r="IT89" s="17">
        <f t="shared" si="237"/>
        <v>0.25</v>
      </c>
      <c r="IU89" s="17">
        <f t="shared" si="238"/>
        <v>1.5748031496062995E-2</v>
      </c>
      <c r="IV89" s="17">
        <f t="shared" si="239"/>
        <v>1.5748031496062995E-2</v>
      </c>
      <c r="IW89" s="253">
        <f t="shared" si="240"/>
        <v>11.082677519999999</v>
      </c>
      <c r="IX89" s="116">
        <f t="shared" si="241"/>
        <v>262.25045023154433</v>
      </c>
      <c r="IY89" s="8">
        <f t="shared" si="242"/>
        <v>6.7805622551903033E-3</v>
      </c>
      <c r="IZ89" s="8">
        <f t="shared" si="243"/>
        <v>6.7805622551903033E-3</v>
      </c>
      <c r="JA89" s="8">
        <f t="shared" si="244"/>
        <v>3.3902811275951517E-3</v>
      </c>
      <c r="JB89" s="134">
        <f t="shared" si="245"/>
        <v>5.822612066414138E-2</v>
      </c>
      <c r="JC89" s="170">
        <f t="shared" si="256"/>
        <v>4.2410538734210714E-3</v>
      </c>
      <c r="JD89" s="272">
        <f t="shared" si="257"/>
        <v>6.5123374247815752E-2</v>
      </c>
      <c r="JE89" s="8"/>
      <c r="JF89" s="8"/>
    </row>
    <row r="90" spans="1:266" x14ac:dyDescent="0.25">
      <c r="A90" s="186">
        <v>30</v>
      </c>
      <c r="B90" s="187">
        <f>A90/100*'Inputs-Imperial'!$E$5</f>
        <v>2.9527559999999999</v>
      </c>
      <c r="C90" s="188">
        <f>'Inputs-Imperial'!$E$10+('Inputs-Imperial'!$E$9-'Inputs-Imperial'!$E$10)*(100-A90)/100</f>
        <v>1.8372704</v>
      </c>
      <c r="D90" s="187">
        <f t="shared" si="248"/>
        <v>9.8425199999999879E-2</v>
      </c>
      <c r="E90" s="188">
        <f t="shared" si="249"/>
        <v>0.18131808257383178</v>
      </c>
      <c r="F90" s="423">
        <f>Loads!P50</f>
        <v>76.401479751004828</v>
      </c>
      <c r="G90" s="423">
        <f>Loads!M50</f>
        <v>764.01479751004774</v>
      </c>
      <c r="H90" s="423">
        <f>Loads!N50</f>
        <v>2345.4369057072945</v>
      </c>
      <c r="I90" s="423">
        <f>Loads!V50</f>
        <v>-646.87760073419781</v>
      </c>
      <c r="J90" s="423">
        <f>Loads!Q50</f>
        <v>234.54369057072955</v>
      </c>
      <c r="K90" s="2">
        <v>30</v>
      </c>
      <c r="L90" s="12">
        <f t="shared" si="41"/>
        <v>35.433071999999996</v>
      </c>
      <c r="M90" s="11">
        <f t="shared" si="42"/>
        <v>22.047244800000001</v>
      </c>
      <c r="N90" s="11">
        <f t="shared" si="43"/>
        <v>1.1811023999999986</v>
      </c>
      <c r="O90" s="152">
        <f t="shared" si="44"/>
        <v>26.109803890631778</v>
      </c>
      <c r="P90" s="151">
        <f t="shared" si="45"/>
        <v>76.401479751004828</v>
      </c>
      <c r="Q90" s="12">
        <f t="shared" si="46"/>
        <v>764.01479751004774</v>
      </c>
      <c r="R90" s="12">
        <f t="shared" si="47"/>
        <v>28145.242868487534</v>
      </c>
      <c r="S90" s="12">
        <f t="shared" si="48"/>
        <v>-7762.5312088103738</v>
      </c>
      <c r="T90" s="152">
        <f t="shared" si="49"/>
        <v>2814.5242868487549</v>
      </c>
      <c r="U90" s="8">
        <f t="shared" si="0"/>
        <v>3.9685040640000002</v>
      </c>
      <c r="V90" s="8">
        <f t="shared" si="1"/>
        <v>3.9685040640000002</v>
      </c>
      <c r="W90" s="134">
        <f t="shared" si="2"/>
        <v>1.9842520320000001</v>
      </c>
      <c r="X90" s="311">
        <f t="shared" si="3"/>
        <v>5.5118112000000004</v>
      </c>
      <c r="Y90" s="11">
        <f t="shared" si="4"/>
        <v>16.535433600000001</v>
      </c>
      <c r="Z90" s="11">
        <f t="shared" si="5"/>
        <v>11.023622400000001</v>
      </c>
      <c r="AA90" s="316">
        <f t="shared" si="50"/>
        <v>16.535433600000001</v>
      </c>
      <c r="AB90" s="170">
        <f t="shared" si="51"/>
        <v>2.9763780479999999</v>
      </c>
      <c r="AC90" s="11">
        <f t="shared" si="52"/>
        <v>16.535433600000001</v>
      </c>
      <c r="AD90" s="152">
        <f t="shared" si="53"/>
        <v>38.653921632192642</v>
      </c>
      <c r="AE90" s="151">
        <f t="shared" si="6"/>
        <v>4.6204702942295279</v>
      </c>
      <c r="AF90" s="12">
        <f t="shared" si="54"/>
        <v>100.41065538800862</v>
      </c>
      <c r="AG90" s="216">
        <f t="shared" si="7"/>
        <v>6.881202022577932E-3</v>
      </c>
      <c r="AH90" s="2">
        <f t="shared" si="55"/>
        <v>1</v>
      </c>
      <c r="AI90" s="2">
        <f t="shared" si="56"/>
        <v>3</v>
      </c>
      <c r="AJ90" s="127">
        <f t="shared" si="57"/>
        <v>2</v>
      </c>
      <c r="AK90" s="2">
        <f t="shared" si="58"/>
        <v>1.5748031496062995E-2</v>
      </c>
      <c r="AL90" s="8">
        <f t="shared" si="8"/>
        <v>7.2416281031342233E-2</v>
      </c>
      <c r="AM90" s="138">
        <f t="shared" si="59"/>
        <v>0.25</v>
      </c>
      <c r="AN90" s="12">
        <f t="shared" si="9"/>
        <v>6002.5288327399094</v>
      </c>
      <c r="AO90" s="138">
        <f t="shared" si="60"/>
        <v>0.25</v>
      </c>
      <c r="AP90" s="116">
        <f t="shared" si="61"/>
        <v>2175570</v>
      </c>
      <c r="AQ90" s="2">
        <f t="shared" si="62"/>
        <v>1.5748031496062995E-2</v>
      </c>
      <c r="AR90" s="8">
        <f t="shared" si="63"/>
        <v>11.023622400000001</v>
      </c>
      <c r="AS90" s="116">
        <f t="shared" si="64"/>
        <v>2610.6840000000002</v>
      </c>
      <c r="AT90" s="217">
        <f t="shared" si="65"/>
        <v>0.13323125836715646</v>
      </c>
      <c r="AU90" s="207">
        <f t="shared" si="66"/>
        <v>3.5804155563388029</v>
      </c>
      <c r="AV90" s="144">
        <f t="shared" si="67"/>
        <v>9885.0213362720533</v>
      </c>
      <c r="AW90" s="138">
        <f t="shared" si="68"/>
        <v>0.25</v>
      </c>
      <c r="AX90" s="116">
        <f t="shared" si="69"/>
        <v>2175570</v>
      </c>
      <c r="AY90" s="2">
        <f t="shared" si="70"/>
        <v>1.5748031496062995E-2</v>
      </c>
      <c r="AZ90" s="8">
        <f t="shared" si="71"/>
        <v>11.023622400000001</v>
      </c>
      <c r="BA90" s="116">
        <f t="shared" si="72"/>
        <v>2610.6840000000002</v>
      </c>
      <c r="BB90" s="217">
        <f t="shared" si="73"/>
        <v>0.13323125836715646</v>
      </c>
      <c r="BC90" s="207">
        <f t="shared" si="74"/>
        <v>3.5804155563388029</v>
      </c>
      <c r="BD90" s="144">
        <f t="shared" si="75"/>
        <v>9885.0213362720533</v>
      </c>
      <c r="BE90" s="138">
        <f t="shared" si="76"/>
        <v>0.25</v>
      </c>
      <c r="BF90" s="116">
        <f t="shared" si="77"/>
        <v>2175570</v>
      </c>
      <c r="BG90" s="2">
        <f t="shared" si="78"/>
        <v>1.5748031496062995E-2</v>
      </c>
      <c r="BH90" s="8">
        <f t="shared" si="79"/>
        <v>11.023622400000001</v>
      </c>
      <c r="BI90" s="116">
        <f t="shared" si="80"/>
        <v>2610.6840000000002</v>
      </c>
      <c r="BJ90" s="217">
        <f t="shared" si="81"/>
        <v>0.13323125836715646</v>
      </c>
      <c r="BK90" s="207">
        <f t="shared" si="82"/>
        <v>3.5804155563388029</v>
      </c>
      <c r="BL90" s="144">
        <f t="shared" si="83"/>
        <v>9885.0213362720533</v>
      </c>
      <c r="BM90" s="216">
        <f t="shared" si="84"/>
        <v>0.25</v>
      </c>
      <c r="BN90" s="216">
        <f t="shared" si="85"/>
        <v>2.3622047244094495E-2</v>
      </c>
      <c r="BO90" s="238">
        <f t="shared" si="86"/>
        <v>1.5748031496062995E-2</v>
      </c>
      <c r="BP90" s="216">
        <f t="shared" si="87"/>
        <v>0</v>
      </c>
      <c r="BQ90" s="138">
        <f t="shared" si="88"/>
        <v>0.25</v>
      </c>
      <c r="BR90" s="138">
        <f t="shared" si="89"/>
        <v>0</v>
      </c>
      <c r="BS90" s="238">
        <f t="shared" si="90"/>
        <v>0</v>
      </c>
      <c r="BT90" s="138">
        <f t="shared" si="91"/>
        <v>0</v>
      </c>
      <c r="BU90" s="138">
        <f t="shared" si="92"/>
        <v>0.25</v>
      </c>
      <c r="BV90" s="138">
        <f t="shared" si="93"/>
        <v>0</v>
      </c>
      <c r="BW90" s="238">
        <f t="shared" si="94"/>
        <v>0</v>
      </c>
      <c r="BX90" s="216">
        <f t="shared" si="95"/>
        <v>0</v>
      </c>
      <c r="BY90" s="138">
        <f t="shared" si="96"/>
        <v>2.3622047244094495E-2</v>
      </c>
      <c r="BZ90" s="138">
        <f t="shared" si="97"/>
        <v>0</v>
      </c>
      <c r="CA90" s="238">
        <f t="shared" si="98"/>
        <v>0</v>
      </c>
      <c r="CB90" s="138">
        <f t="shared" si="99"/>
        <v>0</v>
      </c>
      <c r="CC90" s="138">
        <f t="shared" si="100"/>
        <v>2.3622047244094495E-2</v>
      </c>
      <c r="CD90" s="138">
        <f t="shared" si="101"/>
        <v>0</v>
      </c>
      <c r="CE90" s="238">
        <f t="shared" si="102"/>
        <v>0</v>
      </c>
      <c r="CF90" s="216">
        <f t="shared" si="103"/>
        <v>0</v>
      </c>
      <c r="CG90" s="138">
        <f t="shared" si="104"/>
        <v>1.5748031496062995E-2</v>
      </c>
      <c r="CH90" s="138">
        <f t="shared" si="105"/>
        <v>0</v>
      </c>
      <c r="CI90" s="238">
        <f t="shared" si="106"/>
        <v>0</v>
      </c>
      <c r="CJ90" s="138">
        <f t="shared" si="107"/>
        <v>0</v>
      </c>
      <c r="CK90" s="138">
        <f t="shared" si="108"/>
        <v>1.5748031496062995E-2</v>
      </c>
      <c r="CL90" s="138">
        <f t="shared" si="109"/>
        <v>0</v>
      </c>
      <c r="CM90" s="238">
        <f t="shared" si="110"/>
        <v>0</v>
      </c>
      <c r="CN90" s="17">
        <f t="shared" si="111"/>
        <v>0.25</v>
      </c>
      <c r="CO90" s="17">
        <f t="shared" si="112"/>
        <v>2.3622047244094495E-2</v>
      </c>
      <c r="CP90" s="17">
        <f t="shared" si="113"/>
        <v>1.5748031496062995E-2</v>
      </c>
      <c r="CQ90" s="17">
        <f>$U90-IF('Inputs-Imperial'!$E$13,0,2)*($CO90+$CN90+$CP90)</f>
        <v>3.9685040640000002</v>
      </c>
      <c r="CR90" s="116">
        <f t="shared" si="114"/>
        <v>7092.1542260231217</v>
      </c>
      <c r="CS90" s="8">
        <f t="shared" si="10"/>
        <v>0.18336972619304392</v>
      </c>
      <c r="CT90" s="8">
        <f t="shared" si="115"/>
        <v>0.42821691488431879</v>
      </c>
      <c r="CU90" s="8">
        <f t="shared" si="11"/>
        <v>0.18336972619304392</v>
      </c>
      <c r="CV90" s="8">
        <f t="shared" si="116"/>
        <v>0.42821691488431879</v>
      </c>
      <c r="CW90" s="216">
        <f t="shared" si="117"/>
        <v>3.5402871491156818</v>
      </c>
      <c r="CX90" s="116">
        <f t="shared" si="118"/>
        <v>7949.988710807781</v>
      </c>
      <c r="CY90" s="8">
        <f t="shared" si="119"/>
        <v>0.20554928822466648</v>
      </c>
      <c r="CZ90" s="8">
        <f t="shared" si="120"/>
        <v>0.45337543848852957</v>
      </c>
      <c r="DA90" s="8">
        <f t="shared" si="121"/>
        <v>0.20554928822466648</v>
      </c>
      <c r="DB90" s="8">
        <f t="shared" si="122"/>
        <v>0.45337543848852957</v>
      </c>
      <c r="DC90" s="216">
        <f t="shared" si="123"/>
        <v>3.5151286255114709</v>
      </c>
      <c r="DD90" s="116">
        <f t="shared" si="124"/>
        <v>8006.8884717958917</v>
      </c>
      <c r="DE90" s="8">
        <f t="shared" si="125"/>
        <v>0.20702044822208382</v>
      </c>
      <c r="DF90" s="8">
        <f t="shared" si="126"/>
        <v>0.45499499801875165</v>
      </c>
      <c r="DG90" s="8">
        <f t="shared" si="127"/>
        <v>0.20702044822208382</v>
      </c>
      <c r="DH90" s="8">
        <f t="shared" si="128"/>
        <v>0.45499499801875165</v>
      </c>
      <c r="DI90" s="216">
        <f t="shared" si="129"/>
        <v>3.5135090659812489</v>
      </c>
      <c r="DJ90" s="116">
        <f t="shared" si="130"/>
        <v>8010.5792641884536</v>
      </c>
      <c r="DK90" s="8">
        <f t="shared" si="131"/>
        <v>0.20711587474114851</v>
      </c>
      <c r="DL90" s="8">
        <f t="shared" si="132"/>
        <v>0.4550998513965353</v>
      </c>
      <c r="DM90" s="8">
        <f t="shared" si="133"/>
        <v>0.20711587474114851</v>
      </c>
      <c r="DN90" s="8">
        <f t="shared" si="134"/>
        <v>0.4550998513965353</v>
      </c>
      <c r="DO90" s="216">
        <f t="shared" si="135"/>
        <v>3.513404212603465</v>
      </c>
      <c r="DP90" s="116">
        <f t="shared" si="136"/>
        <v>8010.818330416826</v>
      </c>
      <c r="DQ90" s="170">
        <f t="shared" si="137"/>
        <v>0.20712205586855234</v>
      </c>
      <c r="DR90" s="8">
        <f t="shared" si="138"/>
        <v>0.45510664230326536</v>
      </c>
      <c r="DS90" s="8">
        <f t="shared" si="139"/>
        <v>0.20712205586855234</v>
      </c>
      <c r="DT90" s="134">
        <f t="shared" si="140"/>
        <v>0.45510664230326536</v>
      </c>
      <c r="DU90" s="170">
        <f>MAX(DQ$90:DQ$99)</f>
        <v>0.20712205586855234</v>
      </c>
      <c r="DV90" s="170">
        <f>MAX(DR$90:DR$99)</f>
        <v>0.45510664230326536</v>
      </c>
      <c r="DW90" s="170">
        <f>MAX(DS$90:DS$99)</f>
        <v>0.20712205586855234</v>
      </c>
      <c r="DX90" s="272">
        <f>MAX(DT$90:DT$99)</f>
        <v>0.45510664230326536</v>
      </c>
      <c r="DY90" s="272">
        <f t="shared" si="142"/>
        <v>3.0582907793934693</v>
      </c>
      <c r="DZ90" s="22">
        <f t="shared" si="12"/>
        <v>192.51959559289688</v>
      </c>
      <c r="EA90" s="216">
        <f t="shared" si="13"/>
        <v>1.2613082283700203E-2</v>
      </c>
      <c r="EB90" s="12">
        <f t="shared" si="143"/>
        <v>2</v>
      </c>
      <c r="EC90" s="7">
        <f>ROUND(MAX(DV90,DX90)/'Inputs-Imperial'!$E$21,0)</f>
        <v>4</v>
      </c>
      <c r="ED90" s="12">
        <f t="shared" si="144"/>
        <v>4</v>
      </c>
      <c r="EE90" s="2">
        <f t="shared" si="145"/>
        <v>2</v>
      </c>
      <c r="EF90" s="127">
        <f t="shared" si="146"/>
        <v>2</v>
      </c>
      <c r="EG90" s="2">
        <f t="shared" si="147"/>
        <v>1.5748031496062995E-2</v>
      </c>
      <c r="EH90" s="8">
        <f t="shared" si="14"/>
        <v>0.13273734855203248</v>
      </c>
      <c r="EI90" s="138">
        <f t="shared" si="148"/>
        <v>0.25</v>
      </c>
      <c r="EJ90" s="12">
        <f t="shared" si="15"/>
        <v>11002.494888134055</v>
      </c>
      <c r="EK90" s="138">
        <f t="shared" si="149"/>
        <v>0.25</v>
      </c>
      <c r="EL90" s="116">
        <f t="shared" si="150"/>
        <v>2175570</v>
      </c>
      <c r="EM90" s="2">
        <f t="shared" si="16"/>
        <v>1.5748031496062995E-2</v>
      </c>
      <c r="EN90" s="8">
        <f t="shared" si="151"/>
        <v>3.9685040640000002</v>
      </c>
      <c r="EO90" s="116">
        <f t="shared" si="152"/>
        <v>2610.6840000000002</v>
      </c>
      <c r="EP90" s="217">
        <f t="shared" si="153"/>
        <v>1.02801896888238</v>
      </c>
      <c r="EQ90" s="207">
        <f t="shared" si="154"/>
        <v>2</v>
      </c>
      <c r="ER90" s="144">
        <f t="shared" si="155"/>
        <v>42605.84369590391</v>
      </c>
      <c r="ES90" s="138">
        <f t="shared" si="17"/>
        <v>0.25</v>
      </c>
      <c r="ET90" s="116">
        <f t="shared" si="156"/>
        <v>2175570</v>
      </c>
      <c r="EU90" s="2">
        <f t="shared" si="18"/>
        <v>1.5748031496062995E-2</v>
      </c>
      <c r="EV90" s="8">
        <f t="shared" si="157"/>
        <v>3.9685040640000002</v>
      </c>
      <c r="EW90" s="116">
        <f t="shared" si="158"/>
        <v>2610.6840000000002</v>
      </c>
      <c r="EX90" s="217">
        <f t="shared" si="159"/>
        <v>1.02801896888238</v>
      </c>
      <c r="EY90" s="207">
        <f t="shared" si="160"/>
        <v>2</v>
      </c>
      <c r="EZ90" s="144">
        <f t="shared" si="161"/>
        <v>42605.84369590391</v>
      </c>
      <c r="FA90" s="138">
        <f t="shared" si="19"/>
        <v>0.25</v>
      </c>
      <c r="FB90" s="116">
        <f t="shared" si="162"/>
        <v>2175570</v>
      </c>
      <c r="FC90" s="2">
        <f t="shared" si="20"/>
        <v>1.5748031496062995E-2</v>
      </c>
      <c r="FD90" s="8">
        <f t="shared" si="163"/>
        <v>3.9685040640000002</v>
      </c>
      <c r="FE90" s="116">
        <f t="shared" si="164"/>
        <v>2610.6840000000002</v>
      </c>
      <c r="FF90" s="217">
        <f t="shared" si="165"/>
        <v>1.02801896888238</v>
      </c>
      <c r="FG90" s="207">
        <f t="shared" si="166"/>
        <v>2</v>
      </c>
      <c r="FH90" s="144">
        <f t="shared" si="167"/>
        <v>42605.84369590391</v>
      </c>
      <c r="FI90" s="128">
        <f t="shared" si="168"/>
        <v>0.25</v>
      </c>
      <c r="FJ90" s="2">
        <f t="shared" si="169"/>
        <v>1.5748031496062995E-2</v>
      </c>
      <c r="FK90" s="127">
        <f t="shared" si="170"/>
        <v>1.5748031496062995E-2</v>
      </c>
      <c r="FL90" s="216">
        <f t="shared" si="171"/>
        <v>0</v>
      </c>
      <c r="FM90" s="138">
        <f t="shared" si="172"/>
        <v>0.25</v>
      </c>
      <c r="FN90" s="138">
        <f t="shared" si="173"/>
        <v>0</v>
      </c>
      <c r="FO90" s="238">
        <f t="shared" si="174"/>
        <v>0</v>
      </c>
      <c r="FP90" s="216">
        <f t="shared" si="21"/>
        <v>0</v>
      </c>
      <c r="FQ90" s="138">
        <f t="shared" si="22"/>
        <v>0.25</v>
      </c>
      <c r="FR90" s="138">
        <f t="shared" si="23"/>
        <v>0</v>
      </c>
      <c r="FS90" s="238">
        <f t="shared" si="24"/>
        <v>0</v>
      </c>
      <c r="FT90" s="216">
        <f t="shared" si="175"/>
        <v>0</v>
      </c>
      <c r="FU90" s="138">
        <f t="shared" si="176"/>
        <v>1.5748031496062995E-2</v>
      </c>
      <c r="FV90" s="138">
        <f t="shared" si="177"/>
        <v>0</v>
      </c>
      <c r="FW90" s="238">
        <f t="shared" si="178"/>
        <v>0</v>
      </c>
      <c r="FX90" s="216">
        <f t="shared" si="25"/>
        <v>0</v>
      </c>
      <c r="FY90" s="138">
        <f t="shared" si="26"/>
        <v>1.5748031496062995E-2</v>
      </c>
      <c r="FZ90" s="138">
        <f t="shared" si="27"/>
        <v>0</v>
      </c>
      <c r="GA90" s="238">
        <f t="shared" si="28"/>
        <v>0</v>
      </c>
      <c r="GB90" s="216">
        <f t="shared" si="179"/>
        <v>0</v>
      </c>
      <c r="GC90" s="138">
        <f t="shared" si="180"/>
        <v>1.5748031496062995E-2</v>
      </c>
      <c r="GD90" s="138">
        <f t="shared" si="181"/>
        <v>0</v>
      </c>
      <c r="GE90" s="238">
        <f t="shared" si="182"/>
        <v>0</v>
      </c>
      <c r="GF90" s="216">
        <f t="shared" si="29"/>
        <v>0</v>
      </c>
      <c r="GG90" s="138">
        <f t="shared" si="30"/>
        <v>1.5748031496062995E-2</v>
      </c>
      <c r="GH90" s="138">
        <f t="shared" si="31"/>
        <v>0</v>
      </c>
      <c r="GI90" s="238">
        <f t="shared" si="32"/>
        <v>0</v>
      </c>
      <c r="GJ90" s="216">
        <f t="shared" si="183"/>
        <v>0.25</v>
      </c>
      <c r="GK90" s="216">
        <f t="shared" si="184"/>
        <v>1.5748031496062995E-2</v>
      </c>
      <c r="GL90" s="17">
        <f t="shared" si="185"/>
        <v>1.5748031496062995E-2</v>
      </c>
      <c r="GM90" s="216">
        <f t="shared" si="186"/>
        <v>6.5784880477691259E-3</v>
      </c>
      <c r="GN90" s="2">
        <f t="shared" si="187"/>
        <v>1</v>
      </c>
      <c r="GO90" s="2">
        <f t="shared" si="188"/>
        <v>2</v>
      </c>
      <c r="GP90" s="142">
        <f t="shared" si="189"/>
        <v>2</v>
      </c>
      <c r="GQ90" s="2">
        <f t="shared" si="190"/>
        <v>1.5748031496062995E-2</v>
      </c>
      <c r="GR90" s="8">
        <f t="shared" si="33"/>
        <v>6.9230584666093442E-2</v>
      </c>
      <c r="GS90" s="138">
        <f t="shared" si="191"/>
        <v>0.25</v>
      </c>
      <c r="GT90" s="12">
        <f t="shared" si="34"/>
        <v>5738.4689554246916</v>
      </c>
      <c r="GU90" s="138">
        <f t="shared" si="192"/>
        <v>0.25</v>
      </c>
      <c r="GV90" s="116">
        <f t="shared" si="193"/>
        <v>2175570</v>
      </c>
      <c r="GW90" s="2">
        <f t="shared" si="35"/>
        <v>1.5748031496062995E-2</v>
      </c>
      <c r="GX90" s="8">
        <f t="shared" si="36"/>
        <v>1.9842520320000001</v>
      </c>
      <c r="GY90" s="116">
        <f t="shared" si="194"/>
        <v>2610.6840000000002</v>
      </c>
      <c r="GZ90" s="217">
        <f t="shared" si="195"/>
        <v>4.1120758755295199</v>
      </c>
      <c r="HA90" s="207">
        <f t="shared" si="196"/>
        <v>2</v>
      </c>
      <c r="HB90" s="144">
        <f t="shared" si="197"/>
        <v>170423.37478361564</v>
      </c>
      <c r="HC90" s="138">
        <f t="shared" si="37"/>
        <v>0.25</v>
      </c>
      <c r="HD90" s="116">
        <f t="shared" si="198"/>
        <v>2175570</v>
      </c>
      <c r="HE90" s="2">
        <f t="shared" si="38"/>
        <v>1.5748031496062995E-2</v>
      </c>
      <c r="HF90" s="8">
        <f t="shared" si="199"/>
        <v>1.9842520320000001</v>
      </c>
      <c r="HG90" s="116">
        <f t="shared" si="200"/>
        <v>2610.6840000000002</v>
      </c>
      <c r="HH90" s="217">
        <f t="shared" si="201"/>
        <v>4.1120758755295199</v>
      </c>
      <c r="HI90" s="207">
        <f t="shared" si="202"/>
        <v>2</v>
      </c>
      <c r="HJ90" s="144">
        <f t="shared" si="203"/>
        <v>170423.37478361564</v>
      </c>
      <c r="HK90" s="138">
        <f t="shared" si="39"/>
        <v>0.25</v>
      </c>
      <c r="HL90" s="116">
        <f t="shared" si="204"/>
        <v>2175570</v>
      </c>
      <c r="HM90" s="2">
        <f t="shared" si="40"/>
        <v>1.5748031496062995E-2</v>
      </c>
      <c r="HN90" s="8">
        <f t="shared" si="205"/>
        <v>1.9842520320000001</v>
      </c>
      <c r="HO90" s="116">
        <f t="shared" si="206"/>
        <v>2610.6840000000002</v>
      </c>
      <c r="HP90" s="217">
        <f t="shared" si="207"/>
        <v>4.1120758755295199</v>
      </c>
      <c r="HQ90" s="207">
        <f t="shared" si="208"/>
        <v>2</v>
      </c>
      <c r="HR90" s="144">
        <f t="shared" si="209"/>
        <v>170423.37478361564</v>
      </c>
      <c r="HS90" s="128">
        <f t="shared" si="210"/>
        <v>0.25</v>
      </c>
      <c r="HT90" s="2">
        <f t="shared" si="211"/>
        <v>1.5748031496062995E-2</v>
      </c>
      <c r="HU90" s="127">
        <f t="shared" si="212"/>
        <v>1.5748031496062995E-2</v>
      </c>
      <c r="HV90" s="216">
        <f t="shared" si="213"/>
        <v>0</v>
      </c>
      <c r="HW90" s="138">
        <f t="shared" si="214"/>
        <v>0.25</v>
      </c>
      <c r="HX90" s="138">
        <f t="shared" si="215"/>
        <v>0</v>
      </c>
      <c r="HY90" s="238">
        <f t="shared" si="216"/>
        <v>0</v>
      </c>
      <c r="HZ90" s="138">
        <f t="shared" si="217"/>
        <v>0</v>
      </c>
      <c r="IA90" s="138">
        <f t="shared" si="218"/>
        <v>0.25</v>
      </c>
      <c r="IB90" s="138">
        <f t="shared" si="219"/>
        <v>0</v>
      </c>
      <c r="IC90" s="138">
        <f t="shared" si="220"/>
        <v>0</v>
      </c>
      <c r="ID90" s="216">
        <f t="shared" si="221"/>
        <v>0</v>
      </c>
      <c r="IE90" s="138">
        <f t="shared" si="222"/>
        <v>1.5748031496062995E-2</v>
      </c>
      <c r="IF90" s="138">
        <f t="shared" si="223"/>
        <v>0</v>
      </c>
      <c r="IG90" s="238">
        <f t="shared" si="224"/>
        <v>0</v>
      </c>
      <c r="IH90" s="138">
        <f t="shared" si="225"/>
        <v>0</v>
      </c>
      <c r="II90" s="138">
        <f t="shared" si="226"/>
        <v>1.5748031496062995E-2</v>
      </c>
      <c r="IJ90" s="138">
        <f t="shared" si="227"/>
        <v>0</v>
      </c>
      <c r="IK90" s="138">
        <f t="shared" si="228"/>
        <v>0</v>
      </c>
      <c r="IL90" s="216">
        <f t="shared" si="229"/>
        <v>0</v>
      </c>
      <c r="IM90" s="138">
        <f t="shared" si="230"/>
        <v>1.5748031496062995E-2</v>
      </c>
      <c r="IN90" s="138">
        <f t="shared" si="231"/>
        <v>0</v>
      </c>
      <c r="IO90" s="238">
        <f t="shared" si="232"/>
        <v>0</v>
      </c>
      <c r="IP90" s="138">
        <f t="shared" si="233"/>
        <v>0</v>
      </c>
      <c r="IQ90" s="138">
        <f t="shared" si="234"/>
        <v>1.5748031496062995E-2</v>
      </c>
      <c r="IR90" s="138">
        <f t="shared" si="235"/>
        <v>0</v>
      </c>
      <c r="IS90" s="138">
        <f t="shared" si="236"/>
        <v>0</v>
      </c>
      <c r="IT90" s="17">
        <f t="shared" si="237"/>
        <v>0.25</v>
      </c>
      <c r="IU90" s="17">
        <f t="shared" si="238"/>
        <v>1.5748031496062995E-2</v>
      </c>
      <c r="IV90" s="17">
        <f t="shared" si="239"/>
        <v>1.5748031496062995E-2</v>
      </c>
      <c r="IW90" s="253">
        <f t="shared" si="240"/>
        <v>11.023622400000001</v>
      </c>
      <c r="IX90" s="116">
        <f t="shared" si="241"/>
        <v>255.31755213683252</v>
      </c>
      <c r="IY90" s="8">
        <f t="shared" si="242"/>
        <v>6.6013101429495845E-3</v>
      </c>
      <c r="IZ90" s="8">
        <f t="shared" si="243"/>
        <v>6.6013101429495845E-3</v>
      </c>
      <c r="JA90" s="8">
        <f t="shared" si="244"/>
        <v>3.3006550714747922E-3</v>
      </c>
      <c r="JB90" s="134">
        <f t="shared" si="245"/>
        <v>5.7451327847794713E-2</v>
      </c>
      <c r="JC90" s="170">
        <f>MAX(JA$90:JA$99)</f>
        <v>3.3006550714747922E-3</v>
      </c>
      <c r="JD90" s="272">
        <f>MAX(JB$90:JB$99)</f>
        <v>5.7451327847794713E-2</v>
      </c>
      <c r="JE90" s="8"/>
      <c r="JF90" s="8"/>
    </row>
    <row r="91" spans="1:266" x14ac:dyDescent="0.25">
      <c r="A91" s="186">
        <v>31</v>
      </c>
      <c r="B91" s="187">
        <f>A91/100*'Inputs-Imperial'!$E$5</f>
        <v>3.0511812000000003</v>
      </c>
      <c r="C91" s="188">
        <f>'Inputs-Imperial'!$E$10+('Inputs-Imperial'!$E$9-'Inputs-Imperial'!$E$10)*(100-A91)/100</f>
        <v>1.8274278800000001</v>
      </c>
      <c r="D91" s="187">
        <f t="shared" si="248"/>
        <v>9.8425200000000324E-2</v>
      </c>
      <c r="E91" s="188">
        <f t="shared" si="249"/>
        <v>0.18034933057432859</v>
      </c>
      <c r="F91" s="423">
        <f>Loads!P51</f>
        <v>74.989452134337839</v>
      </c>
      <c r="G91" s="423">
        <f>Loads!M51</f>
        <v>749.89452134337785</v>
      </c>
      <c r="H91" s="423">
        <f>Loads!N51</f>
        <v>2270.2385964594082</v>
      </c>
      <c r="I91" s="423">
        <f>Loads!V51</f>
        <v>-632.07072729523384</v>
      </c>
      <c r="J91" s="423">
        <f>Loads!Q51</f>
        <v>227.02385964594092</v>
      </c>
      <c r="K91" s="2">
        <v>31</v>
      </c>
      <c r="L91" s="12">
        <f t="shared" si="41"/>
        <v>36.614174400000003</v>
      </c>
      <c r="M91" s="11">
        <f t="shared" si="42"/>
        <v>21.929134560000001</v>
      </c>
      <c r="N91" s="11">
        <f t="shared" si="43"/>
        <v>1.1811024000000039</v>
      </c>
      <c r="O91" s="152">
        <f t="shared" si="44"/>
        <v>25.970303602703318</v>
      </c>
      <c r="P91" s="151">
        <f t="shared" si="45"/>
        <v>74.989452134337839</v>
      </c>
      <c r="Q91" s="12">
        <f t="shared" si="46"/>
        <v>749.89452134337785</v>
      </c>
      <c r="R91" s="12">
        <f t="shared" si="47"/>
        <v>27242.863157512897</v>
      </c>
      <c r="S91" s="12">
        <f t="shared" si="48"/>
        <v>-7584.848727542806</v>
      </c>
      <c r="T91" s="152">
        <f t="shared" si="49"/>
        <v>2724.2863157512911</v>
      </c>
      <c r="U91" s="8">
        <f t="shared" si="0"/>
        <v>3.9472442208</v>
      </c>
      <c r="V91" s="8">
        <f t="shared" si="1"/>
        <v>3.9472442208</v>
      </c>
      <c r="W91" s="134">
        <f t="shared" si="2"/>
        <v>1.9736221104</v>
      </c>
      <c r="X91" s="311">
        <f t="shared" si="3"/>
        <v>5.4822836400000003</v>
      </c>
      <c r="Y91" s="11">
        <f t="shared" si="4"/>
        <v>16.446850920000003</v>
      </c>
      <c r="Z91" s="11">
        <f t="shared" si="5"/>
        <v>10.964567280000002</v>
      </c>
      <c r="AA91" s="316">
        <f t="shared" si="50"/>
        <v>16.446850920000003</v>
      </c>
      <c r="AB91" s="170">
        <f t="shared" si="51"/>
        <v>2.9604331656</v>
      </c>
      <c r="AC91" s="11">
        <f t="shared" si="52"/>
        <v>16.446850920000003</v>
      </c>
      <c r="AD91" s="152">
        <f t="shared" si="53"/>
        <v>38.240881799955794</v>
      </c>
      <c r="AE91" s="151">
        <f t="shared" si="6"/>
        <v>4.5595021502352031</v>
      </c>
      <c r="AF91" s="12">
        <f t="shared" si="54"/>
        <v>99.171990426637777</v>
      </c>
      <c r="AG91" s="216">
        <f t="shared" si="7"/>
        <v>6.7960554729703006E-3</v>
      </c>
      <c r="AH91" s="2">
        <f t="shared" si="55"/>
        <v>1</v>
      </c>
      <c r="AI91" s="2">
        <f t="shared" si="56"/>
        <v>3</v>
      </c>
      <c r="AJ91" s="127">
        <f t="shared" si="57"/>
        <v>2</v>
      </c>
      <c r="AK91" s="2">
        <f t="shared" si="58"/>
        <v>1.5748031496062995E-2</v>
      </c>
      <c r="AL91" s="8">
        <f t="shared" si="8"/>
        <v>7.1520217168516503E-2</v>
      </c>
      <c r="AM91" s="138">
        <f t="shared" si="59"/>
        <v>0.25</v>
      </c>
      <c r="AN91" s="12">
        <f t="shared" si="9"/>
        <v>5928.254800768289</v>
      </c>
      <c r="AO91" s="138">
        <f t="shared" si="60"/>
        <v>0.25</v>
      </c>
      <c r="AP91" s="116">
        <f t="shared" si="61"/>
        <v>2175570</v>
      </c>
      <c r="AQ91" s="2">
        <f t="shared" si="62"/>
        <v>1.5748031496062995E-2</v>
      </c>
      <c r="AR91" s="8">
        <f t="shared" si="63"/>
        <v>10.964567280000002</v>
      </c>
      <c r="AS91" s="116">
        <f t="shared" si="64"/>
        <v>2610.6840000000002</v>
      </c>
      <c r="AT91" s="217">
        <f t="shared" si="65"/>
        <v>0.13467028942539785</v>
      </c>
      <c r="AU91" s="207">
        <f t="shared" si="66"/>
        <v>3.5680369059300827</v>
      </c>
      <c r="AV91" s="144">
        <f t="shared" si="67"/>
        <v>9957.2446331154551</v>
      </c>
      <c r="AW91" s="138">
        <f t="shared" si="68"/>
        <v>0.25</v>
      </c>
      <c r="AX91" s="116">
        <f t="shared" si="69"/>
        <v>2175570</v>
      </c>
      <c r="AY91" s="2">
        <f t="shared" si="70"/>
        <v>1.5748031496062995E-2</v>
      </c>
      <c r="AZ91" s="8">
        <f t="shared" si="71"/>
        <v>10.964567280000002</v>
      </c>
      <c r="BA91" s="116">
        <f t="shared" si="72"/>
        <v>2610.6840000000002</v>
      </c>
      <c r="BB91" s="217">
        <f t="shared" si="73"/>
        <v>0.13467028942539785</v>
      </c>
      <c r="BC91" s="207">
        <f t="shared" si="74"/>
        <v>3.5680369059300827</v>
      </c>
      <c r="BD91" s="144">
        <f t="shared" si="75"/>
        <v>9957.2446331154551</v>
      </c>
      <c r="BE91" s="138">
        <f t="shared" si="76"/>
        <v>0.25</v>
      </c>
      <c r="BF91" s="116">
        <f t="shared" si="77"/>
        <v>2175570</v>
      </c>
      <c r="BG91" s="2">
        <f t="shared" si="78"/>
        <v>1.5748031496062995E-2</v>
      </c>
      <c r="BH91" s="8">
        <f t="shared" si="79"/>
        <v>10.964567280000002</v>
      </c>
      <c r="BI91" s="116">
        <f t="shared" si="80"/>
        <v>2610.6840000000002</v>
      </c>
      <c r="BJ91" s="217">
        <f t="shared" si="81"/>
        <v>0.13467028942539785</v>
      </c>
      <c r="BK91" s="207">
        <f t="shared" si="82"/>
        <v>3.5680369059300827</v>
      </c>
      <c r="BL91" s="144">
        <f t="shared" si="83"/>
        <v>9957.2446331154551</v>
      </c>
      <c r="BM91" s="216">
        <f t="shared" si="84"/>
        <v>0.25</v>
      </c>
      <c r="BN91" s="216">
        <f t="shared" si="85"/>
        <v>2.3622047244094495E-2</v>
      </c>
      <c r="BO91" s="238">
        <f t="shared" si="86"/>
        <v>1.5748031496062995E-2</v>
      </c>
      <c r="BP91" s="216">
        <f t="shared" si="87"/>
        <v>0</v>
      </c>
      <c r="BQ91" s="138">
        <f t="shared" si="88"/>
        <v>0.25</v>
      </c>
      <c r="BR91" s="138">
        <f t="shared" si="89"/>
        <v>0</v>
      </c>
      <c r="BS91" s="238">
        <f t="shared" si="90"/>
        <v>0</v>
      </c>
      <c r="BT91" s="138">
        <f t="shared" si="91"/>
        <v>0</v>
      </c>
      <c r="BU91" s="138">
        <f t="shared" si="92"/>
        <v>0.25</v>
      </c>
      <c r="BV91" s="138">
        <f t="shared" si="93"/>
        <v>0</v>
      </c>
      <c r="BW91" s="238">
        <f t="shared" si="94"/>
        <v>0</v>
      </c>
      <c r="BX91" s="216">
        <f t="shared" si="95"/>
        <v>0</v>
      </c>
      <c r="BY91" s="138">
        <f t="shared" si="96"/>
        <v>2.3622047244094495E-2</v>
      </c>
      <c r="BZ91" s="138">
        <f t="shared" si="97"/>
        <v>0</v>
      </c>
      <c r="CA91" s="238">
        <f t="shared" si="98"/>
        <v>0</v>
      </c>
      <c r="CB91" s="138">
        <f t="shared" si="99"/>
        <v>0</v>
      </c>
      <c r="CC91" s="138">
        <f t="shared" si="100"/>
        <v>2.3622047244094495E-2</v>
      </c>
      <c r="CD91" s="138">
        <f t="shared" si="101"/>
        <v>0</v>
      </c>
      <c r="CE91" s="238">
        <f t="shared" si="102"/>
        <v>0</v>
      </c>
      <c r="CF91" s="216">
        <f t="shared" si="103"/>
        <v>0</v>
      </c>
      <c r="CG91" s="138">
        <f t="shared" si="104"/>
        <v>1.5748031496062995E-2</v>
      </c>
      <c r="CH91" s="138">
        <f t="shared" si="105"/>
        <v>0</v>
      </c>
      <c r="CI91" s="238">
        <f t="shared" si="106"/>
        <v>0</v>
      </c>
      <c r="CJ91" s="138">
        <f t="shared" si="107"/>
        <v>0</v>
      </c>
      <c r="CK91" s="138">
        <f t="shared" si="108"/>
        <v>1.5748031496062995E-2</v>
      </c>
      <c r="CL91" s="138">
        <f t="shared" si="109"/>
        <v>0</v>
      </c>
      <c r="CM91" s="238">
        <f t="shared" si="110"/>
        <v>0</v>
      </c>
      <c r="CN91" s="17">
        <f t="shared" si="111"/>
        <v>0.25</v>
      </c>
      <c r="CO91" s="17">
        <f t="shared" si="112"/>
        <v>2.3622047244094495E-2</v>
      </c>
      <c r="CP91" s="17">
        <f t="shared" si="113"/>
        <v>1.5748031496062995E-2</v>
      </c>
      <c r="CQ91" s="17">
        <f>$U91-IF('Inputs-Imperial'!$E$13,0,2)*($CO91+$CN91+$CP91)</f>
        <v>3.9472442208</v>
      </c>
      <c r="CR91" s="116">
        <f t="shared" si="114"/>
        <v>6901.7424901040204</v>
      </c>
      <c r="CS91" s="8">
        <f t="shared" si="10"/>
        <v>0.17844657495201308</v>
      </c>
      <c r="CT91" s="8">
        <f t="shared" si="115"/>
        <v>0.42242937273822839</v>
      </c>
      <c r="CU91" s="8">
        <f t="shared" si="11"/>
        <v>0.17844657495201308</v>
      </c>
      <c r="CV91" s="8">
        <f t="shared" si="116"/>
        <v>0.42242937273822839</v>
      </c>
      <c r="CW91" s="216">
        <f t="shared" si="117"/>
        <v>3.524814848061772</v>
      </c>
      <c r="CX91" s="116">
        <f t="shared" si="118"/>
        <v>7728.8777799189147</v>
      </c>
      <c r="CY91" s="8">
        <f t="shared" si="119"/>
        <v>0.19983240029989333</v>
      </c>
      <c r="CZ91" s="8">
        <f t="shared" si="120"/>
        <v>0.44702617406578482</v>
      </c>
      <c r="DA91" s="8">
        <f t="shared" si="121"/>
        <v>0.19983240029989333</v>
      </c>
      <c r="DB91" s="8">
        <f t="shared" si="122"/>
        <v>0.44702617406578482</v>
      </c>
      <c r="DC91" s="216">
        <f t="shared" si="123"/>
        <v>3.500218046734215</v>
      </c>
      <c r="DD91" s="116">
        <f t="shared" si="124"/>
        <v>7783.1903023673403</v>
      </c>
      <c r="DE91" s="8">
        <f t="shared" si="125"/>
        <v>0.20123666648655886</v>
      </c>
      <c r="DF91" s="8">
        <f t="shared" si="126"/>
        <v>0.44859409992392774</v>
      </c>
      <c r="DG91" s="8">
        <f t="shared" si="127"/>
        <v>0.20123666648655886</v>
      </c>
      <c r="DH91" s="8">
        <f t="shared" si="128"/>
        <v>0.44859409992392774</v>
      </c>
      <c r="DI91" s="216">
        <f t="shared" si="129"/>
        <v>3.4986501208760723</v>
      </c>
      <c r="DJ91" s="116">
        <f t="shared" si="130"/>
        <v>7786.6783520185791</v>
      </c>
      <c r="DK91" s="8">
        <f t="shared" si="131"/>
        <v>0.20132685103262365</v>
      </c>
      <c r="DL91" s="8">
        <f t="shared" si="132"/>
        <v>0.44869460775969178</v>
      </c>
      <c r="DM91" s="8">
        <f t="shared" si="133"/>
        <v>0.20132685103262365</v>
      </c>
      <c r="DN91" s="8">
        <f t="shared" si="134"/>
        <v>0.44869460775969178</v>
      </c>
      <c r="DO91" s="216">
        <f t="shared" si="135"/>
        <v>3.498549613040308</v>
      </c>
      <c r="DP91" s="116">
        <f t="shared" si="136"/>
        <v>7786.9020510583287</v>
      </c>
      <c r="DQ91" s="170">
        <f t="shared" si="137"/>
        <v>0.20133263483686159</v>
      </c>
      <c r="DR91" s="8">
        <f t="shared" si="138"/>
        <v>0.44870105285909634</v>
      </c>
      <c r="DS91" s="8">
        <f t="shared" si="139"/>
        <v>0.20133263483686159</v>
      </c>
      <c r="DT91" s="134">
        <f t="shared" si="140"/>
        <v>0.44870105285909634</v>
      </c>
      <c r="DU91" s="170">
        <f t="shared" ref="DU91:DX99" si="258">MAX(DQ$90:DQ$99)</f>
        <v>0.20712205586855234</v>
      </c>
      <c r="DV91" s="170">
        <f t="shared" si="258"/>
        <v>0.45510664230326536</v>
      </c>
      <c r="DW91" s="170">
        <f t="shared" si="258"/>
        <v>0.20712205586855234</v>
      </c>
      <c r="DX91" s="272">
        <f t="shared" si="258"/>
        <v>0.45510664230326536</v>
      </c>
      <c r="DY91" s="272">
        <f t="shared" si="142"/>
        <v>3.0370309361934691</v>
      </c>
      <c r="DZ91" s="22">
        <f t="shared" si="12"/>
        <v>189.97925625980002</v>
      </c>
      <c r="EA91" s="216">
        <f t="shared" si="13"/>
        <v>1.2446649828145778E-2</v>
      </c>
      <c r="EB91" s="12">
        <f t="shared" si="143"/>
        <v>2</v>
      </c>
      <c r="EC91" s="7">
        <f>ROUND(MAX(DV91,DX91)/'Inputs-Imperial'!$E$21,0)</f>
        <v>4</v>
      </c>
      <c r="ED91" s="12">
        <f t="shared" si="144"/>
        <v>4</v>
      </c>
      <c r="EE91" s="2">
        <f t="shared" si="145"/>
        <v>2</v>
      </c>
      <c r="EF91" s="127">
        <f t="shared" si="146"/>
        <v>2</v>
      </c>
      <c r="EG91" s="2">
        <f t="shared" si="147"/>
        <v>1.5748031496062995E-2</v>
      </c>
      <c r="EH91" s="8">
        <f t="shared" si="14"/>
        <v>0.13098584940484564</v>
      </c>
      <c r="EI91" s="138">
        <f t="shared" si="148"/>
        <v>0.25</v>
      </c>
      <c r="EJ91" s="12">
        <f t="shared" si="15"/>
        <v>10857.314495247569</v>
      </c>
      <c r="EK91" s="138">
        <f t="shared" si="149"/>
        <v>0.25</v>
      </c>
      <c r="EL91" s="116">
        <f t="shared" si="150"/>
        <v>2175570</v>
      </c>
      <c r="EM91" s="2">
        <f t="shared" si="16"/>
        <v>1.5748031496062995E-2</v>
      </c>
      <c r="EN91" s="8">
        <f t="shared" si="151"/>
        <v>3.9472442208</v>
      </c>
      <c r="EO91" s="116">
        <f t="shared" si="152"/>
        <v>2610.6840000000002</v>
      </c>
      <c r="EP91" s="217">
        <f t="shared" si="153"/>
        <v>1.0391226035910333</v>
      </c>
      <c r="EQ91" s="207">
        <f t="shared" si="154"/>
        <v>2</v>
      </c>
      <c r="ER91" s="144">
        <f t="shared" si="155"/>
        <v>43066.029489331049</v>
      </c>
      <c r="ES91" s="138">
        <f t="shared" si="17"/>
        <v>0.25</v>
      </c>
      <c r="ET91" s="116">
        <f t="shared" si="156"/>
        <v>2175570</v>
      </c>
      <c r="EU91" s="2">
        <f t="shared" si="18"/>
        <v>1.5748031496062995E-2</v>
      </c>
      <c r="EV91" s="8">
        <f t="shared" si="157"/>
        <v>3.9472442208</v>
      </c>
      <c r="EW91" s="116">
        <f t="shared" si="158"/>
        <v>2610.6840000000002</v>
      </c>
      <c r="EX91" s="217">
        <f t="shared" si="159"/>
        <v>1.0391226035910333</v>
      </c>
      <c r="EY91" s="207">
        <f t="shared" si="160"/>
        <v>2</v>
      </c>
      <c r="EZ91" s="144">
        <f t="shared" si="161"/>
        <v>43066.029489331049</v>
      </c>
      <c r="FA91" s="138">
        <f t="shared" si="19"/>
        <v>0.25</v>
      </c>
      <c r="FB91" s="116">
        <f t="shared" si="162"/>
        <v>2175570</v>
      </c>
      <c r="FC91" s="2">
        <f t="shared" si="20"/>
        <v>1.5748031496062995E-2</v>
      </c>
      <c r="FD91" s="8">
        <f t="shared" si="163"/>
        <v>3.9472442208</v>
      </c>
      <c r="FE91" s="116">
        <f t="shared" si="164"/>
        <v>2610.6840000000002</v>
      </c>
      <c r="FF91" s="217">
        <f t="shared" si="165"/>
        <v>1.0391226035910333</v>
      </c>
      <c r="FG91" s="207">
        <f t="shared" si="166"/>
        <v>2</v>
      </c>
      <c r="FH91" s="144">
        <f t="shared" si="167"/>
        <v>43066.029489331049</v>
      </c>
      <c r="FI91" s="128">
        <f t="shared" si="168"/>
        <v>0.25</v>
      </c>
      <c r="FJ91" s="2">
        <f t="shared" si="169"/>
        <v>1.5748031496062995E-2</v>
      </c>
      <c r="FK91" s="127">
        <f t="shared" si="170"/>
        <v>1.5748031496062995E-2</v>
      </c>
      <c r="FL91" s="216">
        <f t="shared" si="171"/>
        <v>0</v>
      </c>
      <c r="FM91" s="138">
        <f t="shared" si="172"/>
        <v>0.25</v>
      </c>
      <c r="FN91" s="138">
        <f t="shared" si="173"/>
        <v>0</v>
      </c>
      <c r="FO91" s="238">
        <f t="shared" si="174"/>
        <v>0</v>
      </c>
      <c r="FP91" s="216">
        <f t="shared" si="21"/>
        <v>0</v>
      </c>
      <c r="FQ91" s="138">
        <f t="shared" si="22"/>
        <v>0.25</v>
      </c>
      <c r="FR91" s="138">
        <f t="shared" si="23"/>
        <v>0</v>
      </c>
      <c r="FS91" s="238">
        <f t="shared" si="24"/>
        <v>0</v>
      </c>
      <c r="FT91" s="216">
        <f t="shared" si="175"/>
        <v>0</v>
      </c>
      <c r="FU91" s="138">
        <f t="shared" si="176"/>
        <v>1.5748031496062995E-2</v>
      </c>
      <c r="FV91" s="138">
        <f t="shared" si="177"/>
        <v>0</v>
      </c>
      <c r="FW91" s="238">
        <f t="shared" si="178"/>
        <v>0</v>
      </c>
      <c r="FX91" s="216">
        <f t="shared" si="25"/>
        <v>0</v>
      </c>
      <c r="FY91" s="138">
        <f t="shared" si="26"/>
        <v>1.5748031496062995E-2</v>
      </c>
      <c r="FZ91" s="138">
        <f t="shared" si="27"/>
        <v>0</v>
      </c>
      <c r="GA91" s="238">
        <f t="shared" si="28"/>
        <v>0</v>
      </c>
      <c r="GB91" s="216">
        <f t="shared" si="179"/>
        <v>0</v>
      </c>
      <c r="GC91" s="138">
        <f t="shared" si="180"/>
        <v>1.5748031496062995E-2</v>
      </c>
      <c r="GD91" s="138">
        <f t="shared" si="181"/>
        <v>0</v>
      </c>
      <c r="GE91" s="238">
        <f t="shared" si="182"/>
        <v>0</v>
      </c>
      <c r="GF91" s="216">
        <f t="shared" si="29"/>
        <v>0</v>
      </c>
      <c r="GG91" s="138">
        <f t="shared" si="30"/>
        <v>1.5748031496062995E-2</v>
      </c>
      <c r="GH91" s="138">
        <f t="shared" si="31"/>
        <v>0</v>
      </c>
      <c r="GI91" s="238">
        <f t="shared" si="32"/>
        <v>0</v>
      </c>
      <c r="GJ91" s="216">
        <f t="shared" si="183"/>
        <v>0.25</v>
      </c>
      <c r="GK91" s="216">
        <f t="shared" si="184"/>
        <v>1.5748031496062995E-2</v>
      </c>
      <c r="GL91" s="17">
        <f t="shared" si="185"/>
        <v>1.5748031496062995E-2</v>
      </c>
      <c r="GM91" s="216">
        <f t="shared" si="186"/>
        <v>6.4973358770948012E-3</v>
      </c>
      <c r="GN91" s="2">
        <f t="shared" si="187"/>
        <v>1</v>
      </c>
      <c r="GO91" s="2">
        <f t="shared" si="188"/>
        <v>2</v>
      </c>
      <c r="GP91" s="142">
        <f t="shared" si="189"/>
        <v>2</v>
      </c>
      <c r="GQ91" s="2">
        <f t="shared" si="190"/>
        <v>1.5748031496062995E-2</v>
      </c>
      <c r="GR91" s="8">
        <f t="shared" si="33"/>
        <v>6.8376556782800205E-2</v>
      </c>
      <c r="GS91" s="138">
        <f t="shared" si="191"/>
        <v>0.25</v>
      </c>
      <c r="GT91" s="12">
        <f t="shared" si="34"/>
        <v>5667.6792528823471</v>
      </c>
      <c r="GU91" s="138">
        <f t="shared" si="192"/>
        <v>0.25</v>
      </c>
      <c r="GV91" s="116">
        <f t="shared" si="193"/>
        <v>2175570</v>
      </c>
      <c r="GW91" s="2">
        <f t="shared" si="35"/>
        <v>1.5748031496062995E-2</v>
      </c>
      <c r="GX91" s="8">
        <f t="shared" si="36"/>
        <v>1.9736221104</v>
      </c>
      <c r="GY91" s="116">
        <f t="shared" si="194"/>
        <v>2610.6840000000002</v>
      </c>
      <c r="GZ91" s="217">
        <f t="shared" si="195"/>
        <v>4.156490414364133</v>
      </c>
      <c r="HA91" s="207">
        <f t="shared" si="196"/>
        <v>2</v>
      </c>
      <c r="HB91" s="144">
        <f t="shared" si="197"/>
        <v>172264.1179573242</v>
      </c>
      <c r="HC91" s="138">
        <f t="shared" si="37"/>
        <v>0.25</v>
      </c>
      <c r="HD91" s="116">
        <f t="shared" si="198"/>
        <v>2175570</v>
      </c>
      <c r="HE91" s="2">
        <f t="shared" si="38"/>
        <v>1.5748031496062995E-2</v>
      </c>
      <c r="HF91" s="8">
        <f t="shared" si="199"/>
        <v>1.9736221104</v>
      </c>
      <c r="HG91" s="116">
        <f t="shared" si="200"/>
        <v>2610.6840000000002</v>
      </c>
      <c r="HH91" s="217">
        <f t="shared" si="201"/>
        <v>4.156490414364133</v>
      </c>
      <c r="HI91" s="207">
        <f t="shared" si="202"/>
        <v>2</v>
      </c>
      <c r="HJ91" s="144">
        <f t="shared" si="203"/>
        <v>172264.1179573242</v>
      </c>
      <c r="HK91" s="138">
        <f t="shared" si="39"/>
        <v>0.25</v>
      </c>
      <c r="HL91" s="116">
        <f t="shared" si="204"/>
        <v>2175570</v>
      </c>
      <c r="HM91" s="2">
        <f t="shared" si="40"/>
        <v>1.5748031496062995E-2</v>
      </c>
      <c r="HN91" s="8">
        <f t="shared" si="205"/>
        <v>1.9736221104</v>
      </c>
      <c r="HO91" s="116">
        <f t="shared" si="206"/>
        <v>2610.6840000000002</v>
      </c>
      <c r="HP91" s="217">
        <f t="shared" si="207"/>
        <v>4.156490414364133</v>
      </c>
      <c r="HQ91" s="207">
        <f t="shared" si="208"/>
        <v>2</v>
      </c>
      <c r="HR91" s="144">
        <f t="shared" si="209"/>
        <v>172264.1179573242</v>
      </c>
      <c r="HS91" s="128">
        <f t="shared" si="210"/>
        <v>0.25</v>
      </c>
      <c r="HT91" s="2">
        <f t="shared" si="211"/>
        <v>1.5748031496062995E-2</v>
      </c>
      <c r="HU91" s="127">
        <f t="shared" si="212"/>
        <v>1.5748031496062995E-2</v>
      </c>
      <c r="HV91" s="216">
        <f t="shared" si="213"/>
        <v>0</v>
      </c>
      <c r="HW91" s="138">
        <f t="shared" si="214"/>
        <v>0.25</v>
      </c>
      <c r="HX91" s="138">
        <f t="shared" si="215"/>
        <v>0</v>
      </c>
      <c r="HY91" s="238">
        <f t="shared" si="216"/>
        <v>0</v>
      </c>
      <c r="HZ91" s="138">
        <f t="shared" si="217"/>
        <v>0</v>
      </c>
      <c r="IA91" s="138">
        <f t="shared" si="218"/>
        <v>0.25</v>
      </c>
      <c r="IB91" s="138">
        <f t="shared" si="219"/>
        <v>0</v>
      </c>
      <c r="IC91" s="138">
        <f t="shared" si="220"/>
        <v>0</v>
      </c>
      <c r="ID91" s="216">
        <f t="shared" si="221"/>
        <v>0</v>
      </c>
      <c r="IE91" s="138">
        <f t="shared" si="222"/>
        <v>1.5748031496062995E-2</v>
      </c>
      <c r="IF91" s="138">
        <f t="shared" si="223"/>
        <v>0</v>
      </c>
      <c r="IG91" s="238">
        <f t="shared" si="224"/>
        <v>0</v>
      </c>
      <c r="IH91" s="138">
        <f t="shared" si="225"/>
        <v>0</v>
      </c>
      <c r="II91" s="138">
        <f t="shared" si="226"/>
        <v>1.5748031496062995E-2</v>
      </c>
      <c r="IJ91" s="138">
        <f t="shared" si="227"/>
        <v>0</v>
      </c>
      <c r="IK91" s="138">
        <f t="shared" si="228"/>
        <v>0</v>
      </c>
      <c r="IL91" s="216">
        <f t="shared" si="229"/>
        <v>0</v>
      </c>
      <c r="IM91" s="138">
        <f t="shared" si="230"/>
        <v>1.5748031496062995E-2</v>
      </c>
      <c r="IN91" s="138">
        <f t="shared" si="231"/>
        <v>0</v>
      </c>
      <c r="IO91" s="238">
        <f t="shared" si="232"/>
        <v>0</v>
      </c>
      <c r="IP91" s="138">
        <f t="shared" si="233"/>
        <v>0</v>
      </c>
      <c r="IQ91" s="138">
        <f t="shared" si="234"/>
        <v>1.5748031496062995E-2</v>
      </c>
      <c r="IR91" s="138">
        <f t="shared" si="235"/>
        <v>0</v>
      </c>
      <c r="IS91" s="138">
        <f t="shared" si="236"/>
        <v>0</v>
      </c>
      <c r="IT91" s="17">
        <f t="shared" si="237"/>
        <v>0.25</v>
      </c>
      <c r="IU91" s="17">
        <f t="shared" si="238"/>
        <v>1.5748031496062995E-2</v>
      </c>
      <c r="IV91" s="17">
        <f t="shared" si="239"/>
        <v>1.5748031496062995E-2</v>
      </c>
      <c r="IW91" s="253">
        <f t="shared" si="240"/>
        <v>10.964567280000002</v>
      </c>
      <c r="IX91" s="116">
        <f t="shared" si="241"/>
        <v>248.46272964374481</v>
      </c>
      <c r="IY91" s="8">
        <f t="shared" si="242"/>
        <v>6.4240766982724727E-3</v>
      </c>
      <c r="IZ91" s="8">
        <f t="shared" si="243"/>
        <v>6.4240766982724727E-3</v>
      </c>
      <c r="JA91" s="8">
        <f t="shared" si="244"/>
        <v>3.2120383491362364E-3</v>
      </c>
      <c r="JB91" s="134">
        <f t="shared" si="245"/>
        <v>5.6674847588116514E-2</v>
      </c>
      <c r="JC91" s="170">
        <f t="shared" ref="JC91:JC99" si="259">MAX(JA$90:JA$99)</f>
        <v>3.3006550714747922E-3</v>
      </c>
      <c r="JD91" s="272">
        <f t="shared" ref="JD91:JD99" si="260">MAX(JB$90:JB$99)</f>
        <v>5.7451327847794713E-2</v>
      </c>
      <c r="JE91" s="8"/>
      <c r="JF91" s="8"/>
    </row>
    <row r="92" spans="1:266" x14ac:dyDescent="0.25">
      <c r="A92" s="186">
        <v>32</v>
      </c>
      <c r="B92" s="187">
        <f>A92/100*'Inputs-Imperial'!$E$5</f>
        <v>3.1496064000000001</v>
      </c>
      <c r="C92" s="188">
        <f>'Inputs-Imperial'!$E$10+('Inputs-Imperial'!$E$9-'Inputs-Imperial'!$E$10)*(100-A92)/100</f>
        <v>1.81758536</v>
      </c>
      <c r="D92" s="187">
        <f t="shared" si="248"/>
        <v>9.8425199999999879E-2</v>
      </c>
      <c r="E92" s="188">
        <f t="shared" si="249"/>
        <v>0.17938057857482378</v>
      </c>
      <c r="F92" s="423">
        <f>Loads!P52</f>
        <v>73.583577903419553</v>
      </c>
      <c r="G92" s="423">
        <f>Loads!M52</f>
        <v>735.83577903419507</v>
      </c>
      <c r="H92" s="423">
        <f>Loads!N52</f>
        <v>2196.4300782172822</v>
      </c>
      <c r="I92" s="423">
        <f>Loads!V52</f>
        <v>-617.39323364141092</v>
      </c>
      <c r="J92" s="423">
        <f>Loads!Q52</f>
        <v>219.6430078217283</v>
      </c>
      <c r="K92" s="2">
        <v>32</v>
      </c>
      <c r="L92" s="12">
        <f t="shared" si="41"/>
        <v>37.795276800000003</v>
      </c>
      <c r="M92" s="11">
        <f t="shared" si="42"/>
        <v>21.811024320000001</v>
      </c>
      <c r="N92" s="11">
        <f t="shared" si="43"/>
        <v>1.1811023999999986</v>
      </c>
      <c r="O92" s="152">
        <f t="shared" si="44"/>
        <v>25.830803314774624</v>
      </c>
      <c r="P92" s="151">
        <f t="shared" si="45"/>
        <v>73.583577903419553</v>
      </c>
      <c r="Q92" s="12">
        <f t="shared" si="46"/>
        <v>735.83577903419507</v>
      </c>
      <c r="R92" s="12">
        <f t="shared" si="47"/>
        <v>26357.160938607387</v>
      </c>
      <c r="S92" s="12">
        <f t="shared" si="48"/>
        <v>-7408.718803696931</v>
      </c>
      <c r="T92" s="152">
        <f t="shared" si="49"/>
        <v>2635.7160938607394</v>
      </c>
      <c r="U92" s="8">
        <f t="shared" ref="U92:U123" si="261">M92*$E$17</f>
        <v>3.9259843776000003</v>
      </c>
      <c r="V92" s="8">
        <f t="shared" ref="V92:V123" si="262">M92*$E$17</f>
        <v>3.9259843776000003</v>
      </c>
      <c r="W92" s="134">
        <f t="shared" ref="W92:W123" si="263">M92*$E$19</f>
        <v>1.9629921888000001</v>
      </c>
      <c r="X92" s="311">
        <f t="shared" ref="X92:X123" si="264">M92*$E$18</f>
        <v>5.4527560800000003</v>
      </c>
      <c r="Y92" s="11">
        <f t="shared" ref="Y92:Y123" si="265">M92*$E$20</f>
        <v>16.358268240000001</v>
      </c>
      <c r="Z92" s="11">
        <f t="shared" ref="Z92:Z123" si="266">Y92-X92</f>
        <v>10.905512160000001</v>
      </c>
      <c r="AA92" s="316">
        <f t="shared" si="50"/>
        <v>16.358268240000001</v>
      </c>
      <c r="AB92" s="170">
        <f t="shared" si="51"/>
        <v>2.9444882832000001</v>
      </c>
      <c r="AC92" s="11">
        <f t="shared" si="52"/>
        <v>16.358268240000001</v>
      </c>
      <c r="AD92" s="152">
        <f t="shared" si="53"/>
        <v>37.830060623935061</v>
      </c>
      <c r="AE92" s="151">
        <f t="shared" ref="AE92:AE123" si="267">ABS(P92)/AA92</f>
        <v>4.4982498650737099</v>
      </c>
      <c r="AF92" s="12">
        <f t="shared" ref="AF92:AF123" si="268">ABS(S92)/2/AD92</f>
        <v>97.921053806208263</v>
      </c>
      <c r="AG92" s="216">
        <f t="shared" ref="AG92:AG123" si="269">((AE92+AF92)/$E$46)</f>
        <v>6.7100863196121333E-3</v>
      </c>
      <c r="AH92" s="2">
        <f t="shared" si="55"/>
        <v>1</v>
      </c>
      <c r="AI92" s="2">
        <f t="shared" si="56"/>
        <v>3</v>
      </c>
      <c r="AJ92" s="127">
        <f t="shared" si="57"/>
        <v>2</v>
      </c>
      <c r="AK92" s="2">
        <f t="shared" si="58"/>
        <v>1.5748031496062995E-2</v>
      </c>
      <c r="AL92" s="8">
        <f t="shared" ref="AL92:AL123" si="270">$E$22*(AE92+AF92)/$E$34</f>
        <v>7.0615496401827085E-2</v>
      </c>
      <c r="AM92" s="138">
        <f t="shared" si="59"/>
        <v>0.25</v>
      </c>
      <c r="AN92" s="12">
        <f t="shared" ref="AN92:AN123" si="271">$E$22*(AE92+AF92)/(2*AK92)</f>
        <v>5853.2632048137639</v>
      </c>
      <c r="AO92" s="138">
        <f t="shared" si="60"/>
        <v>0.25</v>
      </c>
      <c r="AP92" s="116">
        <f t="shared" si="61"/>
        <v>2175570</v>
      </c>
      <c r="AQ92" s="2">
        <f t="shared" si="62"/>
        <v>1.5748031496062995E-2</v>
      </c>
      <c r="AR92" s="8">
        <f t="shared" si="63"/>
        <v>10.905512160000001</v>
      </c>
      <c r="AS92" s="116">
        <f t="shared" si="64"/>
        <v>2610.6840000000002</v>
      </c>
      <c r="AT92" s="217">
        <f t="shared" si="65"/>
        <v>0.13613276148503262</v>
      </c>
      <c r="AU92" s="207">
        <f t="shared" si="66"/>
        <v>3.5555625341500816</v>
      </c>
      <c r="AV92" s="144">
        <f t="shared" si="67"/>
        <v>10030.186804322209</v>
      </c>
      <c r="AW92" s="138">
        <f t="shared" si="68"/>
        <v>0.25</v>
      </c>
      <c r="AX92" s="116">
        <f t="shared" si="69"/>
        <v>2175570</v>
      </c>
      <c r="AY92" s="2">
        <f t="shared" si="70"/>
        <v>1.5748031496062995E-2</v>
      </c>
      <c r="AZ92" s="8">
        <f t="shared" si="71"/>
        <v>10.905512160000001</v>
      </c>
      <c r="BA92" s="116">
        <f t="shared" si="72"/>
        <v>2610.6840000000002</v>
      </c>
      <c r="BB92" s="217">
        <f t="shared" si="73"/>
        <v>0.13613276148503262</v>
      </c>
      <c r="BC92" s="207">
        <f t="shared" si="74"/>
        <v>3.5555625341500816</v>
      </c>
      <c r="BD92" s="144">
        <f t="shared" si="75"/>
        <v>10030.186804322209</v>
      </c>
      <c r="BE92" s="138">
        <f t="shared" si="76"/>
        <v>0.25</v>
      </c>
      <c r="BF92" s="116">
        <f t="shared" si="77"/>
        <v>2175570</v>
      </c>
      <c r="BG92" s="2">
        <f t="shared" si="78"/>
        <v>1.5748031496062995E-2</v>
      </c>
      <c r="BH92" s="8">
        <f t="shared" si="79"/>
        <v>10.905512160000001</v>
      </c>
      <c r="BI92" s="116">
        <f t="shared" si="80"/>
        <v>2610.6840000000002</v>
      </c>
      <c r="BJ92" s="217">
        <f t="shared" si="81"/>
        <v>0.13613276148503262</v>
      </c>
      <c r="BK92" s="207">
        <f t="shared" si="82"/>
        <v>3.5555625341500816</v>
      </c>
      <c r="BL92" s="144">
        <f t="shared" si="83"/>
        <v>10030.186804322209</v>
      </c>
      <c r="BM92" s="216">
        <f t="shared" si="84"/>
        <v>0.25</v>
      </c>
      <c r="BN92" s="216">
        <f t="shared" si="85"/>
        <v>2.3622047244094495E-2</v>
      </c>
      <c r="BO92" s="238">
        <f t="shared" si="86"/>
        <v>1.5748031496062995E-2</v>
      </c>
      <c r="BP92" s="216">
        <f t="shared" si="87"/>
        <v>0</v>
      </c>
      <c r="BQ92" s="138">
        <f t="shared" si="88"/>
        <v>0.25</v>
      </c>
      <c r="BR92" s="138">
        <f t="shared" si="89"/>
        <v>0</v>
      </c>
      <c r="BS92" s="238">
        <f t="shared" si="90"/>
        <v>0</v>
      </c>
      <c r="BT92" s="138">
        <f t="shared" si="91"/>
        <v>0</v>
      </c>
      <c r="BU92" s="138">
        <f t="shared" si="92"/>
        <v>0.25</v>
      </c>
      <c r="BV92" s="138">
        <f t="shared" si="93"/>
        <v>0</v>
      </c>
      <c r="BW92" s="238">
        <f t="shared" si="94"/>
        <v>0</v>
      </c>
      <c r="BX92" s="216">
        <f t="shared" si="95"/>
        <v>0</v>
      </c>
      <c r="BY92" s="138">
        <f t="shared" si="96"/>
        <v>2.3622047244094495E-2</v>
      </c>
      <c r="BZ92" s="138">
        <f t="shared" si="97"/>
        <v>0</v>
      </c>
      <c r="CA92" s="238">
        <f t="shared" si="98"/>
        <v>0</v>
      </c>
      <c r="CB92" s="138">
        <f t="shared" si="99"/>
        <v>0</v>
      </c>
      <c r="CC92" s="138">
        <f t="shared" si="100"/>
        <v>2.3622047244094495E-2</v>
      </c>
      <c r="CD92" s="138">
        <f t="shared" si="101"/>
        <v>0</v>
      </c>
      <c r="CE92" s="238">
        <f t="shared" si="102"/>
        <v>0</v>
      </c>
      <c r="CF92" s="216">
        <f t="shared" si="103"/>
        <v>0</v>
      </c>
      <c r="CG92" s="138">
        <f t="shared" si="104"/>
        <v>1.5748031496062995E-2</v>
      </c>
      <c r="CH92" s="138">
        <f t="shared" si="105"/>
        <v>0</v>
      </c>
      <c r="CI92" s="238">
        <f t="shared" si="106"/>
        <v>0</v>
      </c>
      <c r="CJ92" s="138">
        <f t="shared" si="107"/>
        <v>0</v>
      </c>
      <c r="CK92" s="138">
        <f t="shared" si="108"/>
        <v>1.5748031496062995E-2</v>
      </c>
      <c r="CL92" s="138">
        <f t="shared" si="109"/>
        <v>0</v>
      </c>
      <c r="CM92" s="238">
        <f t="shared" si="110"/>
        <v>0</v>
      </c>
      <c r="CN92" s="17">
        <f t="shared" si="111"/>
        <v>0.25</v>
      </c>
      <c r="CO92" s="17">
        <f t="shared" si="112"/>
        <v>2.3622047244094495E-2</v>
      </c>
      <c r="CP92" s="17">
        <f t="shared" si="113"/>
        <v>1.5748031496062995E-2</v>
      </c>
      <c r="CQ92" s="17">
        <f>$U92-IF('Inputs-Imperial'!$E$13,0,2)*($CO92+$CN92+$CP92)</f>
        <v>3.9259843776000003</v>
      </c>
      <c r="CR92" s="116">
        <f t="shared" si="114"/>
        <v>6713.5165104044108</v>
      </c>
      <c r="CS92" s="8">
        <f t="shared" si="10"/>
        <v>0.17357993707867275</v>
      </c>
      <c r="CT92" s="8">
        <f t="shared" si="115"/>
        <v>0.41662925614828439</v>
      </c>
      <c r="CU92" s="8">
        <f t="shared" ref="CU92:CU123" si="272">CR92/($E$24/$E$21)</f>
        <v>0.17357993707867275</v>
      </c>
      <c r="CV92" s="8">
        <f t="shared" si="116"/>
        <v>0.41662925614828439</v>
      </c>
      <c r="CW92" s="216">
        <f t="shared" si="117"/>
        <v>3.509355121451716</v>
      </c>
      <c r="CX92" s="116">
        <f t="shared" si="118"/>
        <v>7510.542543128041</v>
      </c>
      <c r="CY92" s="8">
        <f t="shared" si="119"/>
        <v>0.19418727875956751</v>
      </c>
      <c r="CZ92" s="8">
        <f t="shared" si="120"/>
        <v>0.44066685688802093</v>
      </c>
      <c r="DA92" s="8">
        <f t="shared" si="121"/>
        <v>0.19418727875956751</v>
      </c>
      <c r="DB92" s="8">
        <f t="shared" si="122"/>
        <v>0.44066685688802093</v>
      </c>
      <c r="DC92" s="216">
        <f t="shared" si="123"/>
        <v>3.4853175207119791</v>
      </c>
      <c r="DD92" s="116">
        <f t="shared" si="124"/>
        <v>7562.3413884033034</v>
      </c>
      <c r="DE92" s="8">
        <f t="shared" si="125"/>
        <v>0.19552655308617317</v>
      </c>
      <c r="DF92" s="8">
        <f t="shared" si="126"/>
        <v>0.44218384534735455</v>
      </c>
      <c r="DG92" s="8">
        <f t="shared" si="127"/>
        <v>0.19552655308617317</v>
      </c>
      <c r="DH92" s="8">
        <f t="shared" si="128"/>
        <v>0.44218384534735455</v>
      </c>
      <c r="DI92" s="216">
        <f t="shared" si="129"/>
        <v>3.4838005322526455</v>
      </c>
      <c r="DJ92" s="116">
        <f t="shared" si="130"/>
        <v>7565.6343394507421</v>
      </c>
      <c r="DK92" s="8">
        <f t="shared" si="131"/>
        <v>0.19561169330065417</v>
      </c>
      <c r="DL92" s="8">
        <f t="shared" si="132"/>
        <v>0.44228010728570438</v>
      </c>
      <c r="DM92" s="8">
        <f t="shared" si="133"/>
        <v>0.19561169330065417</v>
      </c>
      <c r="DN92" s="8">
        <f t="shared" si="134"/>
        <v>0.44228010728570438</v>
      </c>
      <c r="DO92" s="216">
        <f t="shared" si="135"/>
        <v>3.4837042703142962</v>
      </c>
      <c r="DP92" s="116">
        <f t="shared" si="136"/>
        <v>7565.8433935408275</v>
      </c>
      <c r="DQ92" s="170">
        <f t="shared" si="137"/>
        <v>0.19561709845542616</v>
      </c>
      <c r="DR92" s="8">
        <f t="shared" si="138"/>
        <v>0.44228621779954452</v>
      </c>
      <c r="DS92" s="8">
        <f t="shared" si="139"/>
        <v>0.19561709845542616</v>
      </c>
      <c r="DT92" s="134">
        <f t="shared" si="140"/>
        <v>0.44228621779954452</v>
      </c>
      <c r="DU92" s="170">
        <f t="shared" si="258"/>
        <v>0.20712205586855234</v>
      </c>
      <c r="DV92" s="170">
        <f t="shared" si="258"/>
        <v>0.45510664230326536</v>
      </c>
      <c r="DW92" s="170">
        <f t="shared" si="258"/>
        <v>0.20712205586855234</v>
      </c>
      <c r="DX92" s="272">
        <f t="shared" si="258"/>
        <v>0.45510664230326536</v>
      </c>
      <c r="DY92" s="272">
        <f t="shared" si="142"/>
        <v>3.0157710929934693</v>
      </c>
      <c r="DZ92" s="22">
        <f t="shared" ref="DZ92:DZ123" si="273">ABS(Q92)/CQ92</f>
        <v>187.42707771140445</v>
      </c>
      <c r="EA92" s="216">
        <f t="shared" ref="EA92:EA123" si="274">(DZ92/$E$46)</f>
        <v>1.2279441716501503E-2</v>
      </c>
      <c r="EB92" s="12">
        <f t="shared" si="143"/>
        <v>2</v>
      </c>
      <c r="EC92" s="7">
        <f>ROUND(MAX(DV92,DX92)/'Inputs-Imperial'!$E$21,0)</f>
        <v>4</v>
      </c>
      <c r="ED92" s="12">
        <f t="shared" si="144"/>
        <v>4</v>
      </c>
      <c r="EE92" s="2">
        <f t="shared" si="145"/>
        <v>2</v>
      </c>
      <c r="EF92" s="127">
        <f t="shared" si="146"/>
        <v>2</v>
      </c>
      <c r="EG92" s="2">
        <f t="shared" si="147"/>
        <v>1.5748031496062995E-2</v>
      </c>
      <c r="EH92" s="8">
        <f t="shared" ref="EH92:EH123" si="275">$E$22*DZ92/$E$34</f>
        <v>0.12922618742081693</v>
      </c>
      <c r="EI92" s="138">
        <f t="shared" si="148"/>
        <v>0.25</v>
      </c>
      <c r="EJ92" s="12">
        <f t="shared" ref="EJ92:EJ123" si="276">$E$22*DZ92/(2*EG92)</f>
        <v>10711.457491206764</v>
      </c>
      <c r="EK92" s="138">
        <f t="shared" si="149"/>
        <v>0.25</v>
      </c>
      <c r="EL92" s="116">
        <f t="shared" si="150"/>
        <v>2175570</v>
      </c>
      <c r="EM92" s="2">
        <f t="shared" ref="EM92:EM123" si="277">$EG92</f>
        <v>1.5748031496062995E-2</v>
      </c>
      <c r="EN92" s="8">
        <f t="shared" si="151"/>
        <v>3.9259843776000003</v>
      </c>
      <c r="EO92" s="116">
        <f t="shared" si="152"/>
        <v>2610.6840000000002</v>
      </c>
      <c r="EP92" s="217">
        <f t="shared" si="153"/>
        <v>1.0504071102240169</v>
      </c>
      <c r="EQ92" s="207">
        <f t="shared" si="154"/>
        <v>2</v>
      </c>
      <c r="ER92" s="144">
        <f t="shared" si="155"/>
        <v>43533.711448850721</v>
      </c>
      <c r="ES92" s="138">
        <f t="shared" ref="ES92:ES123" si="278">IF(ER92&gt;$EJ92,EK92,ROUNDUP(EK92*$EJ92/ER92/$E$42,0)*$E$42)</f>
        <v>0.25</v>
      </c>
      <c r="ET92" s="116">
        <f t="shared" si="156"/>
        <v>2175570</v>
      </c>
      <c r="EU92" s="2">
        <f t="shared" ref="EU92:EU123" si="279">$EG92</f>
        <v>1.5748031496062995E-2</v>
      </c>
      <c r="EV92" s="8">
        <f t="shared" si="157"/>
        <v>3.9259843776000003</v>
      </c>
      <c r="EW92" s="116">
        <f t="shared" si="158"/>
        <v>2610.6840000000002</v>
      </c>
      <c r="EX92" s="217">
        <f t="shared" si="159"/>
        <v>1.0504071102240169</v>
      </c>
      <c r="EY92" s="207">
        <f t="shared" si="160"/>
        <v>2</v>
      </c>
      <c r="EZ92" s="144">
        <f t="shared" si="161"/>
        <v>43533.711448850721</v>
      </c>
      <c r="FA92" s="138">
        <f t="shared" ref="FA92:FA123" si="280">IF(EZ92&gt;$EJ92,ES92,ROUNDUP(ES92*$EJ92/EZ92/$E$42,0)*$E$42)</f>
        <v>0.25</v>
      </c>
      <c r="FB92" s="116">
        <f t="shared" si="162"/>
        <v>2175570</v>
      </c>
      <c r="FC92" s="2">
        <f t="shared" ref="FC92:FC123" si="281">$EG92</f>
        <v>1.5748031496062995E-2</v>
      </c>
      <c r="FD92" s="8">
        <f t="shared" si="163"/>
        <v>3.9259843776000003</v>
      </c>
      <c r="FE92" s="116">
        <f t="shared" si="164"/>
        <v>2610.6840000000002</v>
      </c>
      <c r="FF92" s="217">
        <f t="shared" si="165"/>
        <v>1.0504071102240169</v>
      </c>
      <c r="FG92" s="207">
        <f t="shared" si="166"/>
        <v>2</v>
      </c>
      <c r="FH92" s="144">
        <f t="shared" si="167"/>
        <v>43533.711448850721</v>
      </c>
      <c r="FI92" s="128">
        <f t="shared" si="168"/>
        <v>0.25</v>
      </c>
      <c r="FJ92" s="2">
        <f t="shared" si="169"/>
        <v>1.5748031496062995E-2</v>
      </c>
      <c r="FK92" s="127">
        <f t="shared" si="170"/>
        <v>1.5748031496062995E-2</v>
      </c>
      <c r="FL92" s="216">
        <f t="shared" si="171"/>
        <v>0</v>
      </c>
      <c r="FM92" s="138">
        <f t="shared" si="172"/>
        <v>0.25</v>
      </c>
      <c r="FN92" s="138">
        <f t="shared" si="173"/>
        <v>0</v>
      </c>
      <c r="FO92" s="238">
        <f t="shared" si="174"/>
        <v>0</v>
      </c>
      <c r="FP92" s="216">
        <f t="shared" ref="FP92:FP123" si="282">IF(FL92&gt;0,MAX(FL$60:FL$160),0)</f>
        <v>0</v>
      </c>
      <c r="FQ92" s="138">
        <f t="shared" ref="FQ92:FQ123" si="283">IF(FM92&gt;0,MAX(FM$60:FM$160),0)</f>
        <v>0.25</v>
      </c>
      <c r="FR92" s="138">
        <f t="shared" ref="FR92:FR123" si="284">IF(FN92&gt;0,MAX(FN$60:FN$160),0)</f>
        <v>0</v>
      </c>
      <c r="FS92" s="238">
        <f t="shared" ref="FS92:FS123" si="285">IF(FO92&gt;0,MAX(FO$60:FO$160),0)</f>
        <v>0</v>
      </c>
      <c r="FT92" s="216">
        <f t="shared" si="175"/>
        <v>0</v>
      </c>
      <c r="FU92" s="138">
        <f t="shared" si="176"/>
        <v>1.5748031496062995E-2</v>
      </c>
      <c r="FV92" s="138">
        <f t="shared" si="177"/>
        <v>0</v>
      </c>
      <c r="FW92" s="238">
        <f t="shared" si="178"/>
        <v>0</v>
      </c>
      <c r="FX92" s="216">
        <f t="shared" ref="FX92:FX123" si="286">IF(FT92&gt;0,MAX(FT$60:FT$160),0)</f>
        <v>0</v>
      </c>
      <c r="FY92" s="138">
        <f t="shared" ref="FY92:FY123" si="287">IF(FU92&gt;0,MAX(FU$60:FU$160),0)</f>
        <v>1.5748031496062995E-2</v>
      </c>
      <c r="FZ92" s="138">
        <f t="shared" ref="FZ92:FZ123" si="288">IF(FV92&gt;0,MAX(FV$60:FV$160),0)</f>
        <v>0</v>
      </c>
      <c r="GA92" s="238">
        <f t="shared" ref="GA92:GA123" si="289">IF(FW92&gt;0,MAX(FW$60:FW$160),0)</f>
        <v>0</v>
      </c>
      <c r="GB92" s="216">
        <f t="shared" si="179"/>
        <v>0</v>
      </c>
      <c r="GC92" s="138">
        <f t="shared" si="180"/>
        <v>1.5748031496062995E-2</v>
      </c>
      <c r="GD92" s="138">
        <f t="shared" si="181"/>
        <v>0</v>
      </c>
      <c r="GE92" s="238">
        <f t="shared" si="182"/>
        <v>0</v>
      </c>
      <c r="GF92" s="216">
        <f t="shared" ref="GF92:GF123" si="290">IF(GB92&gt;0,MAX(GB$60:GB$160),0)</f>
        <v>0</v>
      </c>
      <c r="GG92" s="138">
        <f t="shared" ref="GG92:GG123" si="291">IF(GC92&gt;0,MAX(GC$60:GC$160),0)</f>
        <v>1.5748031496062995E-2</v>
      </c>
      <c r="GH92" s="138">
        <f t="shared" ref="GH92:GH123" si="292">IF(GD92&gt;0,MAX(GD$60:GD$160),0)</f>
        <v>0</v>
      </c>
      <c r="GI92" s="238">
        <f t="shared" ref="GI92:GI123" si="293">IF(GE92&gt;0,MAX(GE$60:GE$160),0)</f>
        <v>0</v>
      </c>
      <c r="GJ92" s="216">
        <f t="shared" si="183"/>
        <v>0.25</v>
      </c>
      <c r="GK92" s="216">
        <f t="shared" si="184"/>
        <v>1.5748031496062995E-2</v>
      </c>
      <c r="GL92" s="17">
        <f t="shared" si="185"/>
        <v>1.5748031496062995E-2</v>
      </c>
      <c r="GM92" s="216">
        <f t="shared" ref="GM92:GM123" si="294">(AF92/$E$46)</f>
        <v>6.415379718416098E-3</v>
      </c>
      <c r="GN92" s="2">
        <f t="shared" si="187"/>
        <v>1</v>
      </c>
      <c r="GO92" s="2">
        <f t="shared" si="188"/>
        <v>2</v>
      </c>
      <c r="GP92" s="142">
        <f t="shared" si="189"/>
        <v>2</v>
      </c>
      <c r="GQ92" s="2">
        <f t="shared" si="190"/>
        <v>1.5748031496062995E-2</v>
      </c>
      <c r="GR92" s="8">
        <f t="shared" ref="GR92:GR123" si="295">$E$22*AF92/$E$34</f>
        <v>6.7514067903727479E-2</v>
      </c>
      <c r="GS92" s="138">
        <f t="shared" si="191"/>
        <v>0.25</v>
      </c>
      <c r="GT92" s="12">
        <f t="shared" ref="GT92:GT123" si="296">$E$22*AF92/(2*GQ92)</f>
        <v>5596.1882250248009</v>
      </c>
      <c r="GU92" s="138">
        <f t="shared" si="192"/>
        <v>0.25</v>
      </c>
      <c r="GV92" s="116">
        <f t="shared" si="193"/>
        <v>2175570</v>
      </c>
      <c r="GW92" s="2">
        <f t="shared" ref="GW92:GW123" si="297">$EG92</f>
        <v>1.5748031496062995E-2</v>
      </c>
      <c r="GX92" s="8">
        <f t="shared" ref="GX92:GX123" si="298">W92</f>
        <v>1.9629921888000001</v>
      </c>
      <c r="GY92" s="116">
        <f t="shared" si="194"/>
        <v>2610.6840000000002</v>
      </c>
      <c r="GZ92" s="217">
        <f t="shared" si="195"/>
        <v>4.2016284408960676</v>
      </c>
      <c r="HA92" s="207">
        <f t="shared" si="196"/>
        <v>2</v>
      </c>
      <c r="HB92" s="144">
        <f t="shared" si="197"/>
        <v>174134.84579540289</v>
      </c>
      <c r="HC92" s="138">
        <f t="shared" ref="HC92:HC123" si="299">IF(HB92&gt;$GT92,GU92,ROUNDUP(GU92*$GT92/HB92/$E$42,0)*$E$42)</f>
        <v>0.25</v>
      </c>
      <c r="HD92" s="116">
        <f t="shared" si="198"/>
        <v>2175570</v>
      </c>
      <c r="HE92" s="2">
        <f t="shared" ref="HE92:HE123" si="300">$EG92</f>
        <v>1.5748031496062995E-2</v>
      </c>
      <c r="HF92" s="8">
        <f t="shared" si="199"/>
        <v>1.9629921888000001</v>
      </c>
      <c r="HG92" s="116">
        <f t="shared" si="200"/>
        <v>2610.6840000000002</v>
      </c>
      <c r="HH92" s="217">
        <f t="shared" si="201"/>
        <v>4.2016284408960676</v>
      </c>
      <c r="HI92" s="207">
        <f t="shared" si="202"/>
        <v>2</v>
      </c>
      <c r="HJ92" s="144">
        <f t="shared" si="203"/>
        <v>174134.84579540289</v>
      </c>
      <c r="HK92" s="138">
        <f t="shared" ref="HK92:HK123" si="301">IF(HJ92&gt;$GT92,HC92,ROUNDUP(HC92*$GT92/HJ92/$E$42,0)*$E$42)</f>
        <v>0.25</v>
      </c>
      <c r="HL92" s="116">
        <f t="shared" si="204"/>
        <v>2175570</v>
      </c>
      <c r="HM92" s="2">
        <f t="shared" ref="HM92:HM123" si="302">$EG92</f>
        <v>1.5748031496062995E-2</v>
      </c>
      <c r="HN92" s="8">
        <f t="shared" si="205"/>
        <v>1.9629921888000001</v>
      </c>
      <c r="HO92" s="116">
        <f t="shared" si="206"/>
        <v>2610.6840000000002</v>
      </c>
      <c r="HP92" s="217">
        <f t="shared" si="207"/>
        <v>4.2016284408960676</v>
      </c>
      <c r="HQ92" s="207">
        <f t="shared" si="208"/>
        <v>2</v>
      </c>
      <c r="HR92" s="144">
        <f t="shared" si="209"/>
        <v>174134.84579540289</v>
      </c>
      <c r="HS92" s="128">
        <f t="shared" si="210"/>
        <v>0.25</v>
      </c>
      <c r="HT92" s="2">
        <f t="shared" si="211"/>
        <v>1.5748031496062995E-2</v>
      </c>
      <c r="HU92" s="127">
        <f t="shared" si="212"/>
        <v>1.5748031496062995E-2</v>
      </c>
      <c r="HV92" s="216">
        <f t="shared" si="213"/>
        <v>0</v>
      </c>
      <c r="HW92" s="138">
        <f t="shared" si="214"/>
        <v>0.25</v>
      </c>
      <c r="HX92" s="138">
        <f t="shared" si="215"/>
        <v>0</v>
      </c>
      <c r="HY92" s="238">
        <f t="shared" si="216"/>
        <v>0</v>
      </c>
      <c r="HZ92" s="138">
        <f t="shared" si="217"/>
        <v>0</v>
      </c>
      <c r="IA92" s="138">
        <f t="shared" si="218"/>
        <v>0.25</v>
      </c>
      <c r="IB92" s="138">
        <f t="shared" si="219"/>
        <v>0</v>
      </c>
      <c r="IC92" s="138">
        <f t="shared" si="220"/>
        <v>0</v>
      </c>
      <c r="ID92" s="216">
        <f t="shared" si="221"/>
        <v>0</v>
      </c>
      <c r="IE92" s="138">
        <f t="shared" si="222"/>
        <v>1.5748031496062995E-2</v>
      </c>
      <c r="IF92" s="138">
        <f t="shared" si="223"/>
        <v>0</v>
      </c>
      <c r="IG92" s="238">
        <f t="shared" si="224"/>
        <v>0</v>
      </c>
      <c r="IH92" s="138">
        <f t="shared" si="225"/>
        <v>0</v>
      </c>
      <c r="II92" s="138">
        <f t="shared" si="226"/>
        <v>1.5748031496062995E-2</v>
      </c>
      <c r="IJ92" s="138">
        <f t="shared" si="227"/>
        <v>0</v>
      </c>
      <c r="IK92" s="138">
        <f t="shared" si="228"/>
        <v>0</v>
      </c>
      <c r="IL92" s="216">
        <f t="shared" si="229"/>
        <v>0</v>
      </c>
      <c r="IM92" s="138">
        <f t="shared" si="230"/>
        <v>1.5748031496062995E-2</v>
      </c>
      <c r="IN92" s="138">
        <f t="shared" si="231"/>
        <v>0</v>
      </c>
      <c r="IO92" s="238">
        <f t="shared" si="232"/>
        <v>0</v>
      </c>
      <c r="IP92" s="138">
        <f t="shared" si="233"/>
        <v>0</v>
      </c>
      <c r="IQ92" s="138">
        <f t="shared" si="234"/>
        <v>1.5748031496062995E-2</v>
      </c>
      <c r="IR92" s="138">
        <f t="shared" si="235"/>
        <v>0</v>
      </c>
      <c r="IS92" s="138">
        <f t="shared" si="236"/>
        <v>0</v>
      </c>
      <c r="IT92" s="17">
        <f t="shared" si="237"/>
        <v>0.25</v>
      </c>
      <c r="IU92" s="17">
        <f t="shared" si="238"/>
        <v>1.5748031496062995E-2</v>
      </c>
      <c r="IV92" s="17">
        <f t="shared" si="239"/>
        <v>1.5748031496062995E-2</v>
      </c>
      <c r="IW92" s="253">
        <f t="shared" si="240"/>
        <v>10.905512160000001</v>
      </c>
      <c r="IX92" s="116">
        <f t="shared" ref="IX92:IX123" si="303">$T92/IW92</f>
        <v>241.68659437455887</v>
      </c>
      <c r="IY92" s="8">
        <f t="shared" si="242"/>
        <v>6.248877734832221E-3</v>
      </c>
      <c r="IZ92" s="8">
        <f t="shared" si="243"/>
        <v>6.248877734832221E-3</v>
      </c>
      <c r="JA92" s="8">
        <f t="shared" si="244"/>
        <v>3.1244388674161105E-3</v>
      </c>
      <c r="JB92" s="134">
        <f t="shared" si="245"/>
        <v>5.5896680289764175E-2</v>
      </c>
      <c r="JC92" s="170">
        <f t="shared" si="259"/>
        <v>3.3006550714747922E-3</v>
      </c>
      <c r="JD92" s="272">
        <f t="shared" si="260"/>
        <v>5.7451327847794713E-2</v>
      </c>
      <c r="JE92" s="8"/>
      <c r="JF92" s="8"/>
    </row>
    <row r="93" spans="1:266" x14ac:dyDescent="0.25">
      <c r="A93" s="186">
        <v>33</v>
      </c>
      <c r="B93" s="187">
        <f>A93/100*'Inputs-Imperial'!$E$5</f>
        <v>3.2480316000000005</v>
      </c>
      <c r="C93" s="188">
        <f>'Inputs-Imperial'!$E$10+('Inputs-Imperial'!$E$9-'Inputs-Imperial'!$E$10)*(100-A93)/100</f>
        <v>1.80774284</v>
      </c>
      <c r="D93" s="187">
        <f t="shared" si="248"/>
        <v>9.8425200000000324E-2</v>
      </c>
      <c r="E93" s="188">
        <f t="shared" si="249"/>
        <v>0.17841182657532059</v>
      </c>
      <c r="F93" s="423">
        <f>Loads!P53</f>
        <v>72.183947340574619</v>
      </c>
      <c r="G93" s="423">
        <f>Loads!M53</f>
        <v>721.83947340574582</v>
      </c>
      <c r="H93" s="423">
        <f>Loads!N53</f>
        <v>2124.0052944986855</v>
      </c>
      <c r="I93" s="423">
        <f>Loads!V53</f>
        <v>-602.84643582627552</v>
      </c>
      <c r="J93" s="423">
        <f>Loads!Q53</f>
        <v>212.40052944986863</v>
      </c>
      <c r="K93" s="2">
        <v>33</v>
      </c>
      <c r="L93" s="12">
        <f t="shared" si="41"/>
        <v>38.976379200000004</v>
      </c>
      <c r="M93" s="11">
        <f t="shared" si="42"/>
        <v>21.692914080000001</v>
      </c>
      <c r="N93" s="11">
        <f t="shared" si="43"/>
        <v>1.1811024000000039</v>
      </c>
      <c r="O93" s="152">
        <f t="shared" si="44"/>
        <v>25.691303026846164</v>
      </c>
      <c r="P93" s="151">
        <f t="shared" si="45"/>
        <v>72.183947340574619</v>
      </c>
      <c r="Q93" s="12">
        <f t="shared" si="46"/>
        <v>721.83947340574582</v>
      </c>
      <c r="R93" s="12">
        <f t="shared" si="47"/>
        <v>25488.063533984227</v>
      </c>
      <c r="S93" s="12">
        <f t="shared" si="48"/>
        <v>-7234.1572299153067</v>
      </c>
      <c r="T93" s="152">
        <f t="shared" si="49"/>
        <v>2548.8063533984237</v>
      </c>
      <c r="U93" s="8">
        <f t="shared" si="261"/>
        <v>3.9047245344000001</v>
      </c>
      <c r="V93" s="8">
        <f t="shared" si="262"/>
        <v>3.9047245344000001</v>
      </c>
      <c r="W93" s="134">
        <f t="shared" si="263"/>
        <v>1.9523622672000001</v>
      </c>
      <c r="X93" s="311">
        <f t="shared" si="264"/>
        <v>5.4232285200000003</v>
      </c>
      <c r="Y93" s="11">
        <f t="shared" si="265"/>
        <v>16.269685559999999</v>
      </c>
      <c r="Z93" s="11">
        <f t="shared" si="266"/>
        <v>10.846457039999999</v>
      </c>
      <c r="AA93" s="316">
        <f t="shared" si="50"/>
        <v>16.269685559999999</v>
      </c>
      <c r="AB93" s="170">
        <f t="shared" si="51"/>
        <v>2.9285434008000002</v>
      </c>
      <c r="AC93" s="11">
        <f t="shared" si="52"/>
        <v>16.269685559999999</v>
      </c>
      <c r="AD93" s="152">
        <f t="shared" si="53"/>
        <v>37.421458104130473</v>
      </c>
      <c r="AE93" s="151">
        <f t="shared" si="267"/>
        <v>4.436714346713817</v>
      </c>
      <c r="AF93" s="12">
        <f t="shared" si="268"/>
        <v>96.657874872021907</v>
      </c>
      <c r="AG93" s="216">
        <f t="shared" si="269"/>
        <v>6.6232965445717521E-3</v>
      </c>
      <c r="AH93" s="2">
        <f t="shared" si="55"/>
        <v>1</v>
      </c>
      <c r="AI93" s="2">
        <f t="shared" si="56"/>
        <v>3</v>
      </c>
      <c r="AJ93" s="127">
        <f t="shared" si="57"/>
        <v>2</v>
      </c>
      <c r="AK93" s="2">
        <f t="shared" si="58"/>
        <v>1.5748031496062995E-2</v>
      </c>
      <c r="AL93" s="8">
        <f t="shared" si="270"/>
        <v>6.9702139590132051E-2</v>
      </c>
      <c r="AM93" s="138">
        <f t="shared" si="59"/>
        <v>0.25</v>
      </c>
      <c r="AN93" s="12">
        <f t="shared" si="271"/>
        <v>5777.5557738507459</v>
      </c>
      <c r="AO93" s="138">
        <f t="shared" si="60"/>
        <v>0.25</v>
      </c>
      <c r="AP93" s="116">
        <f t="shared" si="61"/>
        <v>2175570</v>
      </c>
      <c r="AQ93" s="2">
        <f t="shared" si="62"/>
        <v>1.5748031496062995E-2</v>
      </c>
      <c r="AR93" s="8">
        <f t="shared" si="63"/>
        <v>10.846457039999999</v>
      </c>
      <c r="AS93" s="116">
        <f t="shared" si="64"/>
        <v>2610.6840000000002</v>
      </c>
      <c r="AT93" s="217">
        <f t="shared" si="65"/>
        <v>0.13761918644517071</v>
      </c>
      <c r="AU93" s="207">
        <f t="shared" si="66"/>
        <v>3.5429922848303308</v>
      </c>
      <c r="AV93" s="144">
        <f t="shared" si="67"/>
        <v>10103.858106564814</v>
      </c>
      <c r="AW93" s="138">
        <f t="shared" si="68"/>
        <v>0.25</v>
      </c>
      <c r="AX93" s="116">
        <f t="shared" si="69"/>
        <v>2175570</v>
      </c>
      <c r="AY93" s="2">
        <f t="shared" si="70"/>
        <v>1.5748031496062995E-2</v>
      </c>
      <c r="AZ93" s="8">
        <f t="shared" si="71"/>
        <v>10.846457039999999</v>
      </c>
      <c r="BA93" s="116">
        <f t="shared" si="72"/>
        <v>2610.6840000000002</v>
      </c>
      <c r="BB93" s="217">
        <f t="shared" si="73"/>
        <v>0.13761918644517071</v>
      </c>
      <c r="BC93" s="207">
        <f t="shared" si="74"/>
        <v>3.5429922848303308</v>
      </c>
      <c r="BD93" s="144">
        <f t="shared" si="75"/>
        <v>10103.858106564814</v>
      </c>
      <c r="BE93" s="138">
        <f t="shared" si="76"/>
        <v>0.25</v>
      </c>
      <c r="BF93" s="116">
        <f t="shared" si="77"/>
        <v>2175570</v>
      </c>
      <c r="BG93" s="2">
        <f t="shared" si="78"/>
        <v>1.5748031496062995E-2</v>
      </c>
      <c r="BH93" s="8">
        <f t="shared" si="79"/>
        <v>10.846457039999999</v>
      </c>
      <c r="BI93" s="116">
        <f t="shared" si="80"/>
        <v>2610.6840000000002</v>
      </c>
      <c r="BJ93" s="217">
        <f t="shared" si="81"/>
        <v>0.13761918644517071</v>
      </c>
      <c r="BK93" s="207">
        <f t="shared" si="82"/>
        <v>3.5429922848303308</v>
      </c>
      <c r="BL93" s="144">
        <f t="shared" si="83"/>
        <v>10103.858106564814</v>
      </c>
      <c r="BM93" s="216">
        <f t="shared" si="84"/>
        <v>0.25</v>
      </c>
      <c r="BN93" s="216">
        <f t="shared" si="85"/>
        <v>2.3622047244094495E-2</v>
      </c>
      <c r="BO93" s="238">
        <f t="shared" si="86"/>
        <v>1.5748031496062995E-2</v>
      </c>
      <c r="BP93" s="216">
        <f t="shared" si="87"/>
        <v>0</v>
      </c>
      <c r="BQ93" s="138">
        <f t="shared" si="88"/>
        <v>0.25</v>
      </c>
      <c r="BR93" s="138">
        <f t="shared" si="89"/>
        <v>0</v>
      </c>
      <c r="BS93" s="238">
        <f t="shared" si="90"/>
        <v>0</v>
      </c>
      <c r="BT93" s="138">
        <f t="shared" si="91"/>
        <v>0</v>
      </c>
      <c r="BU93" s="138">
        <f t="shared" si="92"/>
        <v>0.25</v>
      </c>
      <c r="BV93" s="138">
        <f t="shared" si="93"/>
        <v>0</v>
      </c>
      <c r="BW93" s="238">
        <f t="shared" si="94"/>
        <v>0</v>
      </c>
      <c r="BX93" s="216">
        <f t="shared" si="95"/>
        <v>0</v>
      </c>
      <c r="BY93" s="138">
        <f t="shared" si="96"/>
        <v>2.3622047244094495E-2</v>
      </c>
      <c r="BZ93" s="138">
        <f t="shared" si="97"/>
        <v>0</v>
      </c>
      <c r="CA93" s="238">
        <f t="shared" si="98"/>
        <v>0</v>
      </c>
      <c r="CB93" s="138">
        <f t="shared" si="99"/>
        <v>0</v>
      </c>
      <c r="CC93" s="138">
        <f t="shared" si="100"/>
        <v>2.3622047244094495E-2</v>
      </c>
      <c r="CD93" s="138">
        <f t="shared" si="101"/>
        <v>0</v>
      </c>
      <c r="CE93" s="238">
        <f t="shared" si="102"/>
        <v>0</v>
      </c>
      <c r="CF93" s="216">
        <f t="shared" si="103"/>
        <v>0</v>
      </c>
      <c r="CG93" s="138">
        <f t="shared" si="104"/>
        <v>1.5748031496062995E-2</v>
      </c>
      <c r="CH93" s="138">
        <f t="shared" si="105"/>
        <v>0</v>
      </c>
      <c r="CI93" s="238">
        <f t="shared" si="106"/>
        <v>0</v>
      </c>
      <c r="CJ93" s="138">
        <f t="shared" si="107"/>
        <v>0</v>
      </c>
      <c r="CK93" s="138">
        <f t="shared" si="108"/>
        <v>1.5748031496062995E-2</v>
      </c>
      <c r="CL93" s="138">
        <f t="shared" si="109"/>
        <v>0</v>
      </c>
      <c r="CM93" s="238">
        <f t="shared" si="110"/>
        <v>0</v>
      </c>
      <c r="CN93" s="17">
        <f t="shared" si="111"/>
        <v>0.25</v>
      </c>
      <c r="CO93" s="17">
        <f t="shared" si="112"/>
        <v>2.3622047244094495E-2</v>
      </c>
      <c r="CP93" s="17">
        <f t="shared" si="113"/>
        <v>1.5748031496062995E-2</v>
      </c>
      <c r="CQ93" s="17">
        <f>$U93-IF('Inputs-Imperial'!$E$13,0,2)*($CO93+$CN93+$CP93)</f>
        <v>3.9047245344000001</v>
      </c>
      <c r="CR93" s="116">
        <f t="shared" si="114"/>
        <v>6527.4933761494449</v>
      </c>
      <c r="CS93" s="8">
        <f t="shared" si="10"/>
        <v>0.168770254419948</v>
      </c>
      <c r="CT93" s="8">
        <f t="shared" si="115"/>
        <v>0.41081657028404783</v>
      </c>
      <c r="CU93" s="8">
        <f t="shared" si="272"/>
        <v>0.168770254419948</v>
      </c>
      <c r="CV93" s="8">
        <f t="shared" si="116"/>
        <v>0.41081657028404783</v>
      </c>
      <c r="CW93" s="216">
        <f t="shared" si="117"/>
        <v>3.4939079641159521</v>
      </c>
      <c r="CX93" s="116">
        <f t="shared" si="118"/>
        <v>7295.0014126755505</v>
      </c>
      <c r="CY93" s="8">
        <f t="shared" si="119"/>
        <v>0.18861439965756086</v>
      </c>
      <c r="CZ93" s="8">
        <f t="shared" si="120"/>
        <v>0.43429759342823998</v>
      </c>
      <c r="DA93" s="8">
        <f t="shared" si="121"/>
        <v>0.18861439965756086</v>
      </c>
      <c r="DB93" s="8">
        <f t="shared" si="122"/>
        <v>0.43429759342823998</v>
      </c>
      <c r="DC93" s="216">
        <f t="shared" si="123"/>
        <v>3.4704269409717603</v>
      </c>
      <c r="DD93" s="116">
        <f t="shared" si="124"/>
        <v>7344.359632837356</v>
      </c>
      <c r="DE93" s="8">
        <f t="shared" si="125"/>
        <v>0.18989057090652162</v>
      </c>
      <c r="DF93" s="8">
        <f t="shared" si="126"/>
        <v>0.4357643524963023</v>
      </c>
      <c r="DG93" s="8">
        <f t="shared" si="127"/>
        <v>0.18989057090652162</v>
      </c>
      <c r="DH93" s="8">
        <f t="shared" si="128"/>
        <v>0.4357643524963023</v>
      </c>
      <c r="DI93" s="216">
        <f t="shared" si="129"/>
        <v>3.4689601819036979</v>
      </c>
      <c r="DJ93" s="116">
        <f t="shared" si="130"/>
        <v>7347.4650031863075</v>
      </c>
      <c r="DK93" s="8">
        <f t="shared" si="131"/>
        <v>0.18997086116706416</v>
      </c>
      <c r="DL93" s="8">
        <f t="shared" si="132"/>
        <v>0.43585646853874288</v>
      </c>
      <c r="DM93" s="8">
        <f t="shared" si="133"/>
        <v>0.18997086116706416</v>
      </c>
      <c r="DN93" s="8">
        <f t="shared" si="134"/>
        <v>0.43585646853874288</v>
      </c>
      <c r="DO93" s="216">
        <f t="shared" si="135"/>
        <v>3.468868065861257</v>
      </c>
      <c r="DP93" s="116">
        <f t="shared" si="136"/>
        <v>7347.6601156510123</v>
      </c>
      <c r="DQ93" s="170">
        <f t="shared" si="137"/>
        <v>0.1899759058570257</v>
      </c>
      <c r="DR93" s="8">
        <f t="shared" si="138"/>
        <v>0.43586225560035097</v>
      </c>
      <c r="DS93" s="8">
        <f t="shared" si="139"/>
        <v>0.1899759058570257</v>
      </c>
      <c r="DT93" s="134">
        <f t="shared" si="140"/>
        <v>0.43586225560035097</v>
      </c>
      <c r="DU93" s="170">
        <f t="shared" si="258"/>
        <v>0.20712205586855234</v>
      </c>
      <c r="DV93" s="170">
        <f t="shared" si="258"/>
        <v>0.45510664230326536</v>
      </c>
      <c r="DW93" s="170">
        <f t="shared" si="258"/>
        <v>0.20712205586855234</v>
      </c>
      <c r="DX93" s="272">
        <f t="shared" si="258"/>
        <v>0.45510664230326536</v>
      </c>
      <c r="DY93" s="272">
        <f t="shared" si="142"/>
        <v>2.9945112497934692</v>
      </c>
      <c r="DZ93" s="22">
        <f t="shared" si="273"/>
        <v>184.86309777974228</v>
      </c>
      <c r="EA93" s="216">
        <f t="shared" si="274"/>
        <v>1.2111460427364594E-2</v>
      </c>
      <c r="EB93" s="12">
        <f t="shared" si="143"/>
        <v>2</v>
      </c>
      <c r="EC93" s="7">
        <f>ROUND(MAX(DV93,DX93)/'Inputs-Imperial'!$E$21,0)</f>
        <v>4</v>
      </c>
      <c r="ED93" s="12">
        <f t="shared" si="144"/>
        <v>4</v>
      </c>
      <c r="EE93" s="2">
        <f t="shared" si="145"/>
        <v>2</v>
      </c>
      <c r="EF93" s="127">
        <f t="shared" si="146"/>
        <v>2</v>
      </c>
      <c r="EG93" s="2">
        <f t="shared" si="147"/>
        <v>1.5748031496062995E-2</v>
      </c>
      <c r="EH93" s="8">
        <f t="shared" si="275"/>
        <v>0.12745838868416709</v>
      </c>
      <c r="EI93" s="138">
        <f t="shared" si="148"/>
        <v>0.25</v>
      </c>
      <c r="EJ93" s="12">
        <f t="shared" si="276"/>
        <v>10564.926038112269</v>
      </c>
      <c r="EK93" s="138">
        <f t="shared" si="149"/>
        <v>0.25</v>
      </c>
      <c r="EL93" s="116">
        <f t="shared" si="150"/>
        <v>2175570</v>
      </c>
      <c r="EM93" s="2">
        <f t="shared" si="277"/>
        <v>1.5748031496062995E-2</v>
      </c>
      <c r="EN93" s="8">
        <f t="shared" si="151"/>
        <v>3.9047245344000001</v>
      </c>
      <c r="EO93" s="116">
        <f t="shared" si="152"/>
        <v>2610.6840000000002</v>
      </c>
      <c r="EP93" s="217">
        <f t="shared" si="153"/>
        <v>1.0618764386201442</v>
      </c>
      <c r="EQ93" s="207">
        <f t="shared" si="154"/>
        <v>2</v>
      </c>
      <c r="ER93" s="144">
        <f t="shared" si="155"/>
        <v>44009.053273986145</v>
      </c>
      <c r="ES93" s="138">
        <f t="shared" si="278"/>
        <v>0.25</v>
      </c>
      <c r="ET93" s="116">
        <f t="shared" si="156"/>
        <v>2175570</v>
      </c>
      <c r="EU93" s="2">
        <f t="shared" si="279"/>
        <v>1.5748031496062995E-2</v>
      </c>
      <c r="EV93" s="8">
        <f t="shared" si="157"/>
        <v>3.9047245344000001</v>
      </c>
      <c r="EW93" s="116">
        <f t="shared" si="158"/>
        <v>2610.6840000000002</v>
      </c>
      <c r="EX93" s="217">
        <f t="shared" si="159"/>
        <v>1.0618764386201442</v>
      </c>
      <c r="EY93" s="207">
        <f t="shared" si="160"/>
        <v>2</v>
      </c>
      <c r="EZ93" s="144">
        <f t="shared" si="161"/>
        <v>44009.053273986145</v>
      </c>
      <c r="FA93" s="138">
        <f t="shared" si="280"/>
        <v>0.25</v>
      </c>
      <c r="FB93" s="116">
        <f t="shared" si="162"/>
        <v>2175570</v>
      </c>
      <c r="FC93" s="2">
        <f t="shared" si="281"/>
        <v>1.5748031496062995E-2</v>
      </c>
      <c r="FD93" s="8">
        <f t="shared" si="163"/>
        <v>3.9047245344000001</v>
      </c>
      <c r="FE93" s="116">
        <f t="shared" si="164"/>
        <v>2610.6840000000002</v>
      </c>
      <c r="FF93" s="217">
        <f t="shared" si="165"/>
        <v>1.0618764386201442</v>
      </c>
      <c r="FG93" s="207">
        <f t="shared" si="166"/>
        <v>2</v>
      </c>
      <c r="FH93" s="144">
        <f t="shared" si="167"/>
        <v>44009.053273986145</v>
      </c>
      <c r="FI93" s="128">
        <f t="shared" si="168"/>
        <v>0.25</v>
      </c>
      <c r="FJ93" s="2">
        <f t="shared" si="169"/>
        <v>1.5748031496062995E-2</v>
      </c>
      <c r="FK93" s="127">
        <f t="shared" si="170"/>
        <v>1.5748031496062995E-2</v>
      </c>
      <c r="FL93" s="216">
        <f t="shared" si="171"/>
        <v>0</v>
      </c>
      <c r="FM93" s="138">
        <f t="shared" si="172"/>
        <v>0.25</v>
      </c>
      <c r="FN93" s="138">
        <f t="shared" si="173"/>
        <v>0</v>
      </c>
      <c r="FO93" s="238">
        <f t="shared" si="174"/>
        <v>0</v>
      </c>
      <c r="FP93" s="216">
        <f t="shared" si="282"/>
        <v>0</v>
      </c>
      <c r="FQ93" s="138">
        <f t="shared" si="283"/>
        <v>0.25</v>
      </c>
      <c r="FR93" s="138">
        <f t="shared" si="284"/>
        <v>0</v>
      </c>
      <c r="FS93" s="238">
        <f t="shared" si="285"/>
        <v>0</v>
      </c>
      <c r="FT93" s="216">
        <f t="shared" si="175"/>
        <v>0</v>
      </c>
      <c r="FU93" s="138">
        <f t="shared" si="176"/>
        <v>1.5748031496062995E-2</v>
      </c>
      <c r="FV93" s="138">
        <f t="shared" si="177"/>
        <v>0</v>
      </c>
      <c r="FW93" s="238">
        <f t="shared" si="178"/>
        <v>0</v>
      </c>
      <c r="FX93" s="216">
        <f t="shared" si="286"/>
        <v>0</v>
      </c>
      <c r="FY93" s="138">
        <f t="shared" si="287"/>
        <v>1.5748031496062995E-2</v>
      </c>
      <c r="FZ93" s="138">
        <f t="shared" si="288"/>
        <v>0</v>
      </c>
      <c r="GA93" s="238">
        <f t="shared" si="289"/>
        <v>0</v>
      </c>
      <c r="GB93" s="216">
        <f t="shared" si="179"/>
        <v>0</v>
      </c>
      <c r="GC93" s="138">
        <f t="shared" si="180"/>
        <v>1.5748031496062995E-2</v>
      </c>
      <c r="GD93" s="138">
        <f t="shared" si="181"/>
        <v>0</v>
      </c>
      <c r="GE93" s="238">
        <f t="shared" si="182"/>
        <v>0</v>
      </c>
      <c r="GF93" s="216">
        <f t="shared" si="290"/>
        <v>0</v>
      </c>
      <c r="GG93" s="138">
        <f t="shared" si="291"/>
        <v>1.5748031496062995E-2</v>
      </c>
      <c r="GH93" s="138">
        <f t="shared" si="292"/>
        <v>0</v>
      </c>
      <c r="GI93" s="238">
        <f t="shared" si="293"/>
        <v>0</v>
      </c>
      <c r="GJ93" s="216">
        <f t="shared" si="183"/>
        <v>0.25</v>
      </c>
      <c r="GK93" s="216">
        <f t="shared" si="184"/>
        <v>1.5748031496062995E-2</v>
      </c>
      <c r="GL93" s="17">
        <f t="shared" si="185"/>
        <v>1.5748031496062995E-2</v>
      </c>
      <c r="GM93" s="216">
        <f t="shared" si="294"/>
        <v>6.3326214943150022E-3</v>
      </c>
      <c r="GN93" s="2">
        <f t="shared" si="187"/>
        <v>1</v>
      </c>
      <c r="GO93" s="2">
        <f t="shared" si="188"/>
        <v>2</v>
      </c>
      <c r="GP93" s="142">
        <f t="shared" si="189"/>
        <v>2</v>
      </c>
      <c r="GQ93" s="2">
        <f t="shared" si="190"/>
        <v>1.5748031496062995E-2</v>
      </c>
      <c r="GR93" s="8">
        <f t="shared" si="295"/>
        <v>6.6643138261712032E-2</v>
      </c>
      <c r="GS93" s="138">
        <f t="shared" si="191"/>
        <v>0.25</v>
      </c>
      <c r="GT93" s="12">
        <f t="shared" si="296"/>
        <v>5523.9975489360504</v>
      </c>
      <c r="GU93" s="138">
        <f t="shared" si="192"/>
        <v>0.25</v>
      </c>
      <c r="GV93" s="116">
        <f t="shared" si="193"/>
        <v>2175570</v>
      </c>
      <c r="GW93" s="2">
        <f t="shared" si="297"/>
        <v>1.5748031496062995E-2</v>
      </c>
      <c r="GX93" s="8">
        <f t="shared" si="298"/>
        <v>1.9523622672000001</v>
      </c>
      <c r="GY93" s="116">
        <f t="shared" si="194"/>
        <v>2610.6840000000002</v>
      </c>
      <c r="GZ93" s="217">
        <f t="shared" si="195"/>
        <v>4.247505754480577</v>
      </c>
      <c r="HA93" s="207">
        <f t="shared" si="196"/>
        <v>2</v>
      </c>
      <c r="HB93" s="144">
        <f t="shared" si="197"/>
        <v>176036.21309594458</v>
      </c>
      <c r="HC93" s="138">
        <f t="shared" si="299"/>
        <v>0.25</v>
      </c>
      <c r="HD93" s="116">
        <f t="shared" si="198"/>
        <v>2175570</v>
      </c>
      <c r="HE93" s="2">
        <f t="shared" si="300"/>
        <v>1.5748031496062995E-2</v>
      </c>
      <c r="HF93" s="8">
        <f t="shared" si="199"/>
        <v>1.9523622672000001</v>
      </c>
      <c r="HG93" s="116">
        <f t="shared" si="200"/>
        <v>2610.6840000000002</v>
      </c>
      <c r="HH93" s="217">
        <f t="shared" si="201"/>
        <v>4.247505754480577</v>
      </c>
      <c r="HI93" s="207">
        <f t="shared" si="202"/>
        <v>2</v>
      </c>
      <c r="HJ93" s="144">
        <f t="shared" si="203"/>
        <v>176036.21309594458</v>
      </c>
      <c r="HK93" s="138">
        <f t="shared" si="301"/>
        <v>0.25</v>
      </c>
      <c r="HL93" s="116">
        <f t="shared" si="204"/>
        <v>2175570</v>
      </c>
      <c r="HM93" s="2">
        <f t="shared" si="302"/>
        <v>1.5748031496062995E-2</v>
      </c>
      <c r="HN93" s="8">
        <f t="shared" si="205"/>
        <v>1.9523622672000001</v>
      </c>
      <c r="HO93" s="116">
        <f t="shared" si="206"/>
        <v>2610.6840000000002</v>
      </c>
      <c r="HP93" s="217">
        <f t="shared" si="207"/>
        <v>4.247505754480577</v>
      </c>
      <c r="HQ93" s="207">
        <f t="shared" si="208"/>
        <v>2</v>
      </c>
      <c r="HR93" s="144">
        <f t="shared" si="209"/>
        <v>176036.21309594458</v>
      </c>
      <c r="HS93" s="128">
        <f t="shared" si="210"/>
        <v>0.25</v>
      </c>
      <c r="HT93" s="2">
        <f t="shared" si="211"/>
        <v>1.5748031496062995E-2</v>
      </c>
      <c r="HU93" s="127">
        <f t="shared" si="212"/>
        <v>1.5748031496062995E-2</v>
      </c>
      <c r="HV93" s="216">
        <f t="shared" si="213"/>
        <v>0</v>
      </c>
      <c r="HW93" s="138">
        <f t="shared" si="214"/>
        <v>0.25</v>
      </c>
      <c r="HX93" s="138">
        <f t="shared" si="215"/>
        <v>0</v>
      </c>
      <c r="HY93" s="238">
        <f t="shared" si="216"/>
        <v>0</v>
      </c>
      <c r="HZ93" s="138">
        <f t="shared" si="217"/>
        <v>0</v>
      </c>
      <c r="IA93" s="138">
        <f t="shared" si="218"/>
        <v>0.25</v>
      </c>
      <c r="IB93" s="138">
        <f t="shared" si="219"/>
        <v>0</v>
      </c>
      <c r="IC93" s="138">
        <f t="shared" si="220"/>
        <v>0</v>
      </c>
      <c r="ID93" s="216">
        <f t="shared" si="221"/>
        <v>0</v>
      </c>
      <c r="IE93" s="138">
        <f t="shared" si="222"/>
        <v>1.5748031496062995E-2</v>
      </c>
      <c r="IF93" s="138">
        <f t="shared" si="223"/>
        <v>0</v>
      </c>
      <c r="IG93" s="238">
        <f t="shared" si="224"/>
        <v>0</v>
      </c>
      <c r="IH93" s="138">
        <f t="shared" si="225"/>
        <v>0</v>
      </c>
      <c r="II93" s="138">
        <f t="shared" si="226"/>
        <v>1.5748031496062995E-2</v>
      </c>
      <c r="IJ93" s="138">
        <f t="shared" si="227"/>
        <v>0</v>
      </c>
      <c r="IK93" s="138">
        <f t="shared" si="228"/>
        <v>0</v>
      </c>
      <c r="IL93" s="216">
        <f t="shared" si="229"/>
        <v>0</v>
      </c>
      <c r="IM93" s="138">
        <f t="shared" si="230"/>
        <v>1.5748031496062995E-2</v>
      </c>
      <c r="IN93" s="138">
        <f t="shared" si="231"/>
        <v>0</v>
      </c>
      <c r="IO93" s="238">
        <f t="shared" si="232"/>
        <v>0</v>
      </c>
      <c r="IP93" s="138">
        <f t="shared" si="233"/>
        <v>0</v>
      </c>
      <c r="IQ93" s="138">
        <f t="shared" si="234"/>
        <v>1.5748031496062995E-2</v>
      </c>
      <c r="IR93" s="138">
        <f t="shared" si="235"/>
        <v>0</v>
      </c>
      <c r="IS93" s="138">
        <f t="shared" si="236"/>
        <v>0</v>
      </c>
      <c r="IT93" s="17">
        <f t="shared" si="237"/>
        <v>0.25</v>
      </c>
      <c r="IU93" s="17">
        <f t="shared" si="238"/>
        <v>1.5748031496062995E-2</v>
      </c>
      <c r="IV93" s="17">
        <f t="shared" si="239"/>
        <v>1.5748031496062995E-2</v>
      </c>
      <c r="IW93" s="253">
        <f t="shared" si="240"/>
        <v>10.846457039999999</v>
      </c>
      <c r="IX93" s="116">
        <f t="shared" si="303"/>
        <v>234.98976154138015</v>
      </c>
      <c r="IY93" s="8">
        <f t="shared" si="242"/>
        <v>6.0757291591181312E-3</v>
      </c>
      <c r="IZ93" s="8">
        <f t="shared" si="243"/>
        <v>6.0757291591181312E-3</v>
      </c>
      <c r="JA93" s="8">
        <f t="shared" si="244"/>
        <v>3.0378645795590656E-3</v>
      </c>
      <c r="JB93" s="134">
        <f t="shared" si="245"/>
        <v>5.5116826646307078E-2</v>
      </c>
      <c r="JC93" s="170">
        <f t="shared" si="259"/>
        <v>3.3006550714747922E-3</v>
      </c>
      <c r="JD93" s="272">
        <f t="shared" si="260"/>
        <v>5.7451327847794713E-2</v>
      </c>
      <c r="JE93" s="8"/>
      <c r="JF93" s="8"/>
    </row>
    <row r="94" spans="1:266" x14ac:dyDescent="0.25">
      <c r="A94" s="186">
        <v>34</v>
      </c>
      <c r="B94" s="187">
        <f>A94/100*'Inputs-Imperial'!$E$5</f>
        <v>3.3464568000000003</v>
      </c>
      <c r="C94" s="188">
        <f>'Inputs-Imperial'!$E$10+('Inputs-Imperial'!$E$9-'Inputs-Imperial'!$E$10)*(100-A94)/100</f>
        <v>1.7979003200000001</v>
      </c>
      <c r="D94" s="187">
        <f t="shared" si="248"/>
        <v>9.8425199999999879E-2</v>
      </c>
      <c r="E94" s="188">
        <f t="shared" si="249"/>
        <v>0.17744307457581579</v>
      </c>
      <c r="F94" s="423">
        <f>Loads!P54</f>
        <v>70.790651699251086</v>
      </c>
      <c r="G94" s="423">
        <f>Loads!M54</f>
        <v>707.90651699251043</v>
      </c>
      <c r="H94" s="423">
        <f>Loads!N54</f>
        <v>2052.9580999608306</v>
      </c>
      <c r="I94" s="423">
        <f>Loads!V54</f>
        <v>-588.43164493855397</v>
      </c>
      <c r="J94" s="423">
        <f>Loads!Q54</f>
        <v>205.29580999608311</v>
      </c>
      <c r="K94" s="2">
        <v>34</v>
      </c>
      <c r="L94" s="12">
        <f t="shared" si="41"/>
        <v>40.157481600000004</v>
      </c>
      <c r="M94" s="11">
        <f t="shared" si="42"/>
        <v>21.574803840000001</v>
      </c>
      <c r="N94" s="11">
        <f t="shared" si="43"/>
        <v>1.1811023999999986</v>
      </c>
      <c r="O94" s="152">
        <f t="shared" si="44"/>
        <v>25.551802738917473</v>
      </c>
      <c r="P94" s="151">
        <f t="shared" si="45"/>
        <v>70.790651699251086</v>
      </c>
      <c r="Q94" s="12">
        <f t="shared" si="46"/>
        <v>707.90651699251043</v>
      </c>
      <c r="R94" s="12">
        <f t="shared" si="47"/>
        <v>24635.497199529967</v>
      </c>
      <c r="S94" s="12">
        <f t="shared" si="48"/>
        <v>-7061.1797392626477</v>
      </c>
      <c r="T94" s="152">
        <f t="shared" si="49"/>
        <v>2463.5497199529973</v>
      </c>
      <c r="U94" s="8">
        <f t="shared" si="261"/>
        <v>3.8834646911999999</v>
      </c>
      <c r="V94" s="8">
        <f t="shared" si="262"/>
        <v>3.8834646911999999</v>
      </c>
      <c r="W94" s="134">
        <f t="shared" si="263"/>
        <v>1.9417323456</v>
      </c>
      <c r="X94" s="311">
        <f t="shared" si="264"/>
        <v>5.3937009600000003</v>
      </c>
      <c r="Y94" s="11">
        <f t="shared" si="265"/>
        <v>16.181102880000001</v>
      </c>
      <c r="Z94" s="11">
        <f t="shared" si="266"/>
        <v>10.787401920000001</v>
      </c>
      <c r="AA94" s="316">
        <f t="shared" si="50"/>
        <v>16.181102880000001</v>
      </c>
      <c r="AB94" s="170">
        <f t="shared" si="51"/>
        <v>2.9125985183999998</v>
      </c>
      <c r="AC94" s="11">
        <f t="shared" si="52"/>
        <v>16.181102880000001</v>
      </c>
      <c r="AD94" s="152">
        <f t="shared" si="53"/>
        <v>37.01507424054202</v>
      </c>
      <c r="AE94" s="151">
        <f t="shared" si="267"/>
        <v>4.3748965830227196</v>
      </c>
      <c r="AF94" s="12">
        <f t="shared" si="268"/>
        <v>95.382487866641242</v>
      </c>
      <c r="AG94" s="216">
        <f t="shared" si="269"/>
        <v>6.5356884560002181E-3</v>
      </c>
      <c r="AH94" s="2">
        <f t="shared" si="55"/>
        <v>1</v>
      </c>
      <c r="AI94" s="2">
        <f t="shared" si="56"/>
        <v>3</v>
      </c>
      <c r="AJ94" s="127">
        <f t="shared" si="57"/>
        <v>2</v>
      </c>
      <c r="AK94" s="2">
        <f t="shared" si="58"/>
        <v>1.5748031496062995E-2</v>
      </c>
      <c r="AL94" s="8">
        <f t="shared" si="270"/>
        <v>6.8780171023913705E-2</v>
      </c>
      <c r="AM94" s="138">
        <f t="shared" si="59"/>
        <v>0.25</v>
      </c>
      <c r="AN94" s="12">
        <f t="shared" si="271"/>
        <v>5701.1345212982942</v>
      </c>
      <c r="AO94" s="138">
        <f t="shared" si="60"/>
        <v>0.25</v>
      </c>
      <c r="AP94" s="116">
        <f t="shared" si="61"/>
        <v>2175570</v>
      </c>
      <c r="AQ94" s="2">
        <f t="shared" si="62"/>
        <v>1.5748031496062995E-2</v>
      </c>
      <c r="AR94" s="8">
        <f t="shared" si="63"/>
        <v>10.787401920000001</v>
      </c>
      <c r="AS94" s="116">
        <f t="shared" si="64"/>
        <v>2610.6840000000002</v>
      </c>
      <c r="AT94" s="217">
        <f t="shared" si="65"/>
        <v>0.13913009025500914</v>
      </c>
      <c r="AU94" s="207">
        <f t="shared" si="66"/>
        <v>3.5303260234327327</v>
      </c>
      <c r="AV94" s="144">
        <f t="shared" si="67"/>
        <v>10178.269050772305</v>
      </c>
      <c r="AW94" s="138">
        <f t="shared" si="68"/>
        <v>0.25</v>
      </c>
      <c r="AX94" s="116">
        <f t="shared" si="69"/>
        <v>2175570</v>
      </c>
      <c r="AY94" s="2">
        <f t="shared" si="70"/>
        <v>1.5748031496062995E-2</v>
      </c>
      <c r="AZ94" s="8">
        <f t="shared" si="71"/>
        <v>10.787401920000001</v>
      </c>
      <c r="BA94" s="116">
        <f t="shared" si="72"/>
        <v>2610.6840000000002</v>
      </c>
      <c r="BB94" s="217">
        <f t="shared" si="73"/>
        <v>0.13913009025500914</v>
      </c>
      <c r="BC94" s="207">
        <f t="shared" si="74"/>
        <v>3.5303260234327327</v>
      </c>
      <c r="BD94" s="144">
        <f t="shared" si="75"/>
        <v>10178.269050772305</v>
      </c>
      <c r="BE94" s="138">
        <f t="shared" si="76"/>
        <v>0.25</v>
      </c>
      <c r="BF94" s="116">
        <f t="shared" si="77"/>
        <v>2175570</v>
      </c>
      <c r="BG94" s="2">
        <f t="shared" si="78"/>
        <v>1.5748031496062995E-2</v>
      </c>
      <c r="BH94" s="8">
        <f t="shared" si="79"/>
        <v>10.787401920000001</v>
      </c>
      <c r="BI94" s="116">
        <f t="shared" si="80"/>
        <v>2610.6840000000002</v>
      </c>
      <c r="BJ94" s="217">
        <f t="shared" si="81"/>
        <v>0.13913009025500914</v>
      </c>
      <c r="BK94" s="207">
        <f t="shared" si="82"/>
        <v>3.5303260234327327</v>
      </c>
      <c r="BL94" s="144">
        <f t="shared" si="83"/>
        <v>10178.269050772305</v>
      </c>
      <c r="BM94" s="216">
        <f t="shared" si="84"/>
        <v>0.25</v>
      </c>
      <c r="BN94" s="216">
        <f t="shared" si="85"/>
        <v>2.3622047244094495E-2</v>
      </c>
      <c r="BO94" s="238">
        <f t="shared" si="86"/>
        <v>1.5748031496062995E-2</v>
      </c>
      <c r="BP94" s="216">
        <f t="shared" si="87"/>
        <v>0</v>
      </c>
      <c r="BQ94" s="138">
        <f t="shared" si="88"/>
        <v>0.25</v>
      </c>
      <c r="BR94" s="138">
        <f t="shared" si="89"/>
        <v>0</v>
      </c>
      <c r="BS94" s="238">
        <f t="shared" si="90"/>
        <v>0</v>
      </c>
      <c r="BT94" s="138">
        <f t="shared" si="91"/>
        <v>0</v>
      </c>
      <c r="BU94" s="138">
        <f t="shared" si="92"/>
        <v>0.25</v>
      </c>
      <c r="BV94" s="138">
        <f t="shared" si="93"/>
        <v>0</v>
      </c>
      <c r="BW94" s="238">
        <f t="shared" si="94"/>
        <v>0</v>
      </c>
      <c r="BX94" s="216">
        <f t="shared" si="95"/>
        <v>0</v>
      </c>
      <c r="BY94" s="138">
        <f t="shared" si="96"/>
        <v>2.3622047244094495E-2</v>
      </c>
      <c r="BZ94" s="138">
        <f t="shared" si="97"/>
        <v>0</v>
      </c>
      <c r="CA94" s="238">
        <f t="shared" si="98"/>
        <v>0</v>
      </c>
      <c r="CB94" s="138">
        <f t="shared" si="99"/>
        <v>0</v>
      </c>
      <c r="CC94" s="138">
        <f t="shared" si="100"/>
        <v>2.3622047244094495E-2</v>
      </c>
      <c r="CD94" s="138">
        <f t="shared" si="101"/>
        <v>0</v>
      </c>
      <c r="CE94" s="238">
        <f t="shared" si="102"/>
        <v>0</v>
      </c>
      <c r="CF94" s="216">
        <f t="shared" si="103"/>
        <v>0</v>
      </c>
      <c r="CG94" s="138">
        <f t="shared" si="104"/>
        <v>1.5748031496062995E-2</v>
      </c>
      <c r="CH94" s="138">
        <f t="shared" si="105"/>
        <v>0</v>
      </c>
      <c r="CI94" s="238">
        <f t="shared" si="106"/>
        <v>0</v>
      </c>
      <c r="CJ94" s="138">
        <f t="shared" si="107"/>
        <v>0</v>
      </c>
      <c r="CK94" s="138">
        <f t="shared" si="108"/>
        <v>1.5748031496062995E-2</v>
      </c>
      <c r="CL94" s="138">
        <f t="shared" si="109"/>
        <v>0</v>
      </c>
      <c r="CM94" s="238">
        <f t="shared" si="110"/>
        <v>0</v>
      </c>
      <c r="CN94" s="17">
        <f t="shared" si="111"/>
        <v>0.25</v>
      </c>
      <c r="CO94" s="17">
        <f t="shared" si="112"/>
        <v>2.3622047244094495E-2</v>
      </c>
      <c r="CP94" s="17">
        <f t="shared" si="113"/>
        <v>1.5748031496062995E-2</v>
      </c>
      <c r="CQ94" s="17">
        <f>$U94-IF('Inputs-Imperial'!$E$13,0,2)*($CO94+$CN94+$CP94)</f>
        <v>3.8834646911999999</v>
      </c>
      <c r="CR94" s="116">
        <f t="shared" si="114"/>
        <v>6343.6902761996116</v>
      </c>
      <c r="CS94" s="8">
        <f t="shared" si="10"/>
        <v>0.16401797139886473</v>
      </c>
      <c r="CT94" s="8">
        <f t="shared" si="115"/>
        <v>0.40499132262168869</v>
      </c>
      <c r="CU94" s="8">
        <f t="shared" si="272"/>
        <v>0.16401797139886473</v>
      </c>
      <c r="CV94" s="8">
        <f t="shared" si="116"/>
        <v>0.40499132262168869</v>
      </c>
      <c r="CW94" s="216">
        <f t="shared" si="117"/>
        <v>3.4784733685783116</v>
      </c>
      <c r="CX94" s="116">
        <f t="shared" si="118"/>
        <v>7082.272764272665</v>
      </c>
      <c r="CY94" s="8">
        <f t="shared" si="119"/>
        <v>0.18311423810327287</v>
      </c>
      <c r="CZ94" s="8">
        <f t="shared" si="120"/>
        <v>0.42791849469644672</v>
      </c>
      <c r="DA94" s="8">
        <f t="shared" si="121"/>
        <v>0.18311423810327287</v>
      </c>
      <c r="DB94" s="8">
        <f t="shared" si="122"/>
        <v>0.42791849469644672</v>
      </c>
      <c r="DC94" s="216">
        <f t="shared" si="123"/>
        <v>3.4555461965035534</v>
      </c>
      <c r="DD94" s="116">
        <f t="shared" si="124"/>
        <v>7129.2628715127739</v>
      </c>
      <c r="DE94" s="8">
        <f t="shared" si="125"/>
        <v>0.1843291810985597</v>
      </c>
      <c r="DF94" s="8">
        <f t="shared" si="126"/>
        <v>0.42933574402623376</v>
      </c>
      <c r="DG94" s="8">
        <f t="shared" si="127"/>
        <v>0.1843291810985597</v>
      </c>
      <c r="DH94" s="8">
        <f t="shared" si="128"/>
        <v>0.42933574402623376</v>
      </c>
      <c r="DI94" s="216">
        <f t="shared" si="129"/>
        <v>3.4541289471737664</v>
      </c>
      <c r="DJ94" s="116">
        <f t="shared" si="130"/>
        <v>7132.1880498083883</v>
      </c>
      <c r="DK94" s="8">
        <f t="shared" si="131"/>
        <v>0.18440481244074969</v>
      </c>
      <c r="DL94" s="8">
        <f t="shared" si="132"/>
        <v>0.42942381447789979</v>
      </c>
      <c r="DM94" s="8">
        <f t="shared" si="133"/>
        <v>0.18440481244074969</v>
      </c>
      <c r="DN94" s="8">
        <f t="shared" si="134"/>
        <v>0.42942381447789979</v>
      </c>
      <c r="DO94" s="216">
        <f t="shared" si="135"/>
        <v>3.4540408767220998</v>
      </c>
      <c r="DP94" s="116">
        <f t="shared" si="136"/>
        <v>7132.3699049297775</v>
      </c>
      <c r="DQ94" s="170">
        <f t="shared" si="137"/>
        <v>0.18440951435821415</v>
      </c>
      <c r="DR94" s="8">
        <f t="shared" si="138"/>
        <v>0.42942928912478029</v>
      </c>
      <c r="DS94" s="8">
        <f t="shared" si="139"/>
        <v>0.18440951435821415</v>
      </c>
      <c r="DT94" s="134">
        <f t="shared" si="140"/>
        <v>0.42942928912478029</v>
      </c>
      <c r="DU94" s="170">
        <f t="shared" si="258"/>
        <v>0.20712205586855234</v>
      </c>
      <c r="DV94" s="170">
        <f t="shared" si="258"/>
        <v>0.45510664230326536</v>
      </c>
      <c r="DW94" s="170">
        <f t="shared" si="258"/>
        <v>0.20712205586855234</v>
      </c>
      <c r="DX94" s="272">
        <f t="shared" si="258"/>
        <v>0.45510664230326536</v>
      </c>
      <c r="DY94" s="272">
        <f t="shared" si="142"/>
        <v>2.973251406593469</v>
      </c>
      <c r="DZ94" s="22">
        <f t="shared" si="273"/>
        <v>182.28735762594653</v>
      </c>
      <c r="EA94" s="216">
        <f t="shared" si="274"/>
        <v>1.1942708657441101E-2</v>
      </c>
      <c r="EB94" s="12">
        <f t="shared" si="143"/>
        <v>2</v>
      </c>
      <c r="EC94" s="7">
        <f>ROUND(MAX(DV94,DX94)/'Inputs-Imperial'!$E$21,0)</f>
        <v>4</v>
      </c>
      <c r="ED94" s="12">
        <f t="shared" si="144"/>
        <v>4</v>
      </c>
      <c r="EE94" s="2">
        <f t="shared" si="145"/>
        <v>2</v>
      </c>
      <c r="EF94" s="127">
        <f t="shared" si="146"/>
        <v>2</v>
      </c>
      <c r="EG94" s="2">
        <f t="shared" si="147"/>
        <v>1.5748031496062995E-2</v>
      </c>
      <c r="EH94" s="8">
        <f t="shared" si="275"/>
        <v>0.12568248157444706</v>
      </c>
      <c r="EI94" s="138">
        <f t="shared" si="148"/>
        <v>0.25</v>
      </c>
      <c r="EJ94" s="12">
        <f t="shared" si="276"/>
        <v>10417.722488322841</v>
      </c>
      <c r="EK94" s="138">
        <f t="shared" si="149"/>
        <v>0.25</v>
      </c>
      <c r="EL94" s="116">
        <f t="shared" si="150"/>
        <v>2175570</v>
      </c>
      <c r="EM94" s="2">
        <f t="shared" si="277"/>
        <v>1.5748031496062995E-2</v>
      </c>
      <c r="EN94" s="8">
        <f t="shared" si="151"/>
        <v>3.8834646911999999</v>
      </c>
      <c r="EO94" s="116">
        <f t="shared" si="152"/>
        <v>2610.6840000000002</v>
      </c>
      <c r="EP94" s="217">
        <f t="shared" si="153"/>
        <v>1.0735346470293916</v>
      </c>
      <c r="EQ94" s="207">
        <f t="shared" si="154"/>
        <v>2</v>
      </c>
      <c r="ER94" s="144">
        <f t="shared" si="155"/>
        <v>44492.223157318818</v>
      </c>
      <c r="ES94" s="138">
        <f t="shared" si="278"/>
        <v>0.25</v>
      </c>
      <c r="ET94" s="116">
        <f t="shared" si="156"/>
        <v>2175570</v>
      </c>
      <c r="EU94" s="2">
        <f t="shared" si="279"/>
        <v>1.5748031496062995E-2</v>
      </c>
      <c r="EV94" s="8">
        <f t="shared" si="157"/>
        <v>3.8834646911999999</v>
      </c>
      <c r="EW94" s="116">
        <f t="shared" si="158"/>
        <v>2610.6840000000002</v>
      </c>
      <c r="EX94" s="217">
        <f t="shared" si="159"/>
        <v>1.0735346470293916</v>
      </c>
      <c r="EY94" s="207">
        <f t="shared" si="160"/>
        <v>2</v>
      </c>
      <c r="EZ94" s="144">
        <f t="shared" si="161"/>
        <v>44492.223157318818</v>
      </c>
      <c r="FA94" s="138">
        <f t="shared" si="280"/>
        <v>0.25</v>
      </c>
      <c r="FB94" s="116">
        <f t="shared" si="162"/>
        <v>2175570</v>
      </c>
      <c r="FC94" s="2">
        <f t="shared" si="281"/>
        <v>1.5748031496062995E-2</v>
      </c>
      <c r="FD94" s="8">
        <f t="shared" si="163"/>
        <v>3.8834646911999999</v>
      </c>
      <c r="FE94" s="116">
        <f t="shared" si="164"/>
        <v>2610.6840000000002</v>
      </c>
      <c r="FF94" s="217">
        <f t="shared" si="165"/>
        <v>1.0735346470293916</v>
      </c>
      <c r="FG94" s="207">
        <f t="shared" si="166"/>
        <v>2</v>
      </c>
      <c r="FH94" s="144">
        <f t="shared" si="167"/>
        <v>44492.223157318818</v>
      </c>
      <c r="FI94" s="128">
        <f t="shared" si="168"/>
        <v>0.25</v>
      </c>
      <c r="FJ94" s="2">
        <f t="shared" si="169"/>
        <v>1.5748031496062995E-2</v>
      </c>
      <c r="FK94" s="127">
        <f t="shared" si="170"/>
        <v>1.5748031496062995E-2</v>
      </c>
      <c r="FL94" s="216">
        <f t="shared" si="171"/>
        <v>0</v>
      </c>
      <c r="FM94" s="138">
        <f t="shared" si="172"/>
        <v>0.25</v>
      </c>
      <c r="FN94" s="138">
        <f t="shared" si="173"/>
        <v>0</v>
      </c>
      <c r="FO94" s="238">
        <f t="shared" si="174"/>
        <v>0</v>
      </c>
      <c r="FP94" s="216">
        <f t="shared" si="282"/>
        <v>0</v>
      </c>
      <c r="FQ94" s="138">
        <f t="shared" si="283"/>
        <v>0.25</v>
      </c>
      <c r="FR94" s="138">
        <f t="shared" si="284"/>
        <v>0</v>
      </c>
      <c r="FS94" s="238">
        <f t="shared" si="285"/>
        <v>0</v>
      </c>
      <c r="FT94" s="216">
        <f t="shared" si="175"/>
        <v>0</v>
      </c>
      <c r="FU94" s="138">
        <f t="shared" si="176"/>
        <v>1.5748031496062995E-2</v>
      </c>
      <c r="FV94" s="138">
        <f t="shared" si="177"/>
        <v>0</v>
      </c>
      <c r="FW94" s="238">
        <f t="shared" si="178"/>
        <v>0</v>
      </c>
      <c r="FX94" s="216">
        <f t="shared" si="286"/>
        <v>0</v>
      </c>
      <c r="FY94" s="138">
        <f t="shared" si="287"/>
        <v>1.5748031496062995E-2</v>
      </c>
      <c r="FZ94" s="138">
        <f t="shared" si="288"/>
        <v>0</v>
      </c>
      <c r="GA94" s="238">
        <f t="shared" si="289"/>
        <v>0</v>
      </c>
      <c r="GB94" s="216">
        <f t="shared" si="179"/>
        <v>0</v>
      </c>
      <c r="GC94" s="138">
        <f t="shared" si="180"/>
        <v>1.5748031496062995E-2</v>
      </c>
      <c r="GD94" s="138">
        <f t="shared" si="181"/>
        <v>0</v>
      </c>
      <c r="GE94" s="238">
        <f t="shared" si="182"/>
        <v>0</v>
      </c>
      <c r="GF94" s="216">
        <f t="shared" si="290"/>
        <v>0</v>
      </c>
      <c r="GG94" s="138">
        <f t="shared" si="291"/>
        <v>1.5748031496062995E-2</v>
      </c>
      <c r="GH94" s="138">
        <f t="shared" si="292"/>
        <v>0</v>
      </c>
      <c r="GI94" s="238">
        <f t="shared" si="293"/>
        <v>0</v>
      </c>
      <c r="GJ94" s="216">
        <f t="shared" si="183"/>
        <v>0.25</v>
      </c>
      <c r="GK94" s="216">
        <f t="shared" si="184"/>
        <v>1.5748031496062995E-2</v>
      </c>
      <c r="GL94" s="17">
        <f t="shared" si="185"/>
        <v>1.5748031496062995E-2</v>
      </c>
      <c r="GM94" s="216">
        <f t="shared" si="294"/>
        <v>6.2490634482216317E-3</v>
      </c>
      <c r="GN94" s="2">
        <f t="shared" si="187"/>
        <v>1</v>
      </c>
      <c r="GO94" s="2">
        <f t="shared" si="188"/>
        <v>2</v>
      </c>
      <c r="GP94" s="142">
        <f t="shared" si="189"/>
        <v>2</v>
      </c>
      <c r="GQ94" s="2">
        <f t="shared" si="190"/>
        <v>1.5748031496062995E-2</v>
      </c>
      <c r="GR94" s="8">
        <f t="shared" si="295"/>
        <v>6.5763791466126972E-2</v>
      </c>
      <c r="GS94" s="138">
        <f t="shared" si="191"/>
        <v>0.25</v>
      </c>
      <c r="GT94" s="12">
        <f t="shared" si="296"/>
        <v>5451.1091815785458</v>
      </c>
      <c r="GU94" s="138">
        <f t="shared" si="192"/>
        <v>0.25</v>
      </c>
      <c r="GV94" s="116">
        <f t="shared" si="193"/>
        <v>2175570</v>
      </c>
      <c r="GW94" s="2">
        <f t="shared" si="297"/>
        <v>1.5748031496062995E-2</v>
      </c>
      <c r="GX94" s="8">
        <f t="shared" si="298"/>
        <v>1.9417323456</v>
      </c>
      <c r="GY94" s="116">
        <f t="shared" si="194"/>
        <v>2610.6840000000002</v>
      </c>
      <c r="GZ94" s="217">
        <f t="shared" si="195"/>
        <v>4.2941385881175664</v>
      </c>
      <c r="HA94" s="207">
        <f t="shared" si="196"/>
        <v>2</v>
      </c>
      <c r="HB94" s="144">
        <f t="shared" si="197"/>
        <v>177968.89262927527</v>
      </c>
      <c r="HC94" s="138">
        <f t="shared" si="299"/>
        <v>0.25</v>
      </c>
      <c r="HD94" s="116">
        <f t="shared" si="198"/>
        <v>2175570</v>
      </c>
      <c r="HE94" s="2">
        <f t="shared" si="300"/>
        <v>1.5748031496062995E-2</v>
      </c>
      <c r="HF94" s="8">
        <f t="shared" si="199"/>
        <v>1.9417323456</v>
      </c>
      <c r="HG94" s="116">
        <f t="shared" si="200"/>
        <v>2610.6840000000002</v>
      </c>
      <c r="HH94" s="217">
        <f t="shared" si="201"/>
        <v>4.2941385881175664</v>
      </c>
      <c r="HI94" s="207">
        <f t="shared" si="202"/>
        <v>2</v>
      </c>
      <c r="HJ94" s="144">
        <f t="shared" si="203"/>
        <v>177968.89262927527</v>
      </c>
      <c r="HK94" s="138">
        <f t="shared" si="301"/>
        <v>0.25</v>
      </c>
      <c r="HL94" s="116">
        <f t="shared" si="204"/>
        <v>2175570</v>
      </c>
      <c r="HM94" s="2">
        <f t="shared" si="302"/>
        <v>1.5748031496062995E-2</v>
      </c>
      <c r="HN94" s="8">
        <f t="shared" si="205"/>
        <v>1.9417323456</v>
      </c>
      <c r="HO94" s="116">
        <f t="shared" si="206"/>
        <v>2610.6840000000002</v>
      </c>
      <c r="HP94" s="217">
        <f t="shared" si="207"/>
        <v>4.2941385881175664</v>
      </c>
      <c r="HQ94" s="207">
        <f t="shared" si="208"/>
        <v>2</v>
      </c>
      <c r="HR94" s="144">
        <f t="shared" si="209"/>
        <v>177968.89262927527</v>
      </c>
      <c r="HS94" s="128">
        <f t="shared" si="210"/>
        <v>0.25</v>
      </c>
      <c r="HT94" s="2">
        <f t="shared" si="211"/>
        <v>1.5748031496062995E-2</v>
      </c>
      <c r="HU94" s="127">
        <f t="shared" si="212"/>
        <v>1.5748031496062995E-2</v>
      </c>
      <c r="HV94" s="216">
        <f t="shared" si="213"/>
        <v>0</v>
      </c>
      <c r="HW94" s="138">
        <f t="shared" si="214"/>
        <v>0.25</v>
      </c>
      <c r="HX94" s="138">
        <f t="shared" si="215"/>
        <v>0</v>
      </c>
      <c r="HY94" s="238">
        <f t="shared" si="216"/>
        <v>0</v>
      </c>
      <c r="HZ94" s="138">
        <f t="shared" si="217"/>
        <v>0</v>
      </c>
      <c r="IA94" s="138">
        <f t="shared" si="218"/>
        <v>0.25</v>
      </c>
      <c r="IB94" s="138">
        <f t="shared" si="219"/>
        <v>0</v>
      </c>
      <c r="IC94" s="138">
        <f t="shared" si="220"/>
        <v>0</v>
      </c>
      <c r="ID94" s="216">
        <f t="shared" si="221"/>
        <v>0</v>
      </c>
      <c r="IE94" s="138">
        <f t="shared" si="222"/>
        <v>1.5748031496062995E-2</v>
      </c>
      <c r="IF94" s="138">
        <f t="shared" si="223"/>
        <v>0</v>
      </c>
      <c r="IG94" s="238">
        <f t="shared" si="224"/>
        <v>0</v>
      </c>
      <c r="IH94" s="138">
        <f t="shared" si="225"/>
        <v>0</v>
      </c>
      <c r="II94" s="138">
        <f t="shared" si="226"/>
        <v>1.5748031496062995E-2</v>
      </c>
      <c r="IJ94" s="138">
        <f t="shared" si="227"/>
        <v>0</v>
      </c>
      <c r="IK94" s="138">
        <f t="shared" si="228"/>
        <v>0</v>
      </c>
      <c r="IL94" s="216">
        <f t="shared" si="229"/>
        <v>0</v>
      </c>
      <c r="IM94" s="138">
        <f t="shared" si="230"/>
        <v>1.5748031496062995E-2</v>
      </c>
      <c r="IN94" s="138">
        <f t="shared" si="231"/>
        <v>0</v>
      </c>
      <c r="IO94" s="238">
        <f t="shared" si="232"/>
        <v>0</v>
      </c>
      <c r="IP94" s="138">
        <f t="shared" si="233"/>
        <v>0</v>
      </c>
      <c r="IQ94" s="138">
        <f t="shared" si="234"/>
        <v>1.5748031496062995E-2</v>
      </c>
      <c r="IR94" s="138">
        <f t="shared" si="235"/>
        <v>0</v>
      </c>
      <c r="IS94" s="138">
        <f t="shared" si="236"/>
        <v>0</v>
      </c>
      <c r="IT94" s="17">
        <f t="shared" si="237"/>
        <v>0.25</v>
      </c>
      <c r="IU94" s="17">
        <f t="shared" si="238"/>
        <v>1.5748031496062995E-2</v>
      </c>
      <c r="IV94" s="17">
        <f t="shared" si="239"/>
        <v>1.5748031496062995E-2</v>
      </c>
      <c r="IW94" s="253">
        <f t="shared" si="240"/>
        <v>10.787401920000001</v>
      </c>
      <c r="IX94" s="116">
        <f t="shared" si="303"/>
        <v>228.37284994318605</v>
      </c>
      <c r="IY94" s="8">
        <f t="shared" si="242"/>
        <v>5.9046469703591311E-3</v>
      </c>
      <c r="IZ94" s="8">
        <f t="shared" si="243"/>
        <v>5.9046469703591311E-3</v>
      </c>
      <c r="JA94" s="8">
        <f t="shared" si="244"/>
        <v>2.9523234851795655E-3</v>
      </c>
      <c r="JB94" s="134">
        <f t="shared" si="245"/>
        <v>5.4335287660778657E-2</v>
      </c>
      <c r="JC94" s="170">
        <f t="shared" si="259"/>
        <v>3.3006550714747922E-3</v>
      </c>
      <c r="JD94" s="272">
        <f t="shared" si="260"/>
        <v>5.7451327847794713E-2</v>
      </c>
      <c r="JE94" s="8"/>
      <c r="JF94" s="8"/>
    </row>
    <row r="95" spans="1:266" x14ac:dyDescent="0.25">
      <c r="A95" s="186">
        <v>35</v>
      </c>
      <c r="B95" s="187">
        <f>A95/100*'Inputs-Imperial'!$E$5</f>
        <v>3.4448819999999998</v>
      </c>
      <c r="C95" s="188">
        <f>'Inputs-Imperial'!$E$10+('Inputs-Imperial'!$E$9-'Inputs-Imperial'!$E$10)*(100-A95)/100</f>
        <v>1.7880578</v>
      </c>
      <c r="D95" s="187">
        <f t="shared" si="248"/>
        <v>9.8425199999999435E-2</v>
      </c>
      <c r="E95" s="188">
        <f t="shared" si="249"/>
        <v>0.17647432257631099</v>
      </c>
      <c r="F95" s="423">
        <f>Loads!P55</f>
        <v>69.403783252742755</v>
      </c>
      <c r="G95" s="423">
        <f>Loads!M55</f>
        <v>694.03783252742721</v>
      </c>
      <c r="H95" s="423">
        <f>Loads!N55</f>
        <v>1983.2822594445397</v>
      </c>
      <c r="I95" s="423">
        <f>Loads!V55</f>
        <v>-574.15016737445126</v>
      </c>
      <c r="J95" s="423">
        <f>Loads!Q55</f>
        <v>198.32822594445403</v>
      </c>
      <c r="K95" s="2">
        <v>35</v>
      </c>
      <c r="L95" s="12">
        <f t="shared" si="41"/>
        <v>41.338583999999997</v>
      </c>
      <c r="M95" s="11">
        <f t="shared" si="42"/>
        <v>21.456693600000001</v>
      </c>
      <c r="N95" s="11">
        <f t="shared" si="43"/>
        <v>1.1811023999999932</v>
      </c>
      <c r="O95" s="152">
        <f t="shared" si="44"/>
        <v>25.412302450988783</v>
      </c>
      <c r="P95" s="151">
        <f t="shared" si="45"/>
        <v>69.403783252742755</v>
      </c>
      <c r="Q95" s="12">
        <f t="shared" si="46"/>
        <v>694.03783252742721</v>
      </c>
      <c r="R95" s="12">
        <f t="shared" si="47"/>
        <v>23799.387113334476</v>
      </c>
      <c r="S95" s="12">
        <f t="shared" si="48"/>
        <v>-6889.8020084934151</v>
      </c>
      <c r="T95" s="152">
        <f t="shared" si="49"/>
        <v>2379.9387113334483</v>
      </c>
      <c r="U95" s="8">
        <f t="shared" si="261"/>
        <v>3.8622048480000002</v>
      </c>
      <c r="V95" s="8">
        <f t="shared" si="262"/>
        <v>3.8622048480000002</v>
      </c>
      <c r="W95" s="134">
        <f t="shared" si="263"/>
        <v>1.9311024240000001</v>
      </c>
      <c r="X95" s="311">
        <f t="shared" si="264"/>
        <v>5.3641734000000003</v>
      </c>
      <c r="Y95" s="11">
        <f t="shared" si="265"/>
        <v>16.092520200000003</v>
      </c>
      <c r="Z95" s="11">
        <f t="shared" si="266"/>
        <v>10.728346800000002</v>
      </c>
      <c r="AA95" s="316">
        <f t="shared" si="50"/>
        <v>16.092520200000003</v>
      </c>
      <c r="AB95" s="170">
        <f t="shared" si="51"/>
        <v>2.8966536359999999</v>
      </c>
      <c r="AC95" s="11">
        <f t="shared" si="52"/>
        <v>16.092520200000003</v>
      </c>
      <c r="AD95" s="152">
        <f t="shared" si="53"/>
        <v>36.610909033169712</v>
      </c>
      <c r="AE95" s="151">
        <f t="shared" si="267"/>
        <v>4.3127976469927152</v>
      </c>
      <c r="AF95" s="12">
        <f t="shared" si="268"/>
        <v>94.094932227047565</v>
      </c>
      <c r="AG95" s="216">
        <f t="shared" si="269"/>
        <v>6.4472647079423248E-3</v>
      </c>
      <c r="AH95" s="2">
        <f t="shared" si="55"/>
        <v>1</v>
      </c>
      <c r="AI95" s="2">
        <f t="shared" si="56"/>
        <v>3</v>
      </c>
      <c r="AJ95" s="127">
        <f t="shared" si="57"/>
        <v>2</v>
      </c>
      <c r="AK95" s="2">
        <f t="shared" si="58"/>
        <v>1.5748031496062995E-2</v>
      </c>
      <c r="AL95" s="8">
        <f t="shared" si="270"/>
        <v>6.7849618633765138E-2</v>
      </c>
      <c r="AM95" s="138">
        <f t="shared" si="59"/>
        <v>0.25</v>
      </c>
      <c r="AN95" s="12">
        <f t="shared" si="271"/>
        <v>5624.0017623014019</v>
      </c>
      <c r="AO95" s="138">
        <f t="shared" si="60"/>
        <v>0.25</v>
      </c>
      <c r="AP95" s="116">
        <f t="shared" si="61"/>
        <v>2175570</v>
      </c>
      <c r="AQ95" s="2">
        <f t="shared" si="62"/>
        <v>1.5748031496062995E-2</v>
      </c>
      <c r="AR95" s="8">
        <f t="shared" si="63"/>
        <v>10.728346800000002</v>
      </c>
      <c r="AS95" s="116">
        <f t="shared" si="64"/>
        <v>2610.6840000000002</v>
      </c>
      <c r="AT95" s="217">
        <f t="shared" si="65"/>
        <v>0.140666013379144</v>
      </c>
      <c r="AU95" s="207">
        <f t="shared" si="66"/>
        <v>3.517563637055658</v>
      </c>
      <c r="AV95" s="144">
        <f t="shared" si="67"/>
        <v>10253.430409966695</v>
      </c>
      <c r="AW95" s="138">
        <f t="shared" si="68"/>
        <v>0.25</v>
      </c>
      <c r="AX95" s="116">
        <f t="shared" si="69"/>
        <v>2175570</v>
      </c>
      <c r="AY95" s="2">
        <f t="shared" si="70"/>
        <v>1.5748031496062995E-2</v>
      </c>
      <c r="AZ95" s="8">
        <f t="shared" si="71"/>
        <v>10.728346800000002</v>
      </c>
      <c r="BA95" s="116">
        <f t="shared" si="72"/>
        <v>2610.6840000000002</v>
      </c>
      <c r="BB95" s="217">
        <f t="shared" si="73"/>
        <v>0.140666013379144</v>
      </c>
      <c r="BC95" s="207">
        <f t="shared" si="74"/>
        <v>3.517563637055658</v>
      </c>
      <c r="BD95" s="144">
        <f t="shared" si="75"/>
        <v>10253.430409966695</v>
      </c>
      <c r="BE95" s="138">
        <f t="shared" si="76"/>
        <v>0.25</v>
      </c>
      <c r="BF95" s="116">
        <f t="shared" si="77"/>
        <v>2175570</v>
      </c>
      <c r="BG95" s="2">
        <f t="shared" si="78"/>
        <v>1.5748031496062995E-2</v>
      </c>
      <c r="BH95" s="8">
        <f t="shared" si="79"/>
        <v>10.728346800000002</v>
      </c>
      <c r="BI95" s="116">
        <f t="shared" si="80"/>
        <v>2610.6840000000002</v>
      </c>
      <c r="BJ95" s="217">
        <f t="shared" si="81"/>
        <v>0.140666013379144</v>
      </c>
      <c r="BK95" s="207">
        <f t="shared" si="82"/>
        <v>3.517563637055658</v>
      </c>
      <c r="BL95" s="144">
        <f t="shared" si="83"/>
        <v>10253.430409966695</v>
      </c>
      <c r="BM95" s="216">
        <f t="shared" si="84"/>
        <v>0.25</v>
      </c>
      <c r="BN95" s="216">
        <f t="shared" si="85"/>
        <v>2.3622047244094495E-2</v>
      </c>
      <c r="BO95" s="238">
        <f t="shared" si="86"/>
        <v>1.5748031496062995E-2</v>
      </c>
      <c r="BP95" s="216">
        <f t="shared" si="87"/>
        <v>0</v>
      </c>
      <c r="BQ95" s="138">
        <f t="shared" si="88"/>
        <v>0.25</v>
      </c>
      <c r="BR95" s="138">
        <f t="shared" si="89"/>
        <v>0</v>
      </c>
      <c r="BS95" s="238">
        <f t="shared" si="90"/>
        <v>0</v>
      </c>
      <c r="BT95" s="138">
        <f t="shared" si="91"/>
        <v>0</v>
      </c>
      <c r="BU95" s="138">
        <f t="shared" si="92"/>
        <v>0.25</v>
      </c>
      <c r="BV95" s="138">
        <f t="shared" si="93"/>
        <v>0</v>
      </c>
      <c r="BW95" s="238">
        <f t="shared" si="94"/>
        <v>0</v>
      </c>
      <c r="BX95" s="216">
        <f t="shared" si="95"/>
        <v>0</v>
      </c>
      <c r="BY95" s="138">
        <f t="shared" si="96"/>
        <v>2.3622047244094495E-2</v>
      </c>
      <c r="BZ95" s="138">
        <f t="shared" si="97"/>
        <v>0</v>
      </c>
      <c r="CA95" s="238">
        <f t="shared" si="98"/>
        <v>0</v>
      </c>
      <c r="CB95" s="138">
        <f t="shared" si="99"/>
        <v>0</v>
      </c>
      <c r="CC95" s="138">
        <f t="shared" si="100"/>
        <v>2.3622047244094495E-2</v>
      </c>
      <c r="CD95" s="138">
        <f t="shared" si="101"/>
        <v>0</v>
      </c>
      <c r="CE95" s="238">
        <f t="shared" si="102"/>
        <v>0</v>
      </c>
      <c r="CF95" s="216">
        <f t="shared" si="103"/>
        <v>0</v>
      </c>
      <c r="CG95" s="138">
        <f t="shared" si="104"/>
        <v>1.5748031496062995E-2</v>
      </c>
      <c r="CH95" s="138">
        <f t="shared" si="105"/>
        <v>0</v>
      </c>
      <c r="CI95" s="238">
        <f t="shared" si="106"/>
        <v>0</v>
      </c>
      <c r="CJ95" s="138">
        <f t="shared" si="107"/>
        <v>0</v>
      </c>
      <c r="CK95" s="138">
        <f t="shared" si="108"/>
        <v>1.5748031496062995E-2</v>
      </c>
      <c r="CL95" s="138">
        <f t="shared" si="109"/>
        <v>0</v>
      </c>
      <c r="CM95" s="238">
        <f t="shared" si="110"/>
        <v>0</v>
      </c>
      <c r="CN95" s="17">
        <f t="shared" si="111"/>
        <v>0.25</v>
      </c>
      <c r="CO95" s="17">
        <f t="shared" si="112"/>
        <v>2.3622047244094495E-2</v>
      </c>
      <c r="CP95" s="17">
        <f t="shared" si="113"/>
        <v>1.5748031496062995E-2</v>
      </c>
      <c r="CQ95" s="17">
        <f>$U95-IF('Inputs-Imperial'!$E$13,0,2)*($CO95+$CN95+$CP95)</f>
        <v>3.8622048480000002</v>
      </c>
      <c r="CR95" s="116">
        <f t="shared" si="114"/>
        <v>6162.1244988231847</v>
      </c>
      <c r="CS95" s="8">
        <f t="shared" si="10"/>
        <v>0.15932353500866628</v>
      </c>
      <c r="CT95" s="8">
        <f t="shared" si="115"/>
        <v>0.39915352310691971</v>
      </c>
      <c r="CU95" s="8">
        <f t="shared" si="272"/>
        <v>0.15932353500866628</v>
      </c>
      <c r="CV95" s="8">
        <f t="shared" si="116"/>
        <v>0.39915352310691971</v>
      </c>
      <c r="CW95" s="216">
        <f t="shared" si="117"/>
        <v>3.4630513248930805</v>
      </c>
      <c r="CX95" s="116">
        <f t="shared" si="118"/>
        <v>6872.3749319739773</v>
      </c>
      <c r="CY95" s="8">
        <f t="shared" si="119"/>
        <v>0.17768726812905869</v>
      </c>
      <c r="CZ95" s="8">
        <f t="shared" si="120"/>
        <v>0.42152967645120631</v>
      </c>
      <c r="DA95" s="8">
        <f t="shared" si="121"/>
        <v>0.17768726812905869</v>
      </c>
      <c r="DB95" s="8">
        <f t="shared" si="122"/>
        <v>0.42152967645120631</v>
      </c>
      <c r="DC95" s="216">
        <f t="shared" si="123"/>
        <v>3.4406751715487935</v>
      </c>
      <c r="DD95" s="116">
        <f t="shared" si="124"/>
        <v>6917.0688678005499</v>
      </c>
      <c r="DE95" s="8">
        <f t="shared" si="125"/>
        <v>0.17884284293945077</v>
      </c>
      <c r="DF95" s="8">
        <f t="shared" si="126"/>
        <v>0.42289814724050373</v>
      </c>
      <c r="DG95" s="8">
        <f t="shared" si="127"/>
        <v>0.17884284293945077</v>
      </c>
      <c r="DH95" s="8">
        <f t="shared" si="128"/>
        <v>0.42289814724050373</v>
      </c>
      <c r="DI95" s="216">
        <f t="shared" si="129"/>
        <v>3.4393067007594968</v>
      </c>
      <c r="DJ95" s="116">
        <f t="shared" si="130"/>
        <v>6919.8211104810434</v>
      </c>
      <c r="DK95" s="8">
        <f t="shared" si="131"/>
        <v>0.17891400298062515</v>
      </c>
      <c r="DL95" s="8">
        <f t="shared" si="132"/>
        <v>0.42298227265527943</v>
      </c>
      <c r="DM95" s="8">
        <f t="shared" si="133"/>
        <v>0.17891400298062515</v>
      </c>
      <c r="DN95" s="8">
        <f t="shared" si="134"/>
        <v>0.42298227265527943</v>
      </c>
      <c r="DO95" s="216">
        <f t="shared" si="135"/>
        <v>3.4392225753447212</v>
      </c>
      <c r="DP95" s="116">
        <f t="shared" si="136"/>
        <v>6919.9903733910005</v>
      </c>
      <c r="DQ95" s="170">
        <f t="shared" si="137"/>
        <v>0.1789183793227723</v>
      </c>
      <c r="DR95" s="8">
        <f t="shared" si="138"/>
        <v>0.42298744582170794</v>
      </c>
      <c r="DS95" s="8">
        <f t="shared" si="139"/>
        <v>0.1789183793227723</v>
      </c>
      <c r="DT95" s="134">
        <f t="shared" si="140"/>
        <v>0.42298744582170794</v>
      </c>
      <c r="DU95" s="170">
        <f t="shared" si="258"/>
        <v>0.20712205586855234</v>
      </c>
      <c r="DV95" s="170">
        <f t="shared" si="258"/>
        <v>0.45510664230326536</v>
      </c>
      <c r="DW95" s="170">
        <f t="shared" si="258"/>
        <v>0.20712205586855234</v>
      </c>
      <c r="DX95" s="272">
        <f t="shared" si="258"/>
        <v>0.45510664230326536</v>
      </c>
      <c r="DY95" s="272">
        <f t="shared" si="142"/>
        <v>2.9519915633934692</v>
      </c>
      <c r="DZ95" s="22">
        <f t="shared" si="273"/>
        <v>179.69990195802976</v>
      </c>
      <c r="EA95" s="216">
        <f t="shared" si="274"/>
        <v>1.1773189335813849E-2</v>
      </c>
      <c r="EB95" s="12">
        <f t="shared" si="143"/>
        <v>2</v>
      </c>
      <c r="EC95" s="7">
        <f>ROUND(MAX(DV95,DX95)/'Inputs-Imperial'!$E$21,0)</f>
        <v>4</v>
      </c>
      <c r="ED95" s="12">
        <f t="shared" si="144"/>
        <v>4</v>
      </c>
      <c r="EE95" s="2">
        <f t="shared" si="145"/>
        <v>2</v>
      </c>
      <c r="EF95" s="127">
        <f t="shared" si="146"/>
        <v>2</v>
      </c>
      <c r="EG95" s="2">
        <f t="shared" si="147"/>
        <v>1.5748031496062995E-2</v>
      </c>
      <c r="EH95" s="8">
        <f t="shared" si="275"/>
        <v>0.12389849691669062</v>
      </c>
      <c r="EI95" s="138">
        <f t="shared" si="148"/>
        <v>0.25</v>
      </c>
      <c r="EJ95" s="12">
        <f t="shared" si="276"/>
        <v>10269.849396901398</v>
      </c>
      <c r="EK95" s="138">
        <f t="shared" si="149"/>
        <v>0.25</v>
      </c>
      <c r="EL95" s="116">
        <f t="shared" si="150"/>
        <v>2175570</v>
      </c>
      <c r="EM95" s="2">
        <f t="shared" si="277"/>
        <v>1.5748031496062995E-2</v>
      </c>
      <c r="EN95" s="8">
        <f t="shared" si="151"/>
        <v>3.8622048480000002</v>
      </c>
      <c r="EO95" s="116">
        <f t="shared" si="152"/>
        <v>2610.6840000000002</v>
      </c>
      <c r="EP95" s="217">
        <f t="shared" si="153"/>
        <v>1.085385905703272</v>
      </c>
      <c r="EQ95" s="207">
        <f t="shared" si="154"/>
        <v>2</v>
      </c>
      <c r="ER95" s="144">
        <f t="shared" si="155"/>
        <v>44983.393933290019</v>
      </c>
      <c r="ES95" s="138">
        <f t="shared" si="278"/>
        <v>0.25</v>
      </c>
      <c r="ET95" s="116">
        <f t="shared" si="156"/>
        <v>2175570</v>
      </c>
      <c r="EU95" s="2">
        <f t="shared" si="279"/>
        <v>1.5748031496062995E-2</v>
      </c>
      <c r="EV95" s="8">
        <f t="shared" si="157"/>
        <v>3.8622048480000002</v>
      </c>
      <c r="EW95" s="116">
        <f t="shared" si="158"/>
        <v>2610.6840000000002</v>
      </c>
      <c r="EX95" s="217">
        <f t="shared" si="159"/>
        <v>1.085385905703272</v>
      </c>
      <c r="EY95" s="207">
        <f t="shared" si="160"/>
        <v>2</v>
      </c>
      <c r="EZ95" s="144">
        <f t="shared" si="161"/>
        <v>44983.393933290019</v>
      </c>
      <c r="FA95" s="138">
        <f t="shared" si="280"/>
        <v>0.25</v>
      </c>
      <c r="FB95" s="116">
        <f t="shared" si="162"/>
        <v>2175570</v>
      </c>
      <c r="FC95" s="2">
        <f t="shared" si="281"/>
        <v>1.5748031496062995E-2</v>
      </c>
      <c r="FD95" s="8">
        <f t="shared" si="163"/>
        <v>3.8622048480000002</v>
      </c>
      <c r="FE95" s="116">
        <f t="shared" si="164"/>
        <v>2610.6840000000002</v>
      </c>
      <c r="FF95" s="217">
        <f t="shared" si="165"/>
        <v>1.085385905703272</v>
      </c>
      <c r="FG95" s="207">
        <f t="shared" si="166"/>
        <v>2</v>
      </c>
      <c r="FH95" s="144">
        <f t="shared" si="167"/>
        <v>44983.393933290019</v>
      </c>
      <c r="FI95" s="128">
        <f t="shared" si="168"/>
        <v>0.25</v>
      </c>
      <c r="FJ95" s="2">
        <f t="shared" si="169"/>
        <v>1.5748031496062995E-2</v>
      </c>
      <c r="FK95" s="127">
        <f t="shared" si="170"/>
        <v>1.5748031496062995E-2</v>
      </c>
      <c r="FL95" s="216">
        <f t="shared" si="171"/>
        <v>0</v>
      </c>
      <c r="FM95" s="138">
        <f t="shared" si="172"/>
        <v>0.25</v>
      </c>
      <c r="FN95" s="138">
        <f t="shared" si="173"/>
        <v>0</v>
      </c>
      <c r="FO95" s="238">
        <f t="shared" si="174"/>
        <v>0</v>
      </c>
      <c r="FP95" s="216">
        <f t="shared" si="282"/>
        <v>0</v>
      </c>
      <c r="FQ95" s="138">
        <f t="shared" si="283"/>
        <v>0.25</v>
      </c>
      <c r="FR95" s="138">
        <f t="shared" si="284"/>
        <v>0</v>
      </c>
      <c r="FS95" s="238">
        <f t="shared" si="285"/>
        <v>0</v>
      </c>
      <c r="FT95" s="216">
        <f t="shared" si="175"/>
        <v>0</v>
      </c>
      <c r="FU95" s="138">
        <f t="shared" si="176"/>
        <v>1.5748031496062995E-2</v>
      </c>
      <c r="FV95" s="138">
        <f t="shared" si="177"/>
        <v>0</v>
      </c>
      <c r="FW95" s="238">
        <f t="shared" si="178"/>
        <v>0</v>
      </c>
      <c r="FX95" s="216">
        <f t="shared" si="286"/>
        <v>0</v>
      </c>
      <c r="FY95" s="138">
        <f t="shared" si="287"/>
        <v>1.5748031496062995E-2</v>
      </c>
      <c r="FZ95" s="138">
        <f t="shared" si="288"/>
        <v>0</v>
      </c>
      <c r="GA95" s="238">
        <f t="shared" si="289"/>
        <v>0</v>
      </c>
      <c r="GB95" s="216">
        <f t="shared" si="179"/>
        <v>0</v>
      </c>
      <c r="GC95" s="138">
        <f t="shared" si="180"/>
        <v>1.5748031496062995E-2</v>
      </c>
      <c r="GD95" s="138">
        <f t="shared" si="181"/>
        <v>0</v>
      </c>
      <c r="GE95" s="238">
        <f t="shared" si="182"/>
        <v>0</v>
      </c>
      <c r="GF95" s="216">
        <f t="shared" si="290"/>
        <v>0</v>
      </c>
      <c r="GG95" s="138">
        <f t="shared" si="291"/>
        <v>1.5748031496062995E-2</v>
      </c>
      <c r="GH95" s="138">
        <f t="shared" si="292"/>
        <v>0</v>
      </c>
      <c r="GI95" s="238">
        <f t="shared" si="293"/>
        <v>0</v>
      </c>
      <c r="GJ95" s="216">
        <f t="shared" si="183"/>
        <v>0.25</v>
      </c>
      <c r="GK95" s="216">
        <f t="shared" si="184"/>
        <v>1.5748031496062995E-2</v>
      </c>
      <c r="GL95" s="17">
        <f t="shared" si="185"/>
        <v>1.5748031496062995E-2</v>
      </c>
      <c r="GM95" s="216">
        <f t="shared" si="294"/>
        <v>6.1647081638827915E-3</v>
      </c>
      <c r="GN95" s="2">
        <f t="shared" si="187"/>
        <v>1</v>
      </c>
      <c r="GO95" s="2">
        <f t="shared" si="188"/>
        <v>2</v>
      </c>
      <c r="GP95" s="142">
        <f t="shared" si="189"/>
        <v>2</v>
      </c>
      <c r="GQ95" s="2">
        <f t="shared" si="190"/>
        <v>1.5748031496062995E-2</v>
      </c>
      <c r="GR95" s="8">
        <f t="shared" si="295"/>
        <v>6.4876054707764558E-2</v>
      </c>
      <c r="GS95" s="138">
        <f t="shared" si="191"/>
        <v>0.25</v>
      </c>
      <c r="GT95" s="12">
        <f t="shared" si="296"/>
        <v>5377.5253767757677</v>
      </c>
      <c r="GU95" s="138">
        <f t="shared" si="192"/>
        <v>0.25</v>
      </c>
      <c r="GV95" s="116">
        <f t="shared" si="193"/>
        <v>2175570</v>
      </c>
      <c r="GW95" s="2">
        <f t="shared" si="297"/>
        <v>1.5748031496062995E-2</v>
      </c>
      <c r="GX95" s="8">
        <f t="shared" si="298"/>
        <v>1.9311024240000001</v>
      </c>
      <c r="GY95" s="116">
        <f t="shared" si="194"/>
        <v>2610.6840000000002</v>
      </c>
      <c r="GZ95" s="217">
        <f t="shared" si="195"/>
        <v>4.3415436228130879</v>
      </c>
      <c r="HA95" s="207">
        <f t="shared" si="196"/>
        <v>2</v>
      </c>
      <c r="HB95" s="144">
        <f t="shared" si="197"/>
        <v>179933.57573316008</v>
      </c>
      <c r="HC95" s="138">
        <f t="shared" si="299"/>
        <v>0.25</v>
      </c>
      <c r="HD95" s="116">
        <f t="shared" si="198"/>
        <v>2175570</v>
      </c>
      <c r="HE95" s="2">
        <f t="shared" si="300"/>
        <v>1.5748031496062995E-2</v>
      </c>
      <c r="HF95" s="8">
        <f t="shared" si="199"/>
        <v>1.9311024240000001</v>
      </c>
      <c r="HG95" s="116">
        <f t="shared" si="200"/>
        <v>2610.6840000000002</v>
      </c>
      <c r="HH95" s="217">
        <f t="shared" si="201"/>
        <v>4.3415436228130879</v>
      </c>
      <c r="HI95" s="207">
        <f t="shared" si="202"/>
        <v>2</v>
      </c>
      <c r="HJ95" s="144">
        <f t="shared" si="203"/>
        <v>179933.57573316008</v>
      </c>
      <c r="HK95" s="138">
        <f t="shared" si="301"/>
        <v>0.25</v>
      </c>
      <c r="HL95" s="116">
        <f t="shared" si="204"/>
        <v>2175570</v>
      </c>
      <c r="HM95" s="2">
        <f t="shared" si="302"/>
        <v>1.5748031496062995E-2</v>
      </c>
      <c r="HN95" s="8">
        <f t="shared" si="205"/>
        <v>1.9311024240000001</v>
      </c>
      <c r="HO95" s="116">
        <f t="shared" si="206"/>
        <v>2610.6840000000002</v>
      </c>
      <c r="HP95" s="217">
        <f t="shared" si="207"/>
        <v>4.3415436228130879</v>
      </c>
      <c r="HQ95" s="207">
        <f t="shared" si="208"/>
        <v>2</v>
      </c>
      <c r="HR95" s="144">
        <f t="shared" si="209"/>
        <v>179933.57573316008</v>
      </c>
      <c r="HS95" s="128">
        <f t="shared" si="210"/>
        <v>0.25</v>
      </c>
      <c r="HT95" s="2">
        <f t="shared" si="211"/>
        <v>1.5748031496062995E-2</v>
      </c>
      <c r="HU95" s="127">
        <f t="shared" si="212"/>
        <v>1.5748031496062995E-2</v>
      </c>
      <c r="HV95" s="216">
        <f t="shared" si="213"/>
        <v>0</v>
      </c>
      <c r="HW95" s="138">
        <f t="shared" si="214"/>
        <v>0.25</v>
      </c>
      <c r="HX95" s="138">
        <f t="shared" si="215"/>
        <v>0</v>
      </c>
      <c r="HY95" s="238">
        <f t="shared" si="216"/>
        <v>0</v>
      </c>
      <c r="HZ95" s="138">
        <f t="shared" si="217"/>
        <v>0</v>
      </c>
      <c r="IA95" s="138">
        <f t="shared" si="218"/>
        <v>0.25</v>
      </c>
      <c r="IB95" s="138">
        <f t="shared" si="219"/>
        <v>0</v>
      </c>
      <c r="IC95" s="138">
        <f t="shared" si="220"/>
        <v>0</v>
      </c>
      <c r="ID95" s="216">
        <f t="shared" si="221"/>
        <v>0</v>
      </c>
      <c r="IE95" s="138">
        <f t="shared" si="222"/>
        <v>1.5748031496062995E-2</v>
      </c>
      <c r="IF95" s="138">
        <f t="shared" si="223"/>
        <v>0</v>
      </c>
      <c r="IG95" s="238">
        <f t="shared" si="224"/>
        <v>0</v>
      </c>
      <c r="IH95" s="138">
        <f t="shared" si="225"/>
        <v>0</v>
      </c>
      <c r="II95" s="138">
        <f t="shared" si="226"/>
        <v>1.5748031496062995E-2</v>
      </c>
      <c r="IJ95" s="138">
        <f t="shared" si="227"/>
        <v>0</v>
      </c>
      <c r="IK95" s="138">
        <f t="shared" si="228"/>
        <v>0</v>
      </c>
      <c r="IL95" s="216">
        <f t="shared" si="229"/>
        <v>0</v>
      </c>
      <c r="IM95" s="138">
        <f t="shared" si="230"/>
        <v>1.5748031496062995E-2</v>
      </c>
      <c r="IN95" s="138">
        <f t="shared" si="231"/>
        <v>0</v>
      </c>
      <c r="IO95" s="238">
        <f t="shared" si="232"/>
        <v>0</v>
      </c>
      <c r="IP95" s="138">
        <f t="shared" si="233"/>
        <v>0</v>
      </c>
      <c r="IQ95" s="138">
        <f t="shared" si="234"/>
        <v>1.5748031496062995E-2</v>
      </c>
      <c r="IR95" s="138">
        <f t="shared" si="235"/>
        <v>0</v>
      </c>
      <c r="IS95" s="138">
        <f t="shared" si="236"/>
        <v>0</v>
      </c>
      <c r="IT95" s="17">
        <f t="shared" si="237"/>
        <v>0.25</v>
      </c>
      <c r="IU95" s="17">
        <f t="shared" si="238"/>
        <v>1.5748031496062995E-2</v>
      </c>
      <c r="IV95" s="17">
        <f t="shared" si="239"/>
        <v>1.5748031496062995E-2</v>
      </c>
      <c r="IW95" s="253">
        <f t="shared" si="240"/>
        <v>10.728346800000002</v>
      </c>
      <c r="IX95" s="116">
        <f t="shared" si="303"/>
        <v>221.83648195763467</v>
      </c>
      <c r="IY95" s="8">
        <f t="shared" si="242"/>
        <v>5.7356472603119872E-3</v>
      </c>
      <c r="IZ95" s="8">
        <f t="shared" si="243"/>
        <v>5.7356472603119872E-3</v>
      </c>
      <c r="JA95" s="8">
        <f t="shared" si="244"/>
        <v>2.8678236301559936E-3</v>
      </c>
      <c r="JB95" s="134">
        <f t="shared" si="245"/>
        <v>5.3552064667536335E-2</v>
      </c>
      <c r="JC95" s="170">
        <f t="shared" si="259"/>
        <v>3.3006550714747922E-3</v>
      </c>
      <c r="JD95" s="272">
        <f t="shared" si="260"/>
        <v>5.7451327847794713E-2</v>
      </c>
      <c r="JE95" s="8"/>
      <c r="JF95" s="8"/>
    </row>
    <row r="96" spans="1:266" x14ac:dyDescent="0.25">
      <c r="A96" s="186">
        <v>36</v>
      </c>
      <c r="B96" s="187">
        <f>A96/100*'Inputs-Imperial'!$E$5</f>
        <v>3.5433072000000001</v>
      </c>
      <c r="C96" s="188">
        <f>'Inputs-Imperial'!$E$10+('Inputs-Imperial'!$E$9-'Inputs-Imperial'!$E$10)*(100-A96)/100</f>
        <v>1.77821528</v>
      </c>
      <c r="D96" s="187">
        <f t="shared" si="248"/>
        <v>9.8425200000000324E-2</v>
      </c>
      <c r="E96" s="188">
        <f t="shared" si="249"/>
        <v>0.1755055705768086</v>
      </c>
      <c r="F96" s="423">
        <f>Loads!P56</f>
        <v>68.023435345120873</v>
      </c>
      <c r="G96" s="423">
        <f>Loads!M56</f>
        <v>680.23435345120834</v>
      </c>
      <c r="H96" s="423">
        <f>Loads!N56</f>
        <v>1914.9714469704609</v>
      </c>
      <c r="I96" s="423">
        <f>Loads!V56</f>
        <v>-560.00330511864775</v>
      </c>
      <c r="J96" s="423">
        <f>Loads!Q56</f>
        <v>191.49714469704617</v>
      </c>
      <c r="K96" s="2">
        <v>36</v>
      </c>
      <c r="L96" s="12">
        <f t="shared" si="41"/>
        <v>42.519686399999998</v>
      </c>
      <c r="M96" s="11">
        <f t="shared" si="42"/>
        <v>21.338583360000001</v>
      </c>
      <c r="N96" s="11">
        <f t="shared" si="43"/>
        <v>1.1811024000000039</v>
      </c>
      <c r="O96" s="152">
        <f t="shared" si="44"/>
        <v>25.27280216306044</v>
      </c>
      <c r="P96" s="151">
        <f t="shared" si="45"/>
        <v>68.023435345120873</v>
      </c>
      <c r="Q96" s="12">
        <f t="shared" si="46"/>
        <v>680.23435345120834</v>
      </c>
      <c r="R96" s="12">
        <f t="shared" si="47"/>
        <v>22979.657363645529</v>
      </c>
      <c r="S96" s="12">
        <f t="shared" si="48"/>
        <v>-6720.0396614237725</v>
      </c>
      <c r="T96" s="152">
        <f t="shared" si="49"/>
        <v>2297.9657363645538</v>
      </c>
      <c r="U96" s="8">
        <f t="shared" si="261"/>
        <v>3.8409450048</v>
      </c>
      <c r="V96" s="8">
        <f t="shared" si="262"/>
        <v>3.8409450048</v>
      </c>
      <c r="W96" s="134">
        <f t="shared" si="263"/>
        <v>1.9204725024</v>
      </c>
      <c r="X96" s="311">
        <f t="shared" si="264"/>
        <v>5.3346458400000003</v>
      </c>
      <c r="Y96" s="11">
        <f t="shared" si="265"/>
        <v>16.003937520000001</v>
      </c>
      <c r="Z96" s="11">
        <f t="shared" si="266"/>
        <v>10.669291680000001</v>
      </c>
      <c r="AA96" s="316">
        <f t="shared" si="50"/>
        <v>16.003937520000001</v>
      </c>
      <c r="AB96" s="170">
        <f t="shared" si="51"/>
        <v>2.8807087536</v>
      </c>
      <c r="AC96" s="11">
        <f t="shared" si="52"/>
        <v>16.003937520000001</v>
      </c>
      <c r="AD96" s="152">
        <f t="shared" si="53"/>
        <v>36.208962482013511</v>
      </c>
      <c r="AE96" s="151">
        <f t="shared" si="267"/>
        <v>4.250418702279517</v>
      </c>
      <c r="AF96" s="12">
        <f t="shared" si="268"/>
        <v>92.795252898531601</v>
      </c>
      <c r="AG96" s="216">
        <f t="shared" si="269"/>
        <v>6.3580283212642513E-3</v>
      </c>
      <c r="AH96" s="2">
        <f t="shared" si="55"/>
        <v>1</v>
      </c>
      <c r="AI96" s="2">
        <f t="shared" si="56"/>
        <v>3</v>
      </c>
      <c r="AJ96" s="127">
        <f t="shared" si="57"/>
        <v>2</v>
      </c>
      <c r="AK96" s="2">
        <f t="shared" si="58"/>
        <v>1.5748031496062995E-2</v>
      </c>
      <c r="AL96" s="8">
        <f t="shared" si="270"/>
        <v>6.6910514210628325E-2</v>
      </c>
      <c r="AM96" s="138">
        <f t="shared" si="59"/>
        <v>0.25</v>
      </c>
      <c r="AN96" s="12">
        <f t="shared" si="271"/>
        <v>5546.1601319863539</v>
      </c>
      <c r="AO96" s="138">
        <f t="shared" si="60"/>
        <v>0.25</v>
      </c>
      <c r="AP96" s="116">
        <f t="shared" si="61"/>
        <v>2175570</v>
      </c>
      <c r="AQ96" s="2">
        <f t="shared" si="62"/>
        <v>1.5748031496062995E-2</v>
      </c>
      <c r="AR96" s="8">
        <f t="shared" si="63"/>
        <v>10.669291680000001</v>
      </c>
      <c r="AS96" s="116">
        <f t="shared" si="64"/>
        <v>2610.6840000000002</v>
      </c>
      <c r="AT96" s="217">
        <f t="shared" si="65"/>
        <v>0.14222751128096112</v>
      </c>
      <c r="AU96" s="207">
        <f t="shared" si="66"/>
        <v>3.5047050343211312</v>
      </c>
      <c r="AV96" s="144">
        <f t="shared" si="67"/>
        <v>10329.353227037167</v>
      </c>
      <c r="AW96" s="138">
        <f t="shared" si="68"/>
        <v>0.25</v>
      </c>
      <c r="AX96" s="116">
        <f t="shared" si="69"/>
        <v>2175570</v>
      </c>
      <c r="AY96" s="2">
        <f t="shared" si="70"/>
        <v>1.5748031496062995E-2</v>
      </c>
      <c r="AZ96" s="8">
        <f t="shared" si="71"/>
        <v>10.669291680000001</v>
      </c>
      <c r="BA96" s="116">
        <f t="shared" si="72"/>
        <v>2610.6840000000002</v>
      </c>
      <c r="BB96" s="217">
        <f t="shared" si="73"/>
        <v>0.14222751128096112</v>
      </c>
      <c r="BC96" s="207">
        <f t="shared" si="74"/>
        <v>3.5047050343211312</v>
      </c>
      <c r="BD96" s="144">
        <f t="shared" si="75"/>
        <v>10329.353227037167</v>
      </c>
      <c r="BE96" s="138">
        <f t="shared" si="76"/>
        <v>0.25</v>
      </c>
      <c r="BF96" s="116">
        <f t="shared" si="77"/>
        <v>2175570</v>
      </c>
      <c r="BG96" s="2">
        <f t="shared" si="78"/>
        <v>1.5748031496062995E-2</v>
      </c>
      <c r="BH96" s="8">
        <f t="shared" si="79"/>
        <v>10.669291680000001</v>
      </c>
      <c r="BI96" s="116">
        <f t="shared" si="80"/>
        <v>2610.6840000000002</v>
      </c>
      <c r="BJ96" s="217">
        <f t="shared" si="81"/>
        <v>0.14222751128096112</v>
      </c>
      <c r="BK96" s="207">
        <f t="shared" si="82"/>
        <v>3.5047050343211312</v>
      </c>
      <c r="BL96" s="144">
        <f t="shared" si="83"/>
        <v>10329.353227037167</v>
      </c>
      <c r="BM96" s="216">
        <f t="shared" si="84"/>
        <v>0.25</v>
      </c>
      <c r="BN96" s="216">
        <f t="shared" si="85"/>
        <v>2.3622047244094495E-2</v>
      </c>
      <c r="BO96" s="238">
        <f t="shared" si="86"/>
        <v>1.5748031496062995E-2</v>
      </c>
      <c r="BP96" s="216">
        <f t="shared" si="87"/>
        <v>0</v>
      </c>
      <c r="BQ96" s="138">
        <f t="shared" si="88"/>
        <v>0.25</v>
      </c>
      <c r="BR96" s="138">
        <f t="shared" si="89"/>
        <v>0</v>
      </c>
      <c r="BS96" s="238">
        <f t="shared" si="90"/>
        <v>0</v>
      </c>
      <c r="BT96" s="138">
        <f t="shared" si="91"/>
        <v>0</v>
      </c>
      <c r="BU96" s="138">
        <f t="shared" si="92"/>
        <v>0.25</v>
      </c>
      <c r="BV96" s="138">
        <f t="shared" si="93"/>
        <v>0</v>
      </c>
      <c r="BW96" s="238">
        <f t="shared" si="94"/>
        <v>0</v>
      </c>
      <c r="BX96" s="216">
        <f t="shared" si="95"/>
        <v>0</v>
      </c>
      <c r="BY96" s="138">
        <f t="shared" si="96"/>
        <v>2.3622047244094495E-2</v>
      </c>
      <c r="BZ96" s="138">
        <f t="shared" si="97"/>
        <v>0</v>
      </c>
      <c r="CA96" s="238">
        <f t="shared" si="98"/>
        <v>0</v>
      </c>
      <c r="CB96" s="138">
        <f t="shared" si="99"/>
        <v>0</v>
      </c>
      <c r="CC96" s="138">
        <f t="shared" si="100"/>
        <v>2.3622047244094495E-2</v>
      </c>
      <c r="CD96" s="138">
        <f t="shared" si="101"/>
        <v>0</v>
      </c>
      <c r="CE96" s="238">
        <f t="shared" si="102"/>
        <v>0</v>
      </c>
      <c r="CF96" s="216">
        <f t="shared" si="103"/>
        <v>0</v>
      </c>
      <c r="CG96" s="138">
        <f t="shared" si="104"/>
        <v>1.5748031496062995E-2</v>
      </c>
      <c r="CH96" s="138">
        <f t="shared" si="105"/>
        <v>0</v>
      </c>
      <c r="CI96" s="238">
        <f t="shared" si="106"/>
        <v>0</v>
      </c>
      <c r="CJ96" s="138">
        <f t="shared" si="107"/>
        <v>0</v>
      </c>
      <c r="CK96" s="138">
        <f t="shared" si="108"/>
        <v>1.5748031496062995E-2</v>
      </c>
      <c r="CL96" s="138">
        <f t="shared" si="109"/>
        <v>0</v>
      </c>
      <c r="CM96" s="238">
        <f t="shared" si="110"/>
        <v>0</v>
      </c>
      <c r="CN96" s="17">
        <f t="shared" si="111"/>
        <v>0.25</v>
      </c>
      <c r="CO96" s="17">
        <f t="shared" si="112"/>
        <v>2.3622047244094495E-2</v>
      </c>
      <c r="CP96" s="17">
        <f t="shared" si="113"/>
        <v>1.5748031496062995E-2</v>
      </c>
      <c r="CQ96" s="17">
        <f>$U96-IF('Inputs-Imperial'!$E$13,0,2)*($CO96+$CN96+$CP96)</f>
        <v>3.8409450048</v>
      </c>
      <c r="CR96" s="116">
        <f t="shared" si="114"/>
        <v>5982.8134313113114</v>
      </c>
      <c r="CS96" s="8">
        <f t="shared" si="10"/>
        <v>0.15468739480286142</v>
      </c>
      <c r="CT96" s="8">
        <f t="shared" si="115"/>
        <v>0.39330318432840261</v>
      </c>
      <c r="CU96" s="8">
        <f t="shared" si="272"/>
        <v>0.15468739480286142</v>
      </c>
      <c r="CV96" s="8">
        <f t="shared" si="116"/>
        <v>0.39330318432840261</v>
      </c>
      <c r="CW96" s="216">
        <f t="shared" si="117"/>
        <v>3.4476418204715973</v>
      </c>
      <c r="CX96" s="116">
        <f t="shared" si="118"/>
        <v>6665.326202738247</v>
      </c>
      <c r="CY96" s="8">
        <f t="shared" si="119"/>
        <v>0.17233396254959682</v>
      </c>
      <c r="CZ96" s="8">
        <f t="shared" si="120"/>
        <v>0.41513125942236251</v>
      </c>
      <c r="DA96" s="8">
        <f t="shared" si="121"/>
        <v>0.17233396254959682</v>
      </c>
      <c r="DB96" s="8">
        <f t="shared" si="122"/>
        <v>0.41513125942236251</v>
      </c>
      <c r="DC96" s="216">
        <f t="shared" si="123"/>
        <v>3.4258137453776376</v>
      </c>
      <c r="DD96" s="116">
        <f t="shared" si="124"/>
        <v>6707.7953069256582</v>
      </c>
      <c r="DE96" s="8">
        <f t="shared" si="125"/>
        <v>0.17343201368587002</v>
      </c>
      <c r="DF96" s="8">
        <f t="shared" si="126"/>
        <v>0.41645169430063556</v>
      </c>
      <c r="DG96" s="8">
        <f t="shared" si="127"/>
        <v>0.17343201368587002</v>
      </c>
      <c r="DH96" s="8">
        <f t="shared" si="128"/>
        <v>0.41645169430063556</v>
      </c>
      <c r="DI96" s="216">
        <f t="shared" si="129"/>
        <v>3.4244933104993649</v>
      </c>
      <c r="DJ96" s="116">
        <f t="shared" si="130"/>
        <v>6710.3817353623617</v>
      </c>
      <c r="DK96" s="8">
        <f t="shared" si="131"/>
        <v>0.17349888655117179</v>
      </c>
      <c r="DL96" s="8">
        <f t="shared" si="132"/>
        <v>0.41653197542466269</v>
      </c>
      <c r="DM96" s="8">
        <f t="shared" si="133"/>
        <v>0.17349888655117179</v>
      </c>
      <c r="DN96" s="8">
        <f t="shared" si="134"/>
        <v>0.41653197542466269</v>
      </c>
      <c r="DO96" s="216">
        <f t="shared" si="135"/>
        <v>3.4244130293753372</v>
      </c>
      <c r="DP96" s="116">
        <f t="shared" si="136"/>
        <v>6710.5390519546509</v>
      </c>
      <c r="DQ96" s="170">
        <f t="shared" si="137"/>
        <v>0.17350295401777424</v>
      </c>
      <c r="DR96" s="8">
        <f t="shared" si="138"/>
        <v>0.41653685793429401</v>
      </c>
      <c r="DS96" s="8">
        <f t="shared" si="139"/>
        <v>0.17350295401777424</v>
      </c>
      <c r="DT96" s="134">
        <f t="shared" si="140"/>
        <v>0.41653685793429401</v>
      </c>
      <c r="DU96" s="170">
        <f t="shared" si="258"/>
        <v>0.20712205586855234</v>
      </c>
      <c r="DV96" s="170">
        <f t="shared" si="258"/>
        <v>0.45510664230326536</v>
      </c>
      <c r="DW96" s="170">
        <f t="shared" si="258"/>
        <v>0.20712205586855234</v>
      </c>
      <c r="DX96" s="272">
        <f t="shared" si="258"/>
        <v>0.45510664230326536</v>
      </c>
      <c r="DY96" s="272">
        <f t="shared" si="142"/>
        <v>2.9307317201934691</v>
      </c>
      <c r="DZ96" s="22">
        <f t="shared" si="273"/>
        <v>177.10077926164644</v>
      </c>
      <c r="EA96" s="216">
        <f t="shared" si="274"/>
        <v>1.1602905639061033E-2</v>
      </c>
      <c r="EB96" s="12">
        <f t="shared" si="143"/>
        <v>2</v>
      </c>
      <c r="EC96" s="7">
        <f>ROUND(MAX(DV96,DX96)/'Inputs-Imperial'!$E$21,0)</f>
        <v>4</v>
      </c>
      <c r="ED96" s="12">
        <f t="shared" si="144"/>
        <v>4</v>
      </c>
      <c r="EE96" s="2">
        <f t="shared" si="145"/>
        <v>2</v>
      </c>
      <c r="EF96" s="127">
        <f t="shared" si="146"/>
        <v>2</v>
      </c>
      <c r="EG96" s="2">
        <f t="shared" si="147"/>
        <v>1.5748031496062995E-2</v>
      </c>
      <c r="EH96" s="8">
        <f t="shared" si="275"/>
        <v>0.12210646814051933</v>
      </c>
      <c r="EI96" s="138">
        <f t="shared" si="148"/>
        <v>0.25</v>
      </c>
      <c r="EJ96" s="12">
        <f t="shared" si="276"/>
        <v>10121.309534803091</v>
      </c>
      <c r="EK96" s="138">
        <f t="shared" si="149"/>
        <v>0.25</v>
      </c>
      <c r="EL96" s="116">
        <f t="shared" si="150"/>
        <v>2175570</v>
      </c>
      <c r="EM96" s="2">
        <f t="shared" si="277"/>
        <v>1.5748031496062995E-2</v>
      </c>
      <c r="EN96" s="8">
        <f t="shared" si="151"/>
        <v>3.8409450048</v>
      </c>
      <c r="EO96" s="116">
        <f t="shared" si="152"/>
        <v>2610.6840000000002</v>
      </c>
      <c r="EP96" s="217">
        <f t="shared" si="153"/>
        <v>1.0974345006247002</v>
      </c>
      <c r="EQ96" s="207">
        <f t="shared" si="154"/>
        <v>2</v>
      </c>
      <c r="ER96" s="144">
        <f t="shared" si="155"/>
        <v>45482.743232783694</v>
      </c>
      <c r="ES96" s="138">
        <f t="shared" si="278"/>
        <v>0.25</v>
      </c>
      <c r="ET96" s="116">
        <f t="shared" si="156"/>
        <v>2175570</v>
      </c>
      <c r="EU96" s="2">
        <f t="shared" si="279"/>
        <v>1.5748031496062995E-2</v>
      </c>
      <c r="EV96" s="8">
        <f t="shared" si="157"/>
        <v>3.8409450048</v>
      </c>
      <c r="EW96" s="116">
        <f t="shared" si="158"/>
        <v>2610.6840000000002</v>
      </c>
      <c r="EX96" s="217">
        <f t="shared" si="159"/>
        <v>1.0974345006247002</v>
      </c>
      <c r="EY96" s="207">
        <f t="shared" si="160"/>
        <v>2</v>
      </c>
      <c r="EZ96" s="144">
        <f t="shared" si="161"/>
        <v>45482.743232783694</v>
      </c>
      <c r="FA96" s="138">
        <f t="shared" si="280"/>
        <v>0.25</v>
      </c>
      <c r="FB96" s="116">
        <f t="shared" si="162"/>
        <v>2175570</v>
      </c>
      <c r="FC96" s="2">
        <f t="shared" si="281"/>
        <v>1.5748031496062995E-2</v>
      </c>
      <c r="FD96" s="8">
        <f t="shared" si="163"/>
        <v>3.8409450048</v>
      </c>
      <c r="FE96" s="116">
        <f t="shared" si="164"/>
        <v>2610.6840000000002</v>
      </c>
      <c r="FF96" s="217">
        <f t="shared" si="165"/>
        <v>1.0974345006247002</v>
      </c>
      <c r="FG96" s="207">
        <f t="shared" si="166"/>
        <v>2</v>
      </c>
      <c r="FH96" s="144">
        <f t="shared" si="167"/>
        <v>45482.743232783694</v>
      </c>
      <c r="FI96" s="128">
        <f t="shared" si="168"/>
        <v>0.25</v>
      </c>
      <c r="FJ96" s="2">
        <f t="shared" si="169"/>
        <v>1.5748031496062995E-2</v>
      </c>
      <c r="FK96" s="127">
        <f t="shared" si="170"/>
        <v>1.5748031496062995E-2</v>
      </c>
      <c r="FL96" s="216">
        <f t="shared" si="171"/>
        <v>0</v>
      </c>
      <c r="FM96" s="138">
        <f t="shared" si="172"/>
        <v>0.25</v>
      </c>
      <c r="FN96" s="138">
        <f t="shared" si="173"/>
        <v>0</v>
      </c>
      <c r="FO96" s="238">
        <f t="shared" si="174"/>
        <v>0</v>
      </c>
      <c r="FP96" s="216">
        <f t="shared" si="282"/>
        <v>0</v>
      </c>
      <c r="FQ96" s="138">
        <f t="shared" si="283"/>
        <v>0.25</v>
      </c>
      <c r="FR96" s="138">
        <f t="shared" si="284"/>
        <v>0</v>
      </c>
      <c r="FS96" s="238">
        <f t="shared" si="285"/>
        <v>0</v>
      </c>
      <c r="FT96" s="216">
        <f t="shared" si="175"/>
        <v>0</v>
      </c>
      <c r="FU96" s="138">
        <f t="shared" si="176"/>
        <v>1.5748031496062995E-2</v>
      </c>
      <c r="FV96" s="138">
        <f t="shared" si="177"/>
        <v>0</v>
      </c>
      <c r="FW96" s="238">
        <f t="shared" si="178"/>
        <v>0</v>
      </c>
      <c r="FX96" s="216">
        <f t="shared" si="286"/>
        <v>0</v>
      </c>
      <c r="FY96" s="138">
        <f t="shared" si="287"/>
        <v>1.5748031496062995E-2</v>
      </c>
      <c r="FZ96" s="138">
        <f t="shared" si="288"/>
        <v>0</v>
      </c>
      <c r="GA96" s="238">
        <f t="shared" si="289"/>
        <v>0</v>
      </c>
      <c r="GB96" s="216">
        <f t="shared" si="179"/>
        <v>0</v>
      </c>
      <c r="GC96" s="138">
        <f t="shared" si="180"/>
        <v>1.5748031496062995E-2</v>
      </c>
      <c r="GD96" s="138">
        <f t="shared" si="181"/>
        <v>0</v>
      </c>
      <c r="GE96" s="238">
        <f t="shared" si="182"/>
        <v>0</v>
      </c>
      <c r="GF96" s="216">
        <f t="shared" si="290"/>
        <v>0</v>
      </c>
      <c r="GG96" s="138">
        <f t="shared" si="291"/>
        <v>1.5748031496062995E-2</v>
      </c>
      <c r="GH96" s="138">
        <f t="shared" si="292"/>
        <v>0</v>
      </c>
      <c r="GI96" s="238">
        <f t="shared" si="293"/>
        <v>0</v>
      </c>
      <c r="GJ96" s="216">
        <f t="shared" si="183"/>
        <v>0.25</v>
      </c>
      <c r="GK96" s="216">
        <f t="shared" si="184"/>
        <v>1.5748031496062995E-2</v>
      </c>
      <c r="GL96" s="17">
        <f t="shared" si="185"/>
        <v>1.5748031496062995E-2</v>
      </c>
      <c r="GM96" s="216">
        <f t="shared" si="294"/>
        <v>6.0795585859267859E-3</v>
      </c>
      <c r="GN96" s="2">
        <f t="shared" si="187"/>
        <v>1</v>
      </c>
      <c r="GO96" s="2">
        <f t="shared" si="188"/>
        <v>2</v>
      </c>
      <c r="GP96" s="142">
        <f t="shared" si="189"/>
        <v>2</v>
      </c>
      <c r="GQ96" s="2">
        <f t="shared" si="190"/>
        <v>1.5748031496062995E-2</v>
      </c>
      <c r="GR96" s="8">
        <f t="shared" si="295"/>
        <v>6.3979958975255866E-2</v>
      </c>
      <c r="GS96" s="138">
        <f t="shared" si="191"/>
        <v>0.25</v>
      </c>
      <c r="GT96" s="12">
        <f t="shared" si="296"/>
        <v>5303.24870315108</v>
      </c>
      <c r="GU96" s="138">
        <f t="shared" si="192"/>
        <v>0.25</v>
      </c>
      <c r="GV96" s="116">
        <f t="shared" si="193"/>
        <v>2175570</v>
      </c>
      <c r="GW96" s="2">
        <f t="shared" si="297"/>
        <v>1.5748031496062995E-2</v>
      </c>
      <c r="GX96" s="8">
        <f t="shared" si="298"/>
        <v>1.9204725024</v>
      </c>
      <c r="GY96" s="116">
        <f t="shared" si="194"/>
        <v>2610.6840000000002</v>
      </c>
      <c r="GZ96" s="217">
        <f t="shared" si="195"/>
        <v>4.3897380024988006</v>
      </c>
      <c r="HA96" s="207">
        <f t="shared" si="196"/>
        <v>2</v>
      </c>
      <c r="HB96" s="144">
        <f t="shared" si="197"/>
        <v>181930.97293113478</v>
      </c>
      <c r="HC96" s="138">
        <f t="shared" si="299"/>
        <v>0.25</v>
      </c>
      <c r="HD96" s="116">
        <f t="shared" si="198"/>
        <v>2175570</v>
      </c>
      <c r="HE96" s="2">
        <f t="shared" si="300"/>
        <v>1.5748031496062995E-2</v>
      </c>
      <c r="HF96" s="8">
        <f t="shared" si="199"/>
        <v>1.9204725024</v>
      </c>
      <c r="HG96" s="116">
        <f t="shared" si="200"/>
        <v>2610.6840000000002</v>
      </c>
      <c r="HH96" s="217">
        <f t="shared" si="201"/>
        <v>4.3897380024988006</v>
      </c>
      <c r="HI96" s="207">
        <f t="shared" si="202"/>
        <v>2</v>
      </c>
      <c r="HJ96" s="144">
        <f t="shared" si="203"/>
        <v>181930.97293113478</v>
      </c>
      <c r="HK96" s="138">
        <f t="shared" si="301"/>
        <v>0.25</v>
      </c>
      <c r="HL96" s="116">
        <f t="shared" si="204"/>
        <v>2175570</v>
      </c>
      <c r="HM96" s="2">
        <f t="shared" si="302"/>
        <v>1.5748031496062995E-2</v>
      </c>
      <c r="HN96" s="8">
        <f t="shared" si="205"/>
        <v>1.9204725024</v>
      </c>
      <c r="HO96" s="116">
        <f t="shared" si="206"/>
        <v>2610.6840000000002</v>
      </c>
      <c r="HP96" s="217">
        <f t="shared" si="207"/>
        <v>4.3897380024988006</v>
      </c>
      <c r="HQ96" s="207">
        <f t="shared" si="208"/>
        <v>2</v>
      </c>
      <c r="HR96" s="144">
        <f t="shared" si="209"/>
        <v>181930.97293113478</v>
      </c>
      <c r="HS96" s="128">
        <f t="shared" si="210"/>
        <v>0.25</v>
      </c>
      <c r="HT96" s="2">
        <f t="shared" si="211"/>
        <v>1.5748031496062995E-2</v>
      </c>
      <c r="HU96" s="127">
        <f t="shared" si="212"/>
        <v>1.5748031496062995E-2</v>
      </c>
      <c r="HV96" s="216">
        <f t="shared" si="213"/>
        <v>0</v>
      </c>
      <c r="HW96" s="138">
        <f t="shared" si="214"/>
        <v>0.25</v>
      </c>
      <c r="HX96" s="138">
        <f t="shared" si="215"/>
        <v>0</v>
      </c>
      <c r="HY96" s="238">
        <f t="shared" si="216"/>
        <v>0</v>
      </c>
      <c r="HZ96" s="138">
        <f t="shared" si="217"/>
        <v>0</v>
      </c>
      <c r="IA96" s="138">
        <f t="shared" si="218"/>
        <v>0.25</v>
      </c>
      <c r="IB96" s="138">
        <f t="shared" si="219"/>
        <v>0</v>
      </c>
      <c r="IC96" s="138">
        <f t="shared" si="220"/>
        <v>0</v>
      </c>
      <c r="ID96" s="216">
        <f t="shared" si="221"/>
        <v>0</v>
      </c>
      <c r="IE96" s="138">
        <f t="shared" si="222"/>
        <v>1.5748031496062995E-2</v>
      </c>
      <c r="IF96" s="138">
        <f t="shared" si="223"/>
        <v>0</v>
      </c>
      <c r="IG96" s="238">
        <f t="shared" si="224"/>
        <v>0</v>
      </c>
      <c r="IH96" s="138">
        <f t="shared" si="225"/>
        <v>0</v>
      </c>
      <c r="II96" s="138">
        <f t="shared" si="226"/>
        <v>1.5748031496062995E-2</v>
      </c>
      <c r="IJ96" s="138">
        <f t="shared" si="227"/>
        <v>0</v>
      </c>
      <c r="IK96" s="138">
        <f t="shared" si="228"/>
        <v>0</v>
      </c>
      <c r="IL96" s="216">
        <f t="shared" si="229"/>
        <v>0</v>
      </c>
      <c r="IM96" s="138">
        <f t="shared" si="230"/>
        <v>1.5748031496062995E-2</v>
      </c>
      <c r="IN96" s="138">
        <f t="shared" si="231"/>
        <v>0</v>
      </c>
      <c r="IO96" s="238">
        <f t="shared" si="232"/>
        <v>0</v>
      </c>
      <c r="IP96" s="138">
        <f t="shared" si="233"/>
        <v>0</v>
      </c>
      <c r="IQ96" s="138">
        <f t="shared" si="234"/>
        <v>1.5748031496062995E-2</v>
      </c>
      <c r="IR96" s="138">
        <f t="shared" si="235"/>
        <v>0</v>
      </c>
      <c r="IS96" s="138">
        <f t="shared" si="236"/>
        <v>0</v>
      </c>
      <c r="IT96" s="17">
        <f t="shared" si="237"/>
        <v>0.25</v>
      </c>
      <c r="IU96" s="17">
        <f t="shared" si="238"/>
        <v>1.5748031496062995E-2</v>
      </c>
      <c r="IV96" s="17">
        <f t="shared" si="239"/>
        <v>1.5748031496062995E-2</v>
      </c>
      <c r="IW96" s="253">
        <f t="shared" si="240"/>
        <v>10.669291680000001</v>
      </c>
      <c r="IX96" s="116">
        <f t="shared" si="303"/>
        <v>215.38128352720727</v>
      </c>
      <c r="IY96" s="8">
        <f t="shared" si="242"/>
        <v>5.5687462129030132E-3</v>
      </c>
      <c r="IZ96" s="8">
        <f t="shared" si="243"/>
        <v>5.5687462129030132E-3</v>
      </c>
      <c r="JA96" s="8">
        <f t="shared" si="244"/>
        <v>2.7843731064515066E-3</v>
      </c>
      <c r="JB96" s="134">
        <f t="shared" si="245"/>
        <v>5.2767159355526297E-2</v>
      </c>
      <c r="JC96" s="170">
        <f t="shared" si="259"/>
        <v>3.3006550714747922E-3</v>
      </c>
      <c r="JD96" s="272">
        <f t="shared" si="260"/>
        <v>5.7451327847794713E-2</v>
      </c>
      <c r="JE96" s="8"/>
      <c r="JF96" s="8"/>
    </row>
    <row r="97" spans="1:266" x14ac:dyDescent="0.25">
      <c r="A97" s="186">
        <v>37</v>
      </c>
      <c r="B97" s="187">
        <f>A97/100*'Inputs-Imperial'!$E$5</f>
        <v>3.6417324</v>
      </c>
      <c r="C97" s="188">
        <f>'Inputs-Imperial'!$E$10+('Inputs-Imperial'!$E$9-'Inputs-Imperial'!$E$10)*(100-A97)/100</f>
        <v>1.7683727600000001</v>
      </c>
      <c r="D97" s="187">
        <f t="shared" si="248"/>
        <v>9.8425199999999879E-2</v>
      </c>
      <c r="E97" s="188">
        <f t="shared" si="249"/>
        <v>0.1745368185773038</v>
      </c>
      <c r="F97" s="423">
        <f>Loads!P57</f>
        <v>66.649702444538946</v>
      </c>
      <c r="G97" s="423">
        <f>Loads!M57</f>
        <v>666.49702444538912</v>
      </c>
      <c r="H97" s="423">
        <f>Loads!N57</f>
        <v>1848.0192446851552</v>
      </c>
      <c r="I97" s="423">
        <f>Loads!V57</f>
        <v>-545.99235603489478</v>
      </c>
      <c r="J97" s="423">
        <f>Loads!Q57</f>
        <v>184.80192446851558</v>
      </c>
      <c r="K97" s="2">
        <v>37</v>
      </c>
      <c r="L97" s="12">
        <f t="shared" si="41"/>
        <v>43.700788799999998</v>
      </c>
      <c r="M97" s="11">
        <f t="shared" si="42"/>
        <v>21.220473120000001</v>
      </c>
      <c r="N97" s="11">
        <f t="shared" si="43"/>
        <v>1.1811023999999986</v>
      </c>
      <c r="O97" s="152">
        <f t="shared" si="44"/>
        <v>25.13330187513175</v>
      </c>
      <c r="P97" s="151">
        <f t="shared" si="45"/>
        <v>66.649702444538946</v>
      </c>
      <c r="Q97" s="12">
        <f t="shared" si="46"/>
        <v>666.49702444538912</v>
      </c>
      <c r="R97" s="12">
        <f t="shared" si="47"/>
        <v>22176.230936221862</v>
      </c>
      <c r="S97" s="12">
        <f t="shared" si="48"/>
        <v>-6551.9082724187374</v>
      </c>
      <c r="T97" s="152">
        <f t="shared" si="49"/>
        <v>2217.6230936221868</v>
      </c>
      <c r="U97" s="8">
        <f t="shared" si="261"/>
        <v>3.8196851616000003</v>
      </c>
      <c r="V97" s="8">
        <f t="shared" si="262"/>
        <v>3.8196851616000003</v>
      </c>
      <c r="W97" s="134">
        <f t="shared" si="263"/>
        <v>1.9098425808000001</v>
      </c>
      <c r="X97" s="311">
        <f t="shared" si="264"/>
        <v>5.3051182800000003</v>
      </c>
      <c r="Y97" s="11">
        <f t="shared" si="265"/>
        <v>15.915354840000001</v>
      </c>
      <c r="Z97" s="11">
        <f t="shared" si="266"/>
        <v>10.610236560000001</v>
      </c>
      <c r="AA97" s="316">
        <f t="shared" si="50"/>
        <v>15.915354840000001</v>
      </c>
      <c r="AB97" s="170">
        <f t="shared" si="51"/>
        <v>2.8647638712000001</v>
      </c>
      <c r="AC97" s="11">
        <f t="shared" si="52"/>
        <v>15.915354840000001</v>
      </c>
      <c r="AD97" s="152">
        <f t="shared" si="53"/>
        <v>35.809234587073462</v>
      </c>
      <c r="AE97" s="151">
        <f t="shared" si="267"/>
        <v>4.187761009074614</v>
      </c>
      <c r="AF97" s="12">
        <f t="shared" si="268"/>
        <v>91.483500666387698</v>
      </c>
      <c r="AG97" s="216">
        <f t="shared" si="269"/>
        <v>6.2679827057695219E-3</v>
      </c>
      <c r="AH97" s="2">
        <f t="shared" si="55"/>
        <v>1</v>
      </c>
      <c r="AI97" s="2">
        <f t="shared" si="56"/>
        <v>3</v>
      </c>
      <c r="AJ97" s="127">
        <f t="shared" si="57"/>
        <v>2</v>
      </c>
      <c r="AK97" s="2">
        <f t="shared" si="58"/>
        <v>1.5748031496062995E-2</v>
      </c>
      <c r="AL97" s="8">
        <f t="shared" si="270"/>
        <v>6.5962893638537703E-2</v>
      </c>
      <c r="AM97" s="138">
        <f t="shared" si="59"/>
        <v>0.25</v>
      </c>
      <c r="AN97" s="12">
        <f t="shared" si="271"/>
        <v>5467.6126047526704</v>
      </c>
      <c r="AO97" s="138">
        <f t="shared" si="60"/>
        <v>0.25</v>
      </c>
      <c r="AP97" s="116">
        <f t="shared" si="61"/>
        <v>2175570</v>
      </c>
      <c r="AQ97" s="2">
        <f t="shared" si="62"/>
        <v>1.5748031496062995E-2</v>
      </c>
      <c r="AR97" s="8">
        <f t="shared" si="63"/>
        <v>10.610236560000001</v>
      </c>
      <c r="AS97" s="116">
        <f t="shared" si="64"/>
        <v>2610.6840000000002</v>
      </c>
      <c r="AT97" s="217">
        <f t="shared" si="65"/>
        <v>0.14381515492491168</v>
      </c>
      <c r="AU97" s="207">
        <f t="shared" si="66"/>
        <v>3.4917501451268049</v>
      </c>
      <c r="AV97" s="144">
        <f t="shared" si="67"/>
        <v>10406.048822388422</v>
      </c>
      <c r="AW97" s="138">
        <f t="shared" si="68"/>
        <v>0.25</v>
      </c>
      <c r="AX97" s="116">
        <f t="shared" si="69"/>
        <v>2175570</v>
      </c>
      <c r="AY97" s="2">
        <f t="shared" si="70"/>
        <v>1.5748031496062995E-2</v>
      </c>
      <c r="AZ97" s="8">
        <f t="shared" si="71"/>
        <v>10.610236560000001</v>
      </c>
      <c r="BA97" s="116">
        <f t="shared" si="72"/>
        <v>2610.6840000000002</v>
      </c>
      <c r="BB97" s="217">
        <f t="shared" si="73"/>
        <v>0.14381515492491168</v>
      </c>
      <c r="BC97" s="207">
        <f t="shared" si="74"/>
        <v>3.4917501451268049</v>
      </c>
      <c r="BD97" s="144">
        <f t="shared" si="75"/>
        <v>10406.048822388422</v>
      </c>
      <c r="BE97" s="138">
        <f t="shared" si="76"/>
        <v>0.25</v>
      </c>
      <c r="BF97" s="116">
        <f t="shared" si="77"/>
        <v>2175570</v>
      </c>
      <c r="BG97" s="2">
        <f t="shared" si="78"/>
        <v>1.5748031496062995E-2</v>
      </c>
      <c r="BH97" s="8">
        <f t="shared" si="79"/>
        <v>10.610236560000001</v>
      </c>
      <c r="BI97" s="116">
        <f t="shared" si="80"/>
        <v>2610.6840000000002</v>
      </c>
      <c r="BJ97" s="217">
        <f t="shared" si="81"/>
        <v>0.14381515492491168</v>
      </c>
      <c r="BK97" s="207">
        <f t="shared" si="82"/>
        <v>3.4917501451268049</v>
      </c>
      <c r="BL97" s="144">
        <f t="shared" si="83"/>
        <v>10406.048822388422</v>
      </c>
      <c r="BM97" s="216">
        <f t="shared" si="84"/>
        <v>0.25</v>
      </c>
      <c r="BN97" s="216">
        <f t="shared" si="85"/>
        <v>2.3622047244094495E-2</v>
      </c>
      <c r="BO97" s="238">
        <f t="shared" si="86"/>
        <v>1.5748031496062995E-2</v>
      </c>
      <c r="BP97" s="216">
        <f t="shared" si="87"/>
        <v>0</v>
      </c>
      <c r="BQ97" s="138">
        <f t="shared" si="88"/>
        <v>0.25</v>
      </c>
      <c r="BR97" s="138">
        <f t="shared" si="89"/>
        <v>0</v>
      </c>
      <c r="BS97" s="238">
        <f t="shared" si="90"/>
        <v>0</v>
      </c>
      <c r="BT97" s="138">
        <f t="shared" si="91"/>
        <v>0</v>
      </c>
      <c r="BU97" s="138">
        <f t="shared" si="92"/>
        <v>0.25</v>
      </c>
      <c r="BV97" s="138">
        <f t="shared" si="93"/>
        <v>0</v>
      </c>
      <c r="BW97" s="238">
        <f t="shared" si="94"/>
        <v>0</v>
      </c>
      <c r="BX97" s="216">
        <f t="shared" si="95"/>
        <v>0</v>
      </c>
      <c r="BY97" s="138">
        <f t="shared" si="96"/>
        <v>2.3622047244094495E-2</v>
      </c>
      <c r="BZ97" s="138">
        <f t="shared" si="97"/>
        <v>0</v>
      </c>
      <c r="CA97" s="238">
        <f t="shared" si="98"/>
        <v>0</v>
      </c>
      <c r="CB97" s="138">
        <f t="shared" si="99"/>
        <v>0</v>
      </c>
      <c r="CC97" s="138">
        <f t="shared" si="100"/>
        <v>2.3622047244094495E-2</v>
      </c>
      <c r="CD97" s="138">
        <f t="shared" si="101"/>
        <v>0</v>
      </c>
      <c r="CE97" s="238">
        <f t="shared" si="102"/>
        <v>0</v>
      </c>
      <c r="CF97" s="216">
        <f t="shared" si="103"/>
        <v>0</v>
      </c>
      <c r="CG97" s="138">
        <f t="shared" si="104"/>
        <v>1.5748031496062995E-2</v>
      </c>
      <c r="CH97" s="138">
        <f t="shared" si="105"/>
        <v>0</v>
      </c>
      <c r="CI97" s="238">
        <f t="shared" si="106"/>
        <v>0</v>
      </c>
      <c r="CJ97" s="138">
        <f t="shared" si="107"/>
        <v>0</v>
      </c>
      <c r="CK97" s="138">
        <f t="shared" si="108"/>
        <v>1.5748031496062995E-2</v>
      </c>
      <c r="CL97" s="138">
        <f t="shared" si="109"/>
        <v>0</v>
      </c>
      <c r="CM97" s="238">
        <f t="shared" si="110"/>
        <v>0</v>
      </c>
      <c r="CN97" s="17">
        <f t="shared" si="111"/>
        <v>0.25</v>
      </c>
      <c r="CO97" s="17">
        <f t="shared" si="112"/>
        <v>2.3622047244094495E-2</v>
      </c>
      <c r="CP97" s="17">
        <f t="shared" si="113"/>
        <v>1.5748031496062995E-2</v>
      </c>
      <c r="CQ97" s="17">
        <f>$U97-IF('Inputs-Imperial'!$E$13,0,2)*($CO97+$CN97+$CP97)</f>
        <v>3.8196851616000003</v>
      </c>
      <c r="CR97" s="116">
        <f t="shared" si="114"/>
        <v>5805.7745594227508</v>
      </c>
      <c r="CS97" s="8">
        <f t="shared" si="10"/>
        <v>0.15011000288086787</v>
      </c>
      <c r="CT97" s="8">
        <f t="shared" si="115"/>
        <v>0.38744032170241116</v>
      </c>
      <c r="CU97" s="8">
        <f t="shared" si="272"/>
        <v>0.15011000288086787</v>
      </c>
      <c r="CV97" s="8">
        <f t="shared" si="116"/>
        <v>0.38744032170241116</v>
      </c>
      <c r="CW97" s="216">
        <f t="shared" si="117"/>
        <v>3.4322448398975891</v>
      </c>
      <c r="CX97" s="116">
        <f t="shared" si="118"/>
        <v>6461.1448106608714</v>
      </c>
      <c r="CY97" s="8">
        <f t="shared" si="119"/>
        <v>0.16705479281276814</v>
      </c>
      <c r="CZ97" s="8">
        <f t="shared" si="120"/>
        <v>0.40872336954567223</v>
      </c>
      <c r="DA97" s="8">
        <f t="shared" si="121"/>
        <v>0.16705479281276814</v>
      </c>
      <c r="DB97" s="8">
        <f t="shared" si="122"/>
        <v>0.40872336954567223</v>
      </c>
      <c r="DC97" s="216">
        <f t="shared" si="123"/>
        <v>3.4109617920543278</v>
      </c>
      <c r="DD97" s="116">
        <f t="shared" si="124"/>
        <v>6501.4597899866048</v>
      </c>
      <c r="DE97" s="8">
        <f t="shared" si="125"/>
        <v>0.16809714841937815</v>
      </c>
      <c r="DF97" s="8">
        <f t="shared" si="126"/>
        <v>0.40999652244790824</v>
      </c>
      <c r="DG97" s="8">
        <f t="shared" si="127"/>
        <v>0.16809714841937815</v>
      </c>
      <c r="DH97" s="8">
        <f t="shared" si="128"/>
        <v>0.40999652244790824</v>
      </c>
      <c r="DI97" s="216">
        <f t="shared" si="129"/>
        <v>3.4096886391520917</v>
      </c>
      <c r="DJ97" s="116">
        <f t="shared" si="130"/>
        <v>6503.8873877165988</v>
      </c>
      <c r="DK97" s="8">
        <f t="shared" si="131"/>
        <v>0.16815991467020536</v>
      </c>
      <c r="DL97" s="8">
        <f t="shared" si="132"/>
        <v>0.41007306016148554</v>
      </c>
      <c r="DM97" s="8">
        <f t="shared" si="133"/>
        <v>0.16815991467020536</v>
      </c>
      <c r="DN97" s="8">
        <f t="shared" si="134"/>
        <v>0.41007306016148554</v>
      </c>
      <c r="DO97" s="216">
        <f t="shared" si="135"/>
        <v>3.409612101438515</v>
      </c>
      <c r="DP97" s="116">
        <f t="shared" si="136"/>
        <v>6504.0333845793521</v>
      </c>
      <c r="DQ97" s="170">
        <f t="shared" si="137"/>
        <v>0.16816368946188287</v>
      </c>
      <c r="DR97" s="8">
        <f t="shared" si="138"/>
        <v>0.41007766271998147</v>
      </c>
      <c r="DS97" s="8">
        <f t="shared" si="139"/>
        <v>0.16816368946188287</v>
      </c>
      <c r="DT97" s="134">
        <f t="shared" si="140"/>
        <v>0.41007766271998147</v>
      </c>
      <c r="DU97" s="170">
        <f t="shared" si="258"/>
        <v>0.20712205586855234</v>
      </c>
      <c r="DV97" s="170">
        <f t="shared" si="258"/>
        <v>0.45510664230326536</v>
      </c>
      <c r="DW97" s="170">
        <f t="shared" si="258"/>
        <v>0.20712205586855234</v>
      </c>
      <c r="DX97" s="272">
        <f t="shared" si="258"/>
        <v>0.45510664230326536</v>
      </c>
      <c r="DY97" s="272">
        <f t="shared" si="142"/>
        <v>2.9094718769934693</v>
      </c>
      <c r="DZ97" s="22">
        <f t="shared" si="273"/>
        <v>174.49004204477549</v>
      </c>
      <c r="EA97" s="216">
        <f t="shared" si="274"/>
        <v>1.1431861007286799E-2</v>
      </c>
      <c r="EB97" s="12">
        <f t="shared" si="143"/>
        <v>2</v>
      </c>
      <c r="EC97" s="7">
        <f>ROUND(MAX(DV97,DX97)/'Inputs-Imperial'!$E$21,0)</f>
        <v>4</v>
      </c>
      <c r="ED97" s="12">
        <f t="shared" si="144"/>
        <v>4</v>
      </c>
      <c r="EE97" s="2">
        <f t="shared" si="145"/>
        <v>2</v>
      </c>
      <c r="EF97" s="127">
        <f t="shared" si="146"/>
        <v>2</v>
      </c>
      <c r="EG97" s="2">
        <f t="shared" si="147"/>
        <v>1.5748031496062995E-2</v>
      </c>
      <c r="EH97" s="8">
        <f t="shared" si="275"/>
        <v>0.12030643144884477</v>
      </c>
      <c r="EI97" s="138">
        <f t="shared" si="148"/>
        <v>0.25</v>
      </c>
      <c r="EJ97" s="12">
        <f t="shared" si="276"/>
        <v>9972.105902858917</v>
      </c>
      <c r="EK97" s="138">
        <f t="shared" si="149"/>
        <v>0.25</v>
      </c>
      <c r="EL97" s="116">
        <f t="shared" si="150"/>
        <v>2175570</v>
      </c>
      <c r="EM97" s="2">
        <f t="shared" si="277"/>
        <v>1.5748031496062995E-2</v>
      </c>
      <c r="EN97" s="8">
        <f t="shared" si="151"/>
        <v>3.8196851616000003</v>
      </c>
      <c r="EO97" s="116">
        <f t="shared" si="152"/>
        <v>2610.6840000000002</v>
      </c>
      <c r="EP97" s="217">
        <f t="shared" si="153"/>
        <v>1.1096848373835777</v>
      </c>
      <c r="EQ97" s="207">
        <f t="shared" si="154"/>
        <v>2</v>
      </c>
      <c r="ER97" s="144">
        <f t="shared" si="155"/>
        <v>45990.453643748529</v>
      </c>
      <c r="ES97" s="138">
        <f t="shared" si="278"/>
        <v>0.25</v>
      </c>
      <c r="ET97" s="116">
        <f t="shared" si="156"/>
        <v>2175570</v>
      </c>
      <c r="EU97" s="2">
        <f t="shared" si="279"/>
        <v>1.5748031496062995E-2</v>
      </c>
      <c r="EV97" s="8">
        <f t="shared" si="157"/>
        <v>3.8196851616000003</v>
      </c>
      <c r="EW97" s="116">
        <f t="shared" si="158"/>
        <v>2610.6840000000002</v>
      </c>
      <c r="EX97" s="217">
        <f t="shared" si="159"/>
        <v>1.1096848373835777</v>
      </c>
      <c r="EY97" s="207">
        <f t="shared" si="160"/>
        <v>2</v>
      </c>
      <c r="EZ97" s="144">
        <f t="shared" si="161"/>
        <v>45990.453643748529</v>
      </c>
      <c r="FA97" s="138">
        <f t="shared" si="280"/>
        <v>0.25</v>
      </c>
      <c r="FB97" s="116">
        <f t="shared" si="162"/>
        <v>2175570</v>
      </c>
      <c r="FC97" s="2">
        <f t="shared" si="281"/>
        <v>1.5748031496062995E-2</v>
      </c>
      <c r="FD97" s="8">
        <f t="shared" si="163"/>
        <v>3.8196851616000003</v>
      </c>
      <c r="FE97" s="116">
        <f t="shared" si="164"/>
        <v>2610.6840000000002</v>
      </c>
      <c r="FF97" s="217">
        <f t="shared" si="165"/>
        <v>1.1096848373835777</v>
      </c>
      <c r="FG97" s="207">
        <f t="shared" si="166"/>
        <v>2</v>
      </c>
      <c r="FH97" s="144">
        <f t="shared" si="167"/>
        <v>45990.453643748529</v>
      </c>
      <c r="FI97" s="128">
        <f t="shared" si="168"/>
        <v>0.25</v>
      </c>
      <c r="FJ97" s="2">
        <f t="shared" si="169"/>
        <v>1.5748031496062995E-2</v>
      </c>
      <c r="FK97" s="127">
        <f t="shared" si="170"/>
        <v>1.5748031496062995E-2</v>
      </c>
      <c r="FL97" s="216">
        <f t="shared" si="171"/>
        <v>0</v>
      </c>
      <c r="FM97" s="138">
        <f t="shared" si="172"/>
        <v>0.25</v>
      </c>
      <c r="FN97" s="138">
        <f t="shared" si="173"/>
        <v>0</v>
      </c>
      <c r="FO97" s="238">
        <f t="shared" si="174"/>
        <v>0</v>
      </c>
      <c r="FP97" s="216">
        <f t="shared" si="282"/>
        <v>0</v>
      </c>
      <c r="FQ97" s="138">
        <f t="shared" si="283"/>
        <v>0.25</v>
      </c>
      <c r="FR97" s="138">
        <f t="shared" si="284"/>
        <v>0</v>
      </c>
      <c r="FS97" s="238">
        <f t="shared" si="285"/>
        <v>0</v>
      </c>
      <c r="FT97" s="216">
        <f t="shared" si="175"/>
        <v>0</v>
      </c>
      <c r="FU97" s="138">
        <f t="shared" si="176"/>
        <v>1.5748031496062995E-2</v>
      </c>
      <c r="FV97" s="138">
        <f t="shared" si="177"/>
        <v>0</v>
      </c>
      <c r="FW97" s="238">
        <f t="shared" si="178"/>
        <v>0</v>
      </c>
      <c r="FX97" s="216">
        <f t="shared" si="286"/>
        <v>0</v>
      </c>
      <c r="FY97" s="138">
        <f t="shared" si="287"/>
        <v>1.5748031496062995E-2</v>
      </c>
      <c r="FZ97" s="138">
        <f t="shared" si="288"/>
        <v>0</v>
      </c>
      <c r="GA97" s="238">
        <f t="shared" si="289"/>
        <v>0</v>
      </c>
      <c r="GB97" s="216">
        <f t="shared" si="179"/>
        <v>0</v>
      </c>
      <c r="GC97" s="138">
        <f t="shared" si="180"/>
        <v>1.5748031496062995E-2</v>
      </c>
      <c r="GD97" s="138">
        <f t="shared" si="181"/>
        <v>0</v>
      </c>
      <c r="GE97" s="238">
        <f t="shared" si="182"/>
        <v>0</v>
      </c>
      <c r="GF97" s="216">
        <f t="shared" si="290"/>
        <v>0</v>
      </c>
      <c r="GG97" s="138">
        <f t="shared" si="291"/>
        <v>1.5748031496062995E-2</v>
      </c>
      <c r="GH97" s="138">
        <f t="shared" si="292"/>
        <v>0</v>
      </c>
      <c r="GI97" s="238">
        <f t="shared" si="293"/>
        <v>0</v>
      </c>
      <c r="GJ97" s="216">
        <f t="shared" si="183"/>
        <v>0.25</v>
      </c>
      <c r="GK97" s="216">
        <f t="shared" si="184"/>
        <v>1.5748031496062995E-2</v>
      </c>
      <c r="GL97" s="17">
        <f t="shared" si="185"/>
        <v>1.5748031496062995E-2</v>
      </c>
      <c r="GM97" s="216">
        <f t="shared" si="294"/>
        <v>5.9936180415946384E-3</v>
      </c>
      <c r="GN97" s="2">
        <f t="shared" si="187"/>
        <v>1</v>
      </c>
      <c r="GO97" s="2">
        <f t="shared" si="188"/>
        <v>2</v>
      </c>
      <c r="GP97" s="142">
        <f t="shared" si="189"/>
        <v>2</v>
      </c>
      <c r="GQ97" s="2">
        <f t="shared" si="190"/>
        <v>1.5748031496062995E-2</v>
      </c>
      <c r="GR97" s="8">
        <f t="shared" si="295"/>
        <v>6.3075539283765428E-2</v>
      </c>
      <c r="GS97" s="138">
        <f t="shared" si="191"/>
        <v>0.25</v>
      </c>
      <c r="GT97" s="12">
        <f t="shared" si="296"/>
        <v>5228.2820630840561</v>
      </c>
      <c r="GU97" s="138">
        <f t="shared" si="192"/>
        <v>0.25</v>
      </c>
      <c r="GV97" s="116">
        <f t="shared" si="193"/>
        <v>2175570</v>
      </c>
      <c r="GW97" s="2">
        <f t="shared" si="297"/>
        <v>1.5748031496062995E-2</v>
      </c>
      <c r="GX97" s="8">
        <f t="shared" si="298"/>
        <v>1.9098425808000001</v>
      </c>
      <c r="GY97" s="116">
        <f t="shared" si="194"/>
        <v>2610.6840000000002</v>
      </c>
      <c r="GZ97" s="217">
        <f t="shared" si="195"/>
        <v>4.4387393495343108</v>
      </c>
      <c r="HA97" s="207">
        <f t="shared" si="196"/>
        <v>2</v>
      </c>
      <c r="HB97" s="144">
        <f t="shared" si="197"/>
        <v>183961.81457499412</v>
      </c>
      <c r="HC97" s="138">
        <f t="shared" si="299"/>
        <v>0.25</v>
      </c>
      <c r="HD97" s="116">
        <f t="shared" si="198"/>
        <v>2175570</v>
      </c>
      <c r="HE97" s="2">
        <f t="shared" si="300"/>
        <v>1.5748031496062995E-2</v>
      </c>
      <c r="HF97" s="8">
        <f t="shared" si="199"/>
        <v>1.9098425808000001</v>
      </c>
      <c r="HG97" s="116">
        <f t="shared" si="200"/>
        <v>2610.6840000000002</v>
      </c>
      <c r="HH97" s="217">
        <f t="shared" si="201"/>
        <v>4.4387393495343108</v>
      </c>
      <c r="HI97" s="207">
        <f t="shared" si="202"/>
        <v>2</v>
      </c>
      <c r="HJ97" s="144">
        <f t="shared" si="203"/>
        <v>183961.81457499412</v>
      </c>
      <c r="HK97" s="138">
        <f t="shared" si="301"/>
        <v>0.25</v>
      </c>
      <c r="HL97" s="116">
        <f t="shared" si="204"/>
        <v>2175570</v>
      </c>
      <c r="HM97" s="2">
        <f t="shared" si="302"/>
        <v>1.5748031496062995E-2</v>
      </c>
      <c r="HN97" s="8">
        <f t="shared" si="205"/>
        <v>1.9098425808000001</v>
      </c>
      <c r="HO97" s="116">
        <f t="shared" si="206"/>
        <v>2610.6840000000002</v>
      </c>
      <c r="HP97" s="217">
        <f t="shared" si="207"/>
        <v>4.4387393495343108</v>
      </c>
      <c r="HQ97" s="207">
        <f t="shared" si="208"/>
        <v>2</v>
      </c>
      <c r="HR97" s="144">
        <f t="shared" si="209"/>
        <v>183961.81457499412</v>
      </c>
      <c r="HS97" s="128">
        <f t="shared" si="210"/>
        <v>0.25</v>
      </c>
      <c r="HT97" s="2">
        <f t="shared" si="211"/>
        <v>1.5748031496062995E-2</v>
      </c>
      <c r="HU97" s="127">
        <f t="shared" si="212"/>
        <v>1.5748031496062995E-2</v>
      </c>
      <c r="HV97" s="216">
        <f t="shared" si="213"/>
        <v>0</v>
      </c>
      <c r="HW97" s="138">
        <f t="shared" si="214"/>
        <v>0.25</v>
      </c>
      <c r="HX97" s="138">
        <f t="shared" si="215"/>
        <v>0</v>
      </c>
      <c r="HY97" s="238">
        <f t="shared" si="216"/>
        <v>0</v>
      </c>
      <c r="HZ97" s="138">
        <f t="shared" si="217"/>
        <v>0</v>
      </c>
      <c r="IA97" s="138">
        <f t="shared" si="218"/>
        <v>0.25</v>
      </c>
      <c r="IB97" s="138">
        <f t="shared" si="219"/>
        <v>0</v>
      </c>
      <c r="IC97" s="138">
        <f t="shared" si="220"/>
        <v>0</v>
      </c>
      <c r="ID97" s="216">
        <f t="shared" si="221"/>
        <v>0</v>
      </c>
      <c r="IE97" s="138">
        <f t="shared" si="222"/>
        <v>1.5748031496062995E-2</v>
      </c>
      <c r="IF97" s="138">
        <f t="shared" si="223"/>
        <v>0</v>
      </c>
      <c r="IG97" s="238">
        <f t="shared" si="224"/>
        <v>0</v>
      </c>
      <c r="IH97" s="138">
        <f t="shared" si="225"/>
        <v>0</v>
      </c>
      <c r="II97" s="138">
        <f t="shared" si="226"/>
        <v>1.5748031496062995E-2</v>
      </c>
      <c r="IJ97" s="138">
        <f t="shared" si="227"/>
        <v>0</v>
      </c>
      <c r="IK97" s="138">
        <f t="shared" si="228"/>
        <v>0</v>
      </c>
      <c r="IL97" s="216">
        <f t="shared" si="229"/>
        <v>0</v>
      </c>
      <c r="IM97" s="138">
        <f t="shared" si="230"/>
        <v>1.5748031496062995E-2</v>
      </c>
      <c r="IN97" s="138">
        <f t="shared" si="231"/>
        <v>0</v>
      </c>
      <c r="IO97" s="238">
        <f t="shared" si="232"/>
        <v>0</v>
      </c>
      <c r="IP97" s="138">
        <f t="shared" si="233"/>
        <v>0</v>
      </c>
      <c r="IQ97" s="138">
        <f t="shared" si="234"/>
        <v>1.5748031496062995E-2</v>
      </c>
      <c r="IR97" s="138">
        <f t="shared" si="235"/>
        <v>0</v>
      </c>
      <c r="IS97" s="138">
        <f t="shared" si="236"/>
        <v>0</v>
      </c>
      <c r="IT97" s="17">
        <f t="shared" si="237"/>
        <v>0.25</v>
      </c>
      <c r="IU97" s="17">
        <f t="shared" si="238"/>
        <v>1.5748031496062995E-2</v>
      </c>
      <c r="IV97" s="17">
        <f t="shared" si="239"/>
        <v>1.5748031496062995E-2</v>
      </c>
      <c r="IW97" s="253">
        <f t="shared" si="240"/>
        <v>10.610236560000001</v>
      </c>
      <c r="IX97" s="116">
        <f t="shared" si="303"/>
        <v>209.0078841392191</v>
      </c>
      <c r="IY97" s="8">
        <f t="shared" si="242"/>
        <v>5.4039601037112455E-3</v>
      </c>
      <c r="IZ97" s="8">
        <f t="shared" si="243"/>
        <v>5.4039601037112455E-3</v>
      </c>
      <c r="JA97" s="8">
        <f t="shared" si="244"/>
        <v>2.7019800518556228E-3</v>
      </c>
      <c r="JB97" s="134">
        <f t="shared" si="245"/>
        <v>5.1980573793058718E-2</v>
      </c>
      <c r="JC97" s="170">
        <f t="shared" si="259"/>
        <v>3.3006550714747922E-3</v>
      </c>
      <c r="JD97" s="272">
        <f t="shared" si="260"/>
        <v>5.7451327847794713E-2</v>
      </c>
      <c r="JE97" s="8"/>
      <c r="JF97" s="8"/>
    </row>
    <row r="98" spans="1:266" x14ac:dyDescent="0.25">
      <c r="A98" s="186">
        <v>38</v>
      </c>
      <c r="B98" s="187">
        <f>A98/100*'Inputs-Imperial'!$E$5</f>
        <v>3.7401576000000003</v>
      </c>
      <c r="C98" s="188">
        <f>'Inputs-Imperial'!$E$10+('Inputs-Imperial'!$E$9-'Inputs-Imperial'!$E$10)*(100-A98)/100</f>
        <v>1.75853024</v>
      </c>
      <c r="D98" s="187">
        <f t="shared" si="248"/>
        <v>9.8425200000000324E-2</v>
      </c>
      <c r="E98" s="188">
        <f t="shared" si="249"/>
        <v>0.17356806657780058</v>
      </c>
      <c r="F98" s="423">
        <f>Loads!P58</f>
        <v>65.282680199088574</v>
      </c>
      <c r="G98" s="423">
        <f>Loads!M58</f>
        <v>652.82680199088543</v>
      </c>
      <c r="H98" s="423">
        <f>Loads!N58</f>
        <v>1782.4191417547127</v>
      </c>
      <c r="I98" s="423">
        <f>Loads!V58</f>
        <v>-532.11861416717909</v>
      </c>
      <c r="J98" s="423">
        <f>Loads!Q58</f>
        <v>178.24191417547132</v>
      </c>
      <c r="K98" s="2">
        <v>38</v>
      </c>
      <c r="L98" s="12">
        <f t="shared" si="41"/>
        <v>44.881891200000005</v>
      </c>
      <c r="M98" s="11">
        <f t="shared" si="42"/>
        <v>21.102362880000001</v>
      </c>
      <c r="N98" s="11">
        <f t="shared" si="43"/>
        <v>1.1811024000000039</v>
      </c>
      <c r="O98" s="152">
        <f t="shared" si="44"/>
        <v>24.993801587203286</v>
      </c>
      <c r="P98" s="151">
        <f t="shared" si="45"/>
        <v>65.282680199088574</v>
      </c>
      <c r="Q98" s="12">
        <f t="shared" si="46"/>
        <v>652.82680199088543</v>
      </c>
      <c r="R98" s="12">
        <f t="shared" si="47"/>
        <v>21389.029701056552</v>
      </c>
      <c r="S98" s="12">
        <f t="shared" si="48"/>
        <v>-6385.4233700061486</v>
      </c>
      <c r="T98" s="152">
        <f t="shared" si="49"/>
        <v>2138.9029701056561</v>
      </c>
      <c r="U98" s="8">
        <f t="shared" si="261"/>
        <v>3.7984253184000001</v>
      </c>
      <c r="V98" s="8">
        <f t="shared" si="262"/>
        <v>3.7984253184000001</v>
      </c>
      <c r="W98" s="134">
        <f t="shared" si="263"/>
        <v>1.8992126592</v>
      </c>
      <c r="X98" s="311">
        <f t="shared" si="264"/>
        <v>5.2755907200000003</v>
      </c>
      <c r="Y98" s="11">
        <f t="shared" si="265"/>
        <v>15.826772160000001</v>
      </c>
      <c r="Z98" s="11">
        <f t="shared" si="266"/>
        <v>10.551181440000001</v>
      </c>
      <c r="AA98" s="316">
        <f t="shared" si="50"/>
        <v>15.826772160000001</v>
      </c>
      <c r="AB98" s="170">
        <f t="shared" si="51"/>
        <v>2.8488189888000002</v>
      </c>
      <c r="AC98" s="11">
        <f t="shared" si="52"/>
        <v>15.826772160000001</v>
      </c>
      <c r="AD98" s="152">
        <f t="shared" si="53"/>
        <v>35.411725348349549</v>
      </c>
      <c r="AE98" s="151">
        <f t="shared" si="267"/>
        <v>4.1248259303360424</v>
      </c>
      <c r="AF98" s="12">
        <f t="shared" si="268"/>
        <v>90.159732506563074</v>
      </c>
      <c r="AG98" s="216">
        <f t="shared" si="269"/>
        <v>6.1771316835802954E-3</v>
      </c>
      <c r="AH98" s="2">
        <f t="shared" si="55"/>
        <v>1</v>
      </c>
      <c r="AI98" s="2">
        <f t="shared" si="56"/>
        <v>3</v>
      </c>
      <c r="AJ98" s="127">
        <f t="shared" si="57"/>
        <v>2</v>
      </c>
      <c r="AK98" s="2">
        <f t="shared" si="58"/>
        <v>1.5748031496062995E-2</v>
      </c>
      <c r="AL98" s="8">
        <f t="shared" si="270"/>
        <v>6.5006797140679765E-2</v>
      </c>
      <c r="AM98" s="138">
        <f t="shared" si="59"/>
        <v>0.25</v>
      </c>
      <c r="AN98" s="12">
        <f t="shared" si="271"/>
        <v>5388.3625146687837</v>
      </c>
      <c r="AO98" s="138">
        <f t="shared" si="60"/>
        <v>0.25</v>
      </c>
      <c r="AP98" s="116">
        <f t="shared" si="61"/>
        <v>2175570</v>
      </c>
      <c r="AQ98" s="2">
        <f t="shared" si="62"/>
        <v>1.5748031496062995E-2</v>
      </c>
      <c r="AR98" s="8">
        <f t="shared" si="63"/>
        <v>10.551181440000001</v>
      </c>
      <c r="AS98" s="116">
        <f t="shared" si="64"/>
        <v>2610.6840000000002</v>
      </c>
      <c r="AT98" s="217">
        <f t="shared" si="65"/>
        <v>0.14542953129852232</v>
      </c>
      <c r="AU98" s="207">
        <f t="shared" si="66"/>
        <v>3.4786989202446508</v>
      </c>
      <c r="AV98" s="144">
        <f t="shared" si="67"/>
        <v>10483.528801388647</v>
      </c>
      <c r="AW98" s="138">
        <f t="shared" si="68"/>
        <v>0.25</v>
      </c>
      <c r="AX98" s="116">
        <f t="shared" si="69"/>
        <v>2175570</v>
      </c>
      <c r="AY98" s="2">
        <f t="shared" si="70"/>
        <v>1.5748031496062995E-2</v>
      </c>
      <c r="AZ98" s="8">
        <f t="shared" si="71"/>
        <v>10.551181440000001</v>
      </c>
      <c r="BA98" s="116">
        <f t="shared" si="72"/>
        <v>2610.6840000000002</v>
      </c>
      <c r="BB98" s="217">
        <f t="shared" si="73"/>
        <v>0.14542953129852232</v>
      </c>
      <c r="BC98" s="207">
        <f t="shared" si="74"/>
        <v>3.4786989202446508</v>
      </c>
      <c r="BD98" s="144">
        <f t="shared" si="75"/>
        <v>10483.528801388647</v>
      </c>
      <c r="BE98" s="138">
        <f t="shared" si="76"/>
        <v>0.25</v>
      </c>
      <c r="BF98" s="116">
        <f t="shared" si="77"/>
        <v>2175570</v>
      </c>
      <c r="BG98" s="2">
        <f t="shared" si="78"/>
        <v>1.5748031496062995E-2</v>
      </c>
      <c r="BH98" s="8">
        <f t="shared" si="79"/>
        <v>10.551181440000001</v>
      </c>
      <c r="BI98" s="116">
        <f t="shared" si="80"/>
        <v>2610.6840000000002</v>
      </c>
      <c r="BJ98" s="217">
        <f t="shared" si="81"/>
        <v>0.14542953129852232</v>
      </c>
      <c r="BK98" s="207">
        <f t="shared" si="82"/>
        <v>3.4786989202446508</v>
      </c>
      <c r="BL98" s="144">
        <f t="shared" si="83"/>
        <v>10483.528801388647</v>
      </c>
      <c r="BM98" s="216">
        <f t="shared" si="84"/>
        <v>0.25</v>
      </c>
      <c r="BN98" s="216">
        <f t="shared" si="85"/>
        <v>2.3622047244094495E-2</v>
      </c>
      <c r="BO98" s="238">
        <f t="shared" si="86"/>
        <v>1.5748031496062995E-2</v>
      </c>
      <c r="BP98" s="216">
        <f t="shared" si="87"/>
        <v>0</v>
      </c>
      <c r="BQ98" s="138">
        <f t="shared" si="88"/>
        <v>0.25</v>
      </c>
      <c r="BR98" s="138">
        <f t="shared" si="89"/>
        <v>0</v>
      </c>
      <c r="BS98" s="238">
        <f t="shared" si="90"/>
        <v>0</v>
      </c>
      <c r="BT98" s="138">
        <f t="shared" si="91"/>
        <v>0</v>
      </c>
      <c r="BU98" s="138">
        <f t="shared" si="92"/>
        <v>0.25</v>
      </c>
      <c r="BV98" s="138">
        <f t="shared" si="93"/>
        <v>0</v>
      </c>
      <c r="BW98" s="238">
        <f t="shared" si="94"/>
        <v>0</v>
      </c>
      <c r="BX98" s="216">
        <f t="shared" si="95"/>
        <v>0</v>
      </c>
      <c r="BY98" s="138">
        <f t="shared" si="96"/>
        <v>2.3622047244094495E-2</v>
      </c>
      <c r="BZ98" s="138">
        <f t="shared" si="97"/>
        <v>0</v>
      </c>
      <c r="CA98" s="238">
        <f t="shared" si="98"/>
        <v>0</v>
      </c>
      <c r="CB98" s="138">
        <f t="shared" si="99"/>
        <v>0</v>
      </c>
      <c r="CC98" s="138">
        <f t="shared" si="100"/>
        <v>2.3622047244094495E-2</v>
      </c>
      <c r="CD98" s="138">
        <f t="shared" si="101"/>
        <v>0</v>
      </c>
      <c r="CE98" s="238">
        <f t="shared" si="102"/>
        <v>0</v>
      </c>
      <c r="CF98" s="216">
        <f t="shared" si="103"/>
        <v>0</v>
      </c>
      <c r="CG98" s="138">
        <f t="shared" si="104"/>
        <v>1.5748031496062995E-2</v>
      </c>
      <c r="CH98" s="138">
        <f t="shared" si="105"/>
        <v>0</v>
      </c>
      <c r="CI98" s="238">
        <f t="shared" si="106"/>
        <v>0</v>
      </c>
      <c r="CJ98" s="138">
        <f t="shared" si="107"/>
        <v>0</v>
      </c>
      <c r="CK98" s="138">
        <f t="shared" si="108"/>
        <v>1.5748031496062995E-2</v>
      </c>
      <c r="CL98" s="138">
        <f t="shared" si="109"/>
        <v>0</v>
      </c>
      <c r="CM98" s="238">
        <f t="shared" si="110"/>
        <v>0</v>
      </c>
      <c r="CN98" s="17">
        <f t="shared" si="111"/>
        <v>0.25</v>
      </c>
      <c r="CO98" s="17">
        <f t="shared" si="112"/>
        <v>2.3622047244094495E-2</v>
      </c>
      <c r="CP98" s="17">
        <f t="shared" si="113"/>
        <v>1.5748031496062995E-2</v>
      </c>
      <c r="CQ98" s="17">
        <f>$U98-IF('Inputs-Imperial'!$E$13,0,2)*($CO98+$CN98+$CP98)</f>
        <v>3.7984253184000001</v>
      </c>
      <c r="CR98" s="116">
        <f t="shared" si="114"/>
        <v>5631.0254666442124</v>
      </c>
      <c r="CS98" s="8">
        <f t="shared" si="10"/>
        <v>0.14559181386888811</v>
      </c>
      <c r="CT98" s="8">
        <f t="shared" si="115"/>
        <v>0.38156495366960541</v>
      </c>
      <c r="CU98" s="8">
        <f t="shared" si="272"/>
        <v>0.14559181386888811</v>
      </c>
      <c r="CV98" s="8">
        <f t="shared" si="116"/>
        <v>0.38156495366960541</v>
      </c>
      <c r="CW98" s="216">
        <f t="shared" si="117"/>
        <v>3.4168603647303946</v>
      </c>
      <c r="CX98" s="116">
        <f t="shared" si="118"/>
        <v>6259.8489308603166</v>
      </c>
      <c r="CY98" s="8">
        <f t="shared" si="119"/>
        <v>0.16185022884158762</v>
      </c>
      <c r="CZ98" s="8">
        <f t="shared" si="120"/>
        <v>0.40230613821017897</v>
      </c>
      <c r="DA98" s="8">
        <f t="shared" si="121"/>
        <v>0.16185022884158762</v>
      </c>
      <c r="DB98" s="8">
        <f t="shared" si="122"/>
        <v>0.40230613821017897</v>
      </c>
      <c r="DC98" s="216">
        <f t="shared" si="123"/>
        <v>3.3961191801898214</v>
      </c>
      <c r="DD98" s="116">
        <f t="shared" si="124"/>
        <v>6298.0798276522919</v>
      </c>
      <c r="DE98" s="8">
        <f t="shared" si="125"/>
        <v>0.16283869988345187</v>
      </c>
      <c r="DF98" s="8">
        <f t="shared" si="126"/>
        <v>0.40353277423705236</v>
      </c>
      <c r="DG98" s="8">
        <f t="shared" si="127"/>
        <v>0.16283869988345187</v>
      </c>
      <c r="DH98" s="8">
        <f t="shared" si="128"/>
        <v>0.40353277423705236</v>
      </c>
      <c r="DI98" s="216">
        <f t="shared" si="129"/>
        <v>3.3948925441629476</v>
      </c>
      <c r="DJ98" s="116">
        <f t="shared" si="130"/>
        <v>6300.3554377095252</v>
      </c>
      <c r="DK98" s="8">
        <f t="shared" si="131"/>
        <v>0.16289753644845295</v>
      </c>
      <c r="DL98" s="8">
        <f t="shared" si="132"/>
        <v>0.40360566949493282</v>
      </c>
      <c r="DM98" s="8">
        <f t="shared" si="133"/>
        <v>0.16289753644845295</v>
      </c>
      <c r="DN98" s="8">
        <f t="shared" si="134"/>
        <v>0.40360566949493282</v>
      </c>
      <c r="DO98" s="216">
        <f t="shared" si="135"/>
        <v>3.394819648905067</v>
      </c>
      <c r="DP98" s="116">
        <f t="shared" si="136"/>
        <v>6300.4907220786135</v>
      </c>
      <c r="DQ98" s="170">
        <f t="shared" si="137"/>
        <v>0.16290103426546698</v>
      </c>
      <c r="DR98" s="8">
        <f t="shared" si="138"/>
        <v>0.40361000268262304</v>
      </c>
      <c r="DS98" s="8">
        <f t="shared" si="139"/>
        <v>0.16290103426546698</v>
      </c>
      <c r="DT98" s="134">
        <f t="shared" si="140"/>
        <v>0.40361000268262304</v>
      </c>
      <c r="DU98" s="170">
        <f t="shared" si="258"/>
        <v>0.20712205586855234</v>
      </c>
      <c r="DV98" s="170">
        <f t="shared" si="258"/>
        <v>0.45510664230326536</v>
      </c>
      <c r="DW98" s="170">
        <f t="shared" si="258"/>
        <v>0.20712205586855234</v>
      </c>
      <c r="DX98" s="272">
        <f t="shared" si="258"/>
        <v>0.45510664230326536</v>
      </c>
      <c r="DY98" s="272">
        <f t="shared" si="142"/>
        <v>2.8882120337934691</v>
      </c>
      <c r="DZ98" s="22">
        <f t="shared" si="273"/>
        <v>171.86774709733501</v>
      </c>
      <c r="EA98" s="216">
        <f t="shared" si="274"/>
        <v>1.1260059161130114E-2</v>
      </c>
      <c r="EB98" s="12">
        <f t="shared" si="143"/>
        <v>2</v>
      </c>
      <c r="EC98" s="7">
        <f>ROUND(MAX(DV98,DX98)/'Inputs-Imperial'!$E$21,0)</f>
        <v>4</v>
      </c>
      <c r="ED98" s="12">
        <f t="shared" si="144"/>
        <v>4</v>
      </c>
      <c r="EE98" s="2">
        <f t="shared" si="145"/>
        <v>2</v>
      </c>
      <c r="EF98" s="127">
        <f t="shared" si="146"/>
        <v>2</v>
      </c>
      <c r="EG98" s="2">
        <f t="shared" si="147"/>
        <v>1.5748031496062995E-2</v>
      </c>
      <c r="EH98" s="8">
        <f t="shared" si="275"/>
        <v>0.11849842599686634</v>
      </c>
      <c r="EI98" s="138">
        <f t="shared" si="148"/>
        <v>0.25</v>
      </c>
      <c r="EJ98" s="12">
        <f t="shared" si="276"/>
        <v>9822.2417466126935</v>
      </c>
      <c r="EK98" s="138">
        <f t="shared" si="149"/>
        <v>0.25</v>
      </c>
      <c r="EL98" s="116">
        <f t="shared" si="150"/>
        <v>2175570</v>
      </c>
      <c r="EM98" s="2">
        <f t="shared" si="277"/>
        <v>1.5748031496062995E-2</v>
      </c>
      <c r="EN98" s="8">
        <f t="shared" si="151"/>
        <v>3.7984253184000001</v>
      </c>
      <c r="EO98" s="116">
        <f t="shared" si="152"/>
        <v>2610.6840000000002</v>
      </c>
      <c r="EP98" s="217">
        <f t="shared" si="153"/>
        <v>1.1221414452046474</v>
      </c>
      <c r="EQ98" s="207">
        <f t="shared" si="154"/>
        <v>2</v>
      </c>
      <c r="ER98" s="144">
        <f t="shared" si="155"/>
        <v>46506.712878130806</v>
      </c>
      <c r="ES98" s="138">
        <f t="shared" si="278"/>
        <v>0.25</v>
      </c>
      <c r="ET98" s="116">
        <f t="shared" si="156"/>
        <v>2175570</v>
      </c>
      <c r="EU98" s="2">
        <f t="shared" si="279"/>
        <v>1.5748031496062995E-2</v>
      </c>
      <c r="EV98" s="8">
        <f t="shared" si="157"/>
        <v>3.7984253184000001</v>
      </c>
      <c r="EW98" s="116">
        <f t="shared" si="158"/>
        <v>2610.6840000000002</v>
      </c>
      <c r="EX98" s="217">
        <f t="shared" si="159"/>
        <v>1.1221414452046474</v>
      </c>
      <c r="EY98" s="207">
        <f t="shared" si="160"/>
        <v>2</v>
      </c>
      <c r="EZ98" s="144">
        <f t="shared" si="161"/>
        <v>46506.712878130806</v>
      </c>
      <c r="FA98" s="138">
        <f t="shared" si="280"/>
        <v>0.25</v>
      </c>
      <c r="FB98" s="116">
        <f t="shared" si="162"/>
        <v>2175570</v>
      </c>
      <c r="FC98" s="2">
        <f t="shared" si="281"/>
        <v>1.5748031496062995E-2</v>
      </c>
      <c r="FD98" s="8">
        <f t="shared" si="163"/>
        <v>3.7984253184000001</v>
      </c>
      <c r="FE98" s="116">
        <f t="shared" si="164"/>
        <v>2610.6840000000002</v>
      </c>
      <c r="FF98" s="217">
        <f t="shared" si="165"/>
        <v>1.1221414452046474</v>
      </c>
      <c r="FG98" s="207">
        <f t="shared" si="166"/>
        <v>2</v>
      </c>
      <c r="FH98" s="144">
        <f t="shared" si="167"/>
        <v>46506.712878130806</v>
      </c>
      <c r="FI98" s="128">
        <f t="shared" si="168"/>
        <v>0.25</v>
      </c>
      <c r="FJ98" s="2">
        <f t="shared" si="169"/>
        <v>1.5748031496062995E-2</v>
      </c>
      <c r="FK98" s="127">
        <f t="shared" si="170"/>
        <v>1.5748031496062995E-2</v>
      </c>
      <c r="FL98" s="216">
        <f t="shared" si="171"/>
        <v>0</v>
      </c>
      <c r="FM98" s="138">
        <f t="shared" si="172"/>
        <v>0.25</v>
      </c>
      <c r="FN98" s="138">
        <f t="shared" si="173"/>
        <v>0</v>
      </c>
      <c r="FO98" s="238">
        <f t="shared" si="174"/>
        <v>0</v>
      </c>
      <c r="FP98" s="216">
        <f t="shared" si="282"/>
        <v>0</v>
      </c>
      <c r="FQ98" s="138">
        <f t="shared" si="283"/>
        <v>0.25</v>
      </c>
      <c r="FR98" s="138">
        <f t="shared" si="284"/>
        <v>0</v>
      </c>
      <c r="FS98" s="238">
        <f t="shared" si="285"/>
        <v>0</v>
      </c>
      <c r="FT98" s="216">
        <f t="shared" si="175"/>
        <v>0</v>
      </c>
      <c r="FU98" s="138">
        <f t="shared" si="176"/>
        <v>1.5748031496062995E-2</v>
      </c>
      <c r="FV98" s="138">
        <f t="shared" si="177"/>
        <v>0</v>
      </c>
      <c r="FW98" s="238">
        <f t="shared" si="178"/>
        <v>0</v>
      </c>
      <c r="FX98" s="216">
        <f t="shared" si="286"/>
        <v>0</v>
      </c>
      <c r="FY98" s="138">
        <f t="shared" si="287"/>
        <v>1.5748031496062995E-2</v>
      </c>
      <c r="FZ98" s="138">
        <f t="shared" si="288"/>
        <v>0</v>
      </c>
      <c r="GA98" s="238">
        <f t="shared" si="289"/>
        <v>0</v>
      </c>
      <c r="GB98" s="216">
        <f t="shared" si="179"/>
        <v>0</v>
      </c>
      <c r="GC98" s="138">
        <f t="shared" si="180"/>
        <v>1.5748031496062995E-2</v>
      </c>
      <c r="GD98" s="138">
        <f t="shared" si="181"/>
        <v>0</v>
      </c>
      <c r="GE98" s="238">
        <f t="shared" si="182"/>
        <v>0</v>
      </c>
      <c r="GF98" s="216">
        <f t="shared" si="290"/>
        <v>0</v>
      </c>
      <c r="GG98" s="138">
        <f t="shared" si="291"/>
        <v>1.5748031496062995E-2</v>
      </c>
      <c r="GH98" s="138">
        <f t="shared" si="292"/>
        <v>0</v>
      </c>
      <c r="GI98" s="238">
        <f t="shared" si="293"/>
        <v>0</v>
      </c>
      <c r="GJ98" s="216">
        <f t="shared" si="183"/>
        <v>0.25</v>
      </c>
      <c r="GK98" s="216">
        <f t="shared" si="184"/>
        <v>1.5748031496062995E-2</v>
      </c>
      <c r="GL98" s="17">
        <f t="shared" si="185"/>
        <v>1.5748031496062995E-2</v>
      </c>
      <c r="GM98" s="216">
        <f t="shared" si="294"/>
        <v>5.9068902637131725E-3</v>
      </c>
      <c r="GN98" s="2">
        <f t="shared" si="187"/>
        <v>1</v>
      </c>
      <c r="GO98" s="2">
        <f t="shared" si="188"/>
        <v>2</v>
      </c>
      <c r="GP98" s="142">
        <f t="shared" si="189"/>
        <v>2</v>
      </c>
      <c r="GQ98" s="2">
        <f t="shared" si="190"/>
        <v>1.5748031496062995E-2</v>
      </c>
      <c r="GR98" s="8">
        <f t="shared" si="295"/>
        <v>6.2162834916754971E-2</v>
      </c>
      <c r="GS98" s="138">
        <f t="shared" si="191"/>
        <v>0.25</v>
      </c>
      <c r="GT98" s="12">
        <f t="shared" si="296"/>
        <v>5152.6287127500791</v>
      </c>
      <c r="GU98" s="138">
        <f t="shared" si="192"/>
        <v>0.25</v>
      </c>
      <c r="GV98" s="116">
        <f t="shared" si="193"/>
        <v>2175570</v>
      </c>
      <c r="GW98" s="2">
        <f t="shared" si="297"/>
        <v>1.5748031496062995E-2</v>
      </c>
      <c r="GX98" s="8">
        <f t="shared" si="298"/>
        <v>1.8992126592</v>
      </c>
      <c r="GY98" s="116">
        <f t="shared" si="194"/>
        <v>2610.6840000000002</v>
      </c>
      <c r="GZ98" s="217">
        <f t="shared" si="195"/>
        <v>4.4885657808185897</v>
      </c>
      <c r="HA98" s="207">
        <f t="shared" si="196"/>
        <v>2</v>
      </c>
      <c r="HB98" s="144">
        <f t="shared" si="197"/>
        <v>186026.85151252322</v>
      </c>
      <c r="HC98" s="138">
        <f t="shared" si="299"/>
        <v>0.25</v>
      </c>
      <c r="HD98" s="116">
        <f t="shared" si="198"/>
        <v>2175570</v>
      </c>
      <c r="HE98" s="2">
        <f t="shared" si="300"/>
        <v>1.5748031496062995E-2</v>
      </c>
      <c r="HF98" s="8">
        <f t="shared" si="199"/>
        <v>1.8992126592</v>
      </c>
      <c r="HG98" s="116">
        <f t="shared" si="200"/>
        <v>2610.6840000000002</v>
      </c>
      <c r="HH98" s="217">
        <f t="shared" si="201"/>
        <v>4.4885657808185897</v>
      </c>
      <c r="HI98" s="207">
        <f t="shared" si="202"/>
        <v>2</v>
      </c>
      <c r="HJ98" s="144">
        <f t="shared" si="203"/>
        <v>186026.85151252322</v>
      </c>
      <c r="HK98" s="138">
        <f t="shared" si="301"/>
        <v>0.25</v>
      </c>
      <c r="HL98" s="116">
        <f t="shared" si="204"/>
        <v>2175570</v>
      </c>
      <c r="HM98" s="2">
        <f t="shared" si="302"/>
        <v>1.5748031496062995E-2</v>
      </c>
      <c r="HN98" s="8">
        <f t="shared" si="205"/>
        <v>1.8992126592</v>
      </c>
      <c r="HO98" s="116">
        <f t="shared" si="206"/>
        <v>2610.6840000000002</v>
      </c>
      <c r="HP98" s="217">
        <f t="shared" si="207"/>
        <v>4.4885657808185897</v>
      </c>
      <c r="HQ98" s="207">
        <f t="shared" si="208"/>
        <v>2</v>
      </c>
      <c r="HR98" s="144">
        <f t="shared" si="209"/>
        <v>186026.85151252322</v>
      </c>
      <c r="HS98" s="128">
        <f t="shared" si="210"/>
        <v>0.25</v>
      </c>
      <c r="HT98" s="2">
        <f t="shared" si="211"/>
        <v>1.5748031496062995E-2</v>
      </c>
      <c r="HU98" s="127">
        <f t="shared" si="212"/>
        <v>1.5748031496062995E-2</v>
      </c>
      <c r="HV98" s="216">
        <f t="shared" si="213"/>
        <v>0</v>
      </c>
      <c r="HW98" s="138">
        <f t="shared" si="214"/>
        <v>0.25</v>
      </c>
      <c r="HX98" s="138">
        <f t="shared" si="215"/>
        <v>0</v>
      </c>
      <c r="HY98" s="238">
        <f t="shared" si="216"/>
        <v>0</v>
      </c>
      <c r="HZ98" s="138">
        <f t="shared" si="217"/>
        <v>0</v>
      </c>
      <c r="IA98" s="138">
        <f t="shared" si="218"/>
        <v>0.25</v>
      </c>
      <c r="IB98" s="138">
        <f t="shared" si="219"/>
        <v>0</v>
      </c>
      <c r="IC98" s="138">
        <f t="shared" si="220"/>
        <v>0</v>
      </c>
      <c r="ID98" s="216">
        <f t="shared" si="221"/>
        <v>0</v>
      </c>
      <c r="IE98" s="138">
        <f t="shared" si="222"/>
        <v>1.5748031496062995E-2</v>
      </c>
      <c r="IF98" s="138">
        <f t="shared" si="223"/>
        <v>0</v>
      </c>
      <c r="IG98" s="238">
        <f t="shared" si="224"/>
        <v>0</v>
      </c>
      <c r="IH98" s="138">
        <f t="shared" si="225"/>
        <v>0</v>
      </c>
      <c r="II98" s="138">
        <f t="shared" si="226"/>
        <v>1.5748031496062995E-2</v>
      </c>
      <c r="IJ98" s="138">
        <f t="shared" si="227"/>
        <v>0</v>
      </c>
      <c r="IK98" s="138">
        <f t="shared" si="228"/>
        <v>0</v>
      </c>
      <c r="IL98" s="216">
        <f t="shared" si="229"/>
        <v>0</v>
      </c>
      <c r="IM98" s="138">
        <f t="shared" si="230"/>
        <v>1.5748031496062995E-2</v>
      </c>
      <c r="IN98" s="138">
        <f t="shared" si="231"/>
        <v>0</v>
      </c>
      <c r="IO98" s="238">
        <f t="shared" si="232"/>
        <v>0</v>
      </c>
      <c r="IP98" s="138">
        <f t="shared" si="233"/>
        <v>0</v>
      </c>
      <c r="IQ98" s="138">
        <f t="shared" si="234"/>
        <v>1.5748031496062995E-2</v>
      </c>
      <c r="IR98" s="138">
        <f t="shared" si="235"/>
        <v>0</v>
      </c>
      <c r="IS98" s="138">
        <f t="shared" si="236"/>
        <v>0</v>
      </c>
      <c r="IT98" s="17">
        <f t="shared" si="237"/>
        <v>0.25</v>
      </c>
      <c r="IU98" s="17">
        <f t="shared" si="238"/>
        <v>1.5748031496062995E-2</v>
      </c>
      <c r="IV98" s="17">
        <f t="shared" si="239"/>
        <v>1.5748031496062995E-2</v>
      </c>
      <c r="IW98" s="253">
        <f t="shared" si="240"/>
        <v>10.551181440000001</v>
      </c>
      <c r="IX98" s="116">
        <f t="shared" si="303"/>
        <v>202.71691679919172</v>
      </c>
      <c r="IY98" s="8">
        <f t="shared" si="242"/>
        <v>5.241305299279974E-3</v>
      </c>
      <c r="IZ98" s="8">
        <f t="shared" si="243"/>
        <v>5.241305299279974E-3</v>
      </c>
      <c r="JA98" s="8">
        <f t="shared" si="244"/>
        <v>2.620652649639987E-3</v>
      </c>
      <c r="JB98" s="134">
        <f t="shared" si="245"/>
        <v>5.1192310454207739E-2</v>
      </c>
      <c r="JC98" s="170">
        <f t="shared" si="259"/>
        <v>3.3006550714747922E-3</v>
      </c>
      <c r="JD98" s="272">
        <f t="shared" si="260"/>
        <v>5.7451327847794713E-2</v>
      </c>
      <c r="JE98" s="8"/>
      <c r="JF98" s="8"/>
    </row>
    <row r="99" spans="1:266" x14ac:dyDescent="0.25">
      <c r="A99" s="186">
        <v>39</v>
      </c>
      <c r="B99" s="187">
        <f>A99/100*'Inputs-Imperial'!$E$5</f>
        <v>3.8385828000000002</v>
      </c>
      <c r="C99" s="188">
        <f>'Inputs-Imperial'!$E$10+('Inputs-Imperial'!$E$9-'Inputs-Imperial'!$E$10)*(100-A99)/100</f>
        <v>1.7486877199999999</v>
      </c>
      <c r="D99" s="187">
        <f t="shared" si="248"/>
        <v>9.8425199999999879E-2</v>
      </c>
      <c r="E99" s="188">
        <f t="shared" si="249"/>
        <v>0.1725993145782958</v>
      </c>
      <c r="F99" s="423">
        <f>Loads!P59</f>
        <v>63.92246549539923</v>
      </c>
      <c r="G99" s="423">
        <f>Loads!M59</f>
        <v>639.22465495399194</v>
      </c>
      <c r="H99" s="423">
        <f>Loads!N59</f>
        <v>1718.1645332033995</v>
      </c>
      <c r="I99" s="423">
        <f>Loads!V59</f>
        <v>-518.38337005251219</v>
      </c>
      <c r="J99" s="423">
        <f>Loads!Q59</f>
        <v>171.81645332034</v>
      </c>
      <c r="K99" s="2">
        <v>39</v>
      </c>
      <c r="L99" s="12">
        <f t="shared" si="41"/>
        <v>46.062993599999999</v>
      </c>
      <c r="M99" s="11">
        <f t="shared" si="42"/>
        <v>20.984252640000001</v>
      </c>
      <c r="N99" s="11">
        <f t="shared" si="43"/>
        <v>1.1811023999999986</v>
      </c>
      <c r="O99" s="152">
        <f t="shared" si="44"/>
        <v>24.854301299274596</v>
      </c>
      <c r="P99" s="151">
        <f t="shared" si="45"/>
        <v>63.92246549539923</v>
      </c>
      <c r="Q99" s="12">
        <f t="shared" si="46"/>
        <v>639.22465495399194</v>
      </c>
      <c r="R99" s="12">
        <f t="shared" si="47"/>
        <v>20617.974398440794</v>
      </c>
      <c r="S99" s="12">
        <f t="shared" si="48"/>
        <v>-6220.6004406301463</v>
      </c>
      <c r="T99" s="152">
        <f t="shared" si="49"/>
        <v>2061.7974398440801</v>
      </c>
      <c r="U99" s="8">
        <f t="shared" si="261"/>
        <v>3.7771654751999999</v>
      </c>
      <c r="V99" s="8">
        <f t="shared" si="262"/>
        <v>3.7771654751999999</v>
      </c>
      <c r="W99" s="134">
        <f t="shared" si="263"/>
        <v>1.8885827376</v>
      </c>
      <c r="X99" s="311">
        <f t="shared" si="264"/>
        <v>5.2460631600000003</v>
      </c>
      <c r="Y99" s="11">
        <f t="shared" si="265"/>
        <v>15.738189480000001</v>
      </c>
      <c r="Z99" s="11">
        <f t="shared" si="266"/>
        <v>10.492126320000001</v>
      </c>
      <c r="AA99" s="316">
        <f t="shared" si="50"/>
        <v>15.738189480000001</v>
      </c>
      <c r="AB99" s="170">
        <f t="shared" si="51"/>
        <v>2.8328741063999998</v>
      </c>
      <c r="AC99" s="11">
        <f t="shared" si="52"/>
        <v>15.738189480000001</v>
      </c>
      <c r="AD99" s="152">
        <f t="shared" si="53"/>
        <v>35.016434765841758</v>
      </c>
      <c r="AE99" s="151">
        <f t="shared" si="267"/>
        <v>4.061614938403908</v>
      </c>
      <c r="AF99" s="12">
        <f t="shared" si="268"/>
        <v>88.824011956498353</v>
      </c>
      <c r="AG99" s="216">
        <f t="shared" si="269"/>
        <v>6.0854795138667152E-3</v>
      </c>
      <c r="AH99" s="2">
        <f t="shared" si="55"/>
        <v>1</v>
      </c>
      <c r="AI99" s="2">
        <f t="shared" si="56"/>
        <v>3</v>
      </c>
      <c r="AJ99" s="127">
        <f t="shared" si="57"/>
        <v>2</v>
      </c>
      <c r="AK99" s="2">
        <f t="shared" si="58"/>
        <v>1.5748031496062995E-2</v>
      </c>
      <c r="AL99" s="8">
        <f t="shared" si="270"/>
        <v>6.4042269539639443E-2</v>
      </c>
      <c r="AM99" s="138">
        <f t="shared" si="59"/>
        <v>0.25</v>
      </c>
      <c r="AN99" s="12">
        <f t="shared" si="271"/>
        <v>5308.4135770436633</v>
      </c>
      <c r="AO99" s="138">
        <f t="shared" si="60"/>
        <v>0.25</v>
      </c>
      <c r="AP99" s="116">
        <f t="shared" si="61"/>
        <v>2175570</v>
      </c>
      <c r="AQ99" s="2">
        <f t="shared" si="62"/>
        <v>1.5748031496062995E-2</v>
      </c>
      <c r="AR99" s="8">
        <f t="shared" si="63"/>
        <v>10.492126320000001</v>
      </c>
      <c r="AS99" s="116">
        <f t="shared" si="64"/>
        <v>2610.6840000000002</v>
      </c>
      <c r="AT99" s="217">
        <f t="shared" si="65"/>
        <v>0.14707124395502913</v>
      </c>
      <c r="AU99" s="207">
        <f t="shared" si="66"/>
        <v>3.4655513307463908</v>
      </c>
      <c r="AV99" s="144">
        <f t="shared" si="67"/>
        <v>10561.80506153012</v>
      </c>
      <c r="AW99" s="138">
        <f t="shared" si="68"/>
        <v>0.25</v>
      </c>
      <c r="AX99" s="116">
        <f t="shared" si="69"/>
        <v>2175570</v>
      </c>
      <c r="AY99" s="2">
        <f t="shared" si="70"/>
        <v>1.5748031496062995E-2</v>
      </c>
      <c r="AZ99" s="8">
        <f t="shared" si="71"/>
        <v>10.492126320000001</v>
      </c>
      <c r="BA99" s="116">
        <f t="shared" si="72"/>
        <v>2610.6840000000002</v>
      </c>
      <c r="BB99" s="217">
        <f t="shared" si="73"/>
        <v>0.14707124395502913</v>
      </c>
      <c r="BC99" s="207">
        <f t="shared" si="74"/>
        <v>3.4655513307463908</v>
      </c>
      <c r="BD99" s="144">
        <f t="shared" si="75"/>
        <v>10561.80506153012</v>
      </c>
      <c r="BE99" s="138">
        <f t="shared" si="76"/>
        <v>0.25</v>
      </c>
      <c r="BF99" s="116">
        <f t="shared" si="77"/>
        <v>2175570</v>
      </c>
      <c r="BG99" s="2">
        <f t="shared" si="78"/>
        <v>1.5748031496062995E-2</v>
      </c>
      <c r="BH99" s="8">
        <f t="shared" si="79"/>
        <v>10.492126320000001</v>
      </c>
      <c r="BI99" s="116">
        <f t="shared" si="80"/>
        <v>2610.6840000000002</v>
      </c>
      <c r="BJ99" s="217">
        <f t="shared" si="81"/>
        <v>0.14707124395502913</v>
      </c>
      <c r="BK99" s="207">
        <f t="shared" si="82"/>
        <v>3.4655513307463908</v>
      </c>
      <c r="BL99" s="144">
        <f t="shared" si="83"/>
        <v>10561.80506153012</v>
      </c>
      <c r="BM99" s="216">
        <f t="shared" si="84"/>
        <v>0.25</v>
      </c>
      <c r="BN99" s="216">
        <f t="shared" si="85"/>
        <v>2.3622047244094495E-2</v>
      </c>
      <c r="BO99" s="238">
        <f t="shared" si="86"/>
        <v>1.5748031496062995E-2</v>
      </c>
      <c r="BP99" s="216">
        <f t="shared" si="87"/>
        <v>0</v>
      </c>
      <c r="BQ99" s="138">
        <f t="shared" si="88"/>
        <v>0.25</v>
      </c>
      <c r="BR99" s="138">
        <f t="shared" si="89"/>
        <v>0</v>
      </c>
      <c r="BS99" s="238">
        <f t="shared" si="90"/>
        <v>0</v>
      </c>
      <c r="BT99" s="138">
        <f t="shared" si="91"/>
        <v>0</v>
      </c>
      <c r="BU99" s="138">
        <f t="shared" si="92"/>
        <v>0.25</v>
      </c>
      <c r="BV99" s="138">
        <f t="shared" si="93"/>
        <v>0</v>
      </c>
      <c r="BW99" s="238">
        <f t="shared" si="94"/>
        <v>0</v>
      </c>
      <c r="BX99" s="216">
        <f t="shared" si="95"/>
        <v>0</v>
      </c>
      <c r="BY99" s="138">
        <f t="shared" si="96"/>
        <v>2.3622047244094495E-2</v>
      </c>
      <c r="BZ99" s="138">
        <f t="shared" si="97"/>
        <v>0</v>
      </c>
      <c r="CA99" s="238">
        <f t="shared" si="98"/>
        <v>0</v>
      </c>
      <c r="CB99" s="138">
        <f t="shared" si="99"/>
        <v>0</v>
      </c>
      <c r="CC99" s="138">
        <f t="shared" si="100"/>
        <v>2.3622047244094495E-2</v>
      </c>
      <c r="CD99" s="138">
        <f t="shared" si="101"/>
        <v>0</v>
      </c>
      <c r="CE99" s="238">
        <f t="shared" si="102"/>
        <v>0</v>
      </c>
      <c r="CF99" s="216">
        <f t="shared" si="103"/>
        <v>0</v>
      </c>
      <c r="CG99" s="138">
        <f t="shared" si="104"/>
        <v>1.5748031496062995E-2</v>
      </c>
      <c r="CH99" s="138">
        <f t="shared" si="105"/>
        <v>0</v>
      </c>
      <c r="CI99" s="238">
        <f t="shared" si="106"/>
        <v>0</v>
      </c>
      <c r="CJ99" s="138">
        <f t="shared" si="107"/>
        <v>0</v>
      </c>
      <c r="CK99" s="138">
        <f t="shared" si="108"/>
        <v>1.5748031496062995E-2</v>
      </c>
      <c r="CL99" s="138">
        <f t="shared" si="109"/>
        <v>0</v>
      </c>
      <c r="CM99" s="238">
        <f t="shared" si="110"/>
        <v>0</v>
      </c>
      <c r="CN99" s="17">
        <f t="shared" si="111"/>
        <v>0.25</v>
      </c>
      <c r="CO99" s="17">
        <f t="shared" si="112"/>
        <v>2.3622047244094495E-2</v>
      </c>
      <c r="CP99" s="17">
        <f t="shared" si="113"/>
        <v>1.5748031496062995E-2</v>
      </c>
      <c r="CQ99" s="17">
        <f>$U99-IF('Inputs-Imperial'!$E$13,0,2)*($CO99+$CN99+$CP99)</f>
        <v>3.7771654751999999</v>
      </c>
      <c r="CR99" s="116">
        <f t="shared" si="114"/>
        <v>5458.5838332510648</v>
      </c>
      <c r="CS99" s="8">
        <f t="shared" si="10"/>
        <v>0.14113328489562385</v>
      </c>
      <c r="CT99" s="8">
        <f t="shared" si="115"/>
        <v>0.37567710190484577</v>
      </c>
      <c r="CU99" s="8">
        <f t="shared" si="272"/>
        <v>0.14113328489562385</v>
      </c>
      <c r="CV99" s="8">
        <f t="shared" si="116"/>
        <v>0.37567710190484577</v>
      </c>
      <c r="CW99" s="216">
        <f t="shared" si="117"/>
        <v>3.401488373295154</v>
      </c>
      <c r="CX99" s="116">
        <f t="shared" si="118"/>
        <v>6061.4566729996968</v>
      </c>
      <c r="CY99" s="8">
        <f t="shared" si="119"/>
        <v>0.15672073886670293</v>
      </c>
      <c r="CZ99" s="8">
        <f t="shared" si="120"/>
        <v>0.39587970251921595</v>
      </c>
      <c r="DA99" s="8">
        <f t="shared" si="121"/>
        <v>0.15672073886670293</v>
      </c>
      <c r="DB99" s="8">
        <f t="shared" si="122"/>
        <v>0.39587970251921595</v>
      </c>
      <c r="DC99" s="216">
        <f t="shared" si="123"/>
        <v>3.3812857726807839</v>
      </c>
      <c r="DD99" s="116">
        <f t="shared" si="124"/>
        <v>6097.6728335192593</v>
      </c>
      <c r="DE99" s="8">
        <f t="shared" si="125"/>
        <v>0.15765711831173362</v>
      </c>
      <c r="DF99" s="8">
        <f t="shared" si="126"/>
        <v>0.39706059778292485</v>
      </c>
      <c r="DG99" s="8">
        <f t="shared" si="127"/>
        <v>0.15765711831173362</v>
      </c>
      <c r="DH99" s="8">
        <f t="shared" si="128"/>
        <v>0.39706059778292485</v>
      </c>
      <c r="DI99" s="216">
        <f t="shared" si="129"/>
        <v>3.3801048774170748</v>
      </c>
      <c r="DJ99" s="116">
        <f t="shared" si="130"/>
        <v>6099.8031558701605</v>
      </c>
      <c r="DK99" s="8">
        <f t="shared" si="131"/>
        <v>0.1577121984205043</v>
      </c>
      <c r="DL99" s="8">
        <f t="shared" si="132"/>
        <v>0.39712995155302033</v>
      </c>
      <c r="DM99" s="8">
        <f t="shared" si="133"/>
        <v>0.1577121984205043</v>
      </c>
      <c r="DN99" s="8">
        <f t="shared" si="134"/>
        <v>0.39712995155302033</v>
      </c>
      <c r="DO99" s="216">
        <f t="shared" si="135"/>
        <v>3.3800355236469799</v>
      </c>
      <c r="DP99" s="116">
        <f t="shared" si="136"/>
        <v>6099.92831560376</v>
      </c>
      <c r="DQ99" s="170">
        <f t="shared" si="137"/>
        <v>0.15771543446210026</v>
      </c>
      <c r="DR99" s="8">
        <f t="shared" si="138"/>
        <v>0.39713402581760765</v>
      </c>
      <c r="DS99" s="8">
        <f t="shared" si="139"/>
        <v>0.15771543446210026</v>
      </c>
      <c r="DT99" s="134">
        <f t="shared" si="140"/>
        <v>0.39713402581760765</v>
      </c>
      <c r="DU99" s="170">
        <f t="shared" si="258"/>
        <v>0.20712205586855234</v>
      </c>
      <c r="DV99" s="170">
        <f t="shared" si="258"/>
        <v>0.45510664230326536</v>
      </c>
      <c r="DW99" s="170">
        <f t="shared" si="258"/>
        <v>0.20712205586855234</v>
      </c>
      <c r="DX99" s="272">
        <f t="shared" si="258"/>
        <v>0.45510664230326536</v>
      </c>
      <c r="DY99" s="272">
        <f t="shared" si="142"/>
        <v>2.866952190593469</v>
      </c>
      <c r="DZ99" s="22">
        <f t="shared" si="273"/>
        <v>169.23395576682941</v>
      </c>
      <c r="EA99" s="216">
        <f t="shared" si="274"/>
        <v>1.1087504119824027E-2</v>
      </c>
      <c r="EB99" s="12">
        <f t="shared" si="143"/>
        <v>2</v>
      </c>
      <c r="EC99" s="7">
        <f>ROUND(MAX(DV99,DX99)/'Inputs-Imperial'!$E$21,0)</f>
        <v>4</v>
      </c>
      <c r="ED99" s="12">
        <f t="shared" si="144"/>
        <v>4</v>
      </c>
      <c r="EE99" s="2">
        <f t="shared" si="145"/>
        <v>2</v>
      </c>
      <c r="EF99" s="127">
        <f t="shared" si="146"/>
        <v>2</v>
      </c>
      <c r="EG99" s="2">
        <f t="shared" si="147"/>
        <v>1.5748031496062995E-2</v>
      </c>
      <c r="EH99" s="8">
        <f t="shared" si="275"/>
        <v>0.11668249408212289</v>
      </c>
      <c r="EI99" s="138">
        <f t="shared" si="148"/>
        <v>0.25</v>
      </c>
      <c r="EJ99" s="12">
        <f t="shared" si="276"/>
        <v>9671.7205720742986</v>
      </c>
      <c r="EK99" s="138">
        <f t="shared" si="149"/>
        <v>0.25</v>
      </c>
      <c r="EL99" s="116">
        <f t="shared" si="150"/>
        <v>2175570</v>
      </c>
      <c r="EM99" s="2">
        <f t="shared" si="277"/>
        <v>1.5748031496062995E-2</v>
      </c>
      <c r="EN99" s="8">
        <f t="shared" si="151"/>
        <v>3.7771654751999999</v>
      </c>
      <c r="EO99" s="116">
        <f t="shared" si="152"/>
        <v>2610.6840000000002</v>
      </c>
      <c r="EP99" s="217">
        <f t="shared" si="153"/>
        <v>1.1348089811344839</v>
      </c>
      <c r="EQ99" s="207">
        <f t="shared" si="154"/>
        <v>2</v>
      </c>
      <c r="ER99" s="144">
        <f t="shared" si="155"/>
        <v>47031.713945402567</v>
      </c>
      <c r="ES99" s="138">
        <f t="shared" si="278"/>
        <v>0.25</v>
      </c>
      <c r="ET99" s="116">
        <f t="shared" si="156"/>
        <v>2175570</v>
      </c>
      <c r="EU99" s="2">
        <f t="shared" si="279"/>
        <v>1.5748031496062995E-2</v>
      </c>
      <c r="EV99" s="8">
        <f t="shared" si="157"/>
        <v>3.7771654751999999</v>
      </c>
      <c r="EW99" s="116">
        <f t="shared" si="158"/>
        <v>2610.6840000000002</v>
      </c>
      <c r="EX99" s="217">
        <f t="shared" si="159"/>
        <v>1.1348089811344839</v>
      </c>
      <c r="EY99" s="207">
        <f t="shared" si="160"/>
        <v>2</v>
      </c>
      <c r="EZ99" s="144">
        <f t="shared" si="161"/>
        <v>47031.713945402567</v>
      </c>
      <c r="FA99" s="138">
        <f t="shared" si="280"/>
        <v>0.25</v>
      </c>
      <c r="FB99" s="116">
        <f t="shared" si="162"/>
        <v>2175570</v>
      </c>
      <c r="FC99" s="2">
        <f t="shared" si="281"/>
        <v>1.5748031496062995E-2</v>
      </c>
      <c r="FD99" s="8">
        <f t="shared" si="163"/>
        <v>3.7771654751999999</v>
      </c>
      <c r="FE99" s="116">
        <f t="shared" si="164"/>
        <v>2610.6840000000002</v>
      </c>
      <c r="FF99" s="217">
        <f t="shared" si="165"/>
        <v>1.1348089811344839</v>
      </c>
      <c r="FG99" s="207">
        <f t="shared" si="166"/>
        <v>2</v>
      </c>
      <c r="FH99" s="144">
        <f t="shared" si="167"/>
        <v>47031.713945402567</v>
      </c>
      <c r="FI99" s="128">
        <f t="shared" si="168"/>
        <v>0.25</v>
      </c>
      <c r="FJ99" s="2">
        <f t="shared" si="169"/>
        <v>1.5748031496062995E-2</v>
      </c>
      <c r="FK99" s="127">
        <f t="shared" si="170"/>
        <v>1.5748031496062995E-2</v>
      </c>
      <c r="FL99" s="216">
        <f t="shared" si="171"/>
        <v>0</v>
      </c>
      <c r="FM99" s="138">
        <f t="shared" si="172"/>
        <v>0.25</v>
      </c>
      <c r="FN99" s="138">
        <f t="shared" si="173"/>
        <v>0</v>
      </c>
      <c r="FO99" s="238">
        <f t="shared" si="174"/>
        <v>0</v>
      </c>
      <c r="FP99" s="216">
        <f t="shared" si="282"/>
        <v>0</v>
      </c>
      <c r="FQ99" s="138">
        <f t="shared" si="283"/>
        <v>0.25</v>
      </c>
      <c r="FR99" s="138">
        <f t="shared" si="284"/>
        <v>0</v>
      </c>
      <c r="FS99" s="238">
        <f t="shared" si="285"/>
        <v>0</v>
      </c>
      <c r="FT99" s="216">
        <f t="shared" si="175"/>
        <v>0</v>
      </c>
      <c r="FU99" s="138">
        <f t="shared" si="176"/>
        <v>1.5748031496062995E-2</v>
      </c>
      <c r="FV99" s="138">
        <f t="shared" si="177"/>
        <v>0</v>
      </c>
      <c r="FW99" s="238">
        <f t="shared" si="178"/>
        <v>0</v>
      </c>
      <c r="FX99" s="216">
        <f t="shared" si="286"/>
        <v>0</v>
      </c>
      <c r="FY99" s="138">
        <f t="shared" si="287"/>
        <v>1.5748031496062995E-2</v>
      </c>
      <c r="FZ99" s="138">
        <f t="shared" si="288"/>
        <v>0</v>
      </c>
      <c r="GA99" s="238">
        <f t="shared" si="289"/>
        <v>0</v>
      </c>
      <c r="GB99" s="216">
        <f t="shared" si="179"/>
        <v>0</v>
      </c>
      <c r="GC99" s="138">
        <f t="shared" si="180"/>
        <v>1.5748031496062995E-2</v>
      </c>
      <c r="GD99" s="138">
        <f t="shared" si="181"/>
        <v>0</v>
      </c>
      <c r="GE99" s="238">
        <f t="shared" si="182"/>
        <v>0</v>
      </c>
      <c r="GF99" s="216">
        <f t="shared" si="290"/>
        <v>0</v>
      </c>
      <c r="GG99" s="138">
        <f t="shared" si="291"/>
        <v>1.5748031496062995E-2</v>
      </c>
      <c r="GH99" s="138">
        <f t="shared" si="292"/>
        <v>0</v>
      </c>
      <c r="GI99" s="238">
        <f t="shared" si="293"/>
        <v>0</v>
      </c>
      <c r="GJ99" s="216">
        <f t="shared" si="183"/>
        <v>0.25</v>
      </c>
      <c r="GK99" s="216">
        <f t="shared" si="184"/>
        <v>1.5748031496062995E-2</v>
      </c>
      <c r="GL99" s="17">
        <f t="shared" si="185"/>
        <v>1.5748031496062995E-2</v>
      </c>
      <c r="GM99" s="216">
        <f t="shared" si="294"/>
        <v>5.8193794149909387E-3</v>
      </c>
      <c r="GN99" s="2">
        <f t="shared" si="187"/>
        <v>1</v>
      </c>
      <c r="GO99" s="2">
        <f t="shared" si="188"/>
        <v>2</v>
      </c>
      <c r="GP99" s="142">
        <f t="shared" si="189"/>
        <v>2</v>
      </c>
      <c r="GQ99" s="2">
        <f t="shared" si="190"/>
        <v>1.5748031496062995E-2</v>
      </c>
      <c r="GR99" s="8">
        <f t="shared" si="295"/>
        <v>6.1241889681668493E-2</v>
      </c>
      <c r="GS99" s="138">
        <f t="shared" si="191"/>
        <v>0.25</v>
      </c>
      <c r="GT99" s="12">
        <f t="shared" si="296"/>
        <v>5076.29228331388</v>
      </c>
      <c r="GU99" s="138">
        <f t="shared" si="192"/>
        <v>0.25</v>
      </c>
      <c r="GV99" s="116">
        <f t="shared" si="193"/>
        <v>2175570</v>
      </c>
      <c r="GW99" s="2">
        <f t="shared" si="297"/>
        <v>1.5748031496062995E-2</v>
      </c>
      <c r="GX99" s="8">
        <f t="shared" si="298"/>
        <v>1.8885827376</v>
      </c>
      <c r="GY99" s="116">
        <f t="shared" si="194"/>
        <v>2610.6840000000002</v>
      </c>
      <c r="GZ99" s="217">
        <f t="shared" si="195"/>
        <v>4.5392359245379357</v>
      </c>
      <c r="HA99" s="207">
        <f t="shared" si="196"/>
        <v>2</v>
      </c>
      <c r="HB99" s="144">
        <f t="shared" si="197"/>
        <v>188126.85578161027</v>
      </c>
      <c r="HC99" s="138">
        <f t="shared" si="299"/>
        <v>0.25</v>
      </c>
      <c r="HD99" s="116">
        <f t="shared" si="198"/>
        <v>2175570</v>
      </c>
      <c r="HE99" s="2">
        <f t="shared" si="300"/>
        <v>1.5748031496062995E-2</v>
      </c>
      <c r="HF99" s="8">
        <f t="shared" si="199"/>
        <v>1.8885827376</v>
      </c>
      <c r="HG99" s="116">
        <f t="shared" si="200"/>
        <v>2610.6840000000002</v>
      </c>
      <c r="HH99" s="217">
        <f t="shared" si="201"/>
        <v>4.5392359245379357</v>
      </c>
      <c r="HI99" s="207">
        <f t="shared" si="202"/>
        <v>2</v>
      </c>
      <c r="HJ99" s="144">
        <f t="shared" si="203"/>
        <v>188126.85578161027</v>
      </c>
      <c r="HK99" s="138">
        <f t="shared" si="301"/>
        <v>0.25</v>
      </c>
      <c r="HL99" s="116">
        <f t="shared" si="204"/>
        <v>2175570</v>
      </c>
      <c r="HM99" s="2">
        <f t="shared" si="302"/>
        <v>1.5748031496062995E-2</v>
      </c>
      <c r="HN99" s="8">
        <f t="shared" si="205"/>
        <v>1.8885827376</v>
      </c>
      <c r="HO99" s="116">
        <f t="shared" si="206"/>
        <v>2610.6840000000002</v>
      </c>
      <c r="HP99" s="217">
        <f t="shared" si="207"/>
        <v>4.5392359245379357</v>
      </c>
      <c r="HQ99" s="207">
        <f t="shared" si="208"/>
        <v>2</v>
      </c>
      <c r="HR99" s="144">
        <f t="shared" si="209"/>
        <v>188126.85578161027</v>
      </c>
      <c r="HS99" s="128">
        <f t="shared" si="210"/>
        <v>0.25</v>
      </c>
      <c r="HT99" s="2">
        <f t="shared" si="211"/>
        <v>1.5748031496062995E-2</v>
      </c>
      <c r="HU99" s="127">
        <f t="shared" si="212"/>
        <v>1.5748031496062995E-2</v>
      </c>
      <c r="HV99" s="216">
        <f t="shared" si="213"/>
        <v>0</v>
      </c>
      <c r="HW99" s="138">
        <f t="shared" si="214"/>
        <v>0.25</v>
      </c>
      <c r="HX99" s="138">
        <f t="shared" si="215"/>
        <v>0</v>
      </c>
      <c r="HY99" s="238">
        <f t="shared" si="216"/>
        <v>0</v>
      </c>
      <c r="HZ99" s="138">
        <f t="shared" si="217"/>
        <v>0</v>
      </c>
      <c r="IA99" s="138">
        <f t="shared" si="218"/>
        <v>0.25</v>
      </c>
      <c r="IB99" s="138">
        <f t="shared" si="219"/>
        <v>0</v>
      </c>
      <c r="IC99" s="138">
        <f t="shared" si="220"/>
        <v>0</v>
      </c>
      <c r="ID99" s="216">
        <f t="shared" si="221"/>
        <v>0</v>
      </c>
      <c r="IE99" s="138">
        <f t="shared" si="222"/>
        <v>1.5748031496062995E-2</v>
      </c>
      <c r="IF99" s="138">
        <f t="shared" si="223"/>
        <v>0</v>
      </c>
      <c r="IG99" s="238">
        <f t="shared" si="224"/>
        <v>0</v>
      </c>
      <c r="IH99" s="138">
        <f t="shared" si="225"/>
        <v>0</v>
      </c>
      <c r="II99" s="138">
        <f t="shared" si="226"/>
        <v>1.5748031496062995E-2</v>
      </c>
      <c r="IJ99" s="138">
        <f t="shared" si="227"/>
        <v>0</v>
      </c>
      <c r="IK99" s="138">
        <f t="shared" si="228"/>
        <v>0</v>
      </c>
      <c r="IL99" s="216">
        <f t="shared" si="229"/>
        <v>0</v>
      </c>
      <c r="IM99" s="138">
        <f t="shared" si="230"/>
        <v>1.5748031496062995E-2</v>
      </c>
      <c r="IN99" s="138">
        <f t="shared" si="231"/>
        <v>0</v>
      </c>
      <c r="IO99" s="238">
        <f t="shared" si="232"/>
        <v>0</v>
      </c>
      <c r="IP99" s="138">
        <f t="shared" si="233"/>
        <v>0</v>
      </c>
      <c r="IQ99" s="138">
        <f t="shared" si="234"/>
        <v>1.5748031496062995E-2</v>
      </c>
      <c r="IR99" s="138">
        <f t="shared" si="235"/>
        <v>0</v>
      </c>
      <c r="IS99" s="138">
        <f t="shared" si="236"/>
        <v>0</v>
      </c>
      <c r="IT99" s="17">
        <f t="shared" si="237"/>
        <v>0.25</v>
      </c>
      <c r="IU99" s="17">
        <f t="shared" si="238"/>
        <v>1.5748031496062995E-2</v>
      </c>
      <c r="IV99" s="17">
        <f t="shared" si="239"/>
        <v>1.5748031496062995E-2</v>
      </c>
      <c r="IW99" s="253">
        <f t="shared" si="240"/>
        <v>10.492126320000001</v>
      </c>
      <c r="IX99" s="116">
        <f t="shared" si="303"/>
        <v>196.50901799703837</v>
      </c>
      <c r="IY99" s="8">
        <f t="shared" si="242"/>
        <v>5.0807982562424596E-3</v>
      </c>
      <c r="IZ99" s="8">
        <f t="shared" si="243"/>
        <v>5.0807982562424596E-3</v>
      </c>
      <c r="JA99" s="8">
        <f t="shared" si="244"/>
        <v>2.5403991281212298E-3</v>
      </c>
      <c r="JB99" s="134">
        <f t="shared" si="245"/>
        <v>5.0402372246961057E-2</v>
      </c>
      <c r="JC99" s="170">
        <f t="shared" si="259"/>
        <v>3.3006550714747922E-3</v>
      </c>
      <c r="JD99" s="272">
        <f t="shared" si="260"/>
        <v>5.7451327847794713E-2</v>
      </c>
      <c r="JE99" s="8"/>
      <c r="JF99" s="8"/>
    </row>
    <row r="100" spans="1:266" x14ac:dyDescent="0.25">
      <c r="A100" s="186">
        <v>40</v>
      </c>
      <c r="B100" s="187">
        <f>A100/100*'Inputs-Imperial'!$E$5</f>
        <v>3.9370080000000005</v>
      </c>
      <c r="C100" s="188">
        <f>'Inputs-Imperial'!$E$10+('Inputs-Imperial'!$E$9-'Inputs-Imperial'!$E$10)*(100-A100)/100</f>
        <v>1.7388452000000001</v>
      </c>
      <c r="D100" s="187">
        <f t="shared" si="248"/>
        <v>9.8425200000000324E-2</v>
      </c>
      <c r="E100" s="188">
        <f t="shared" si="249"/>
        <v>0.17163056257879256</v>
      </c>
      <c r="F100" s="423">
        <f>Loads!P60</f>
        <v>62.569156520191456</v>
      </c>
      <c r="G100" s="423">
        <f>Loads!M60</f>
        <v>625.69156520191427</v>
      </c>
      <c r="H100" s="423">
        <f>Loads!N60</f>
        <v>1655.2487186946216</v>
      </c>
      <c r="I100" s="423">
        <f>Loads!V60</f>
        <v>-504.78791104648616</v>
      </c>
      <c r="J100" s="423">
        <f>Loads!Q60</f>
        <v>165.5248718694622</v>
      </c>
      <c r="K100" s="2">
        <v>40</v>
      </c>
      <c r="L100" s="12">
        <f t="shared" si="41"/>
        <v>47.244096000000006</v>
      </c>
      <c r="M100" s="11">
        <f t="shared" si="42"/>
        <v>20.866142400000001</v>
      </c>
      <c r="N100" s="11">
        <f t="shared" si="43"/>
        <v>1.1811024000000039</v>
      </c>
      <c r="O100" s="152">
        <f t="shared" si="44"/>
        <v>24.714801011346125</v>
      </c>
      <c r="P100" s="151">
        <f t="shared" si="45"/>
        <v>62.569156520191456</v>
      </c>
      <c r="Q100" s="12">
        <f t="shared" si="46"/>
        <v>625.69156520191427</v>
      </c>
      <c r="R100" s="12">
        <f t="shared" si="47"/>
        <v>19862.984624335459</v>
      </c>
      <c r="S100" s="12">
        <f t="shared" si="48"/>
        <v>-6057.4549325578337</v>
      </c>
      <c r="T100" s="152">
        <f t="shared" si="49"/>
        <v>1986.2984624335463</v>
      </c>
      <c r="U100" s="8">
        <f t="shared" si="261"/>
        <v>3.7559056320000002</v>
      </c>
      <c r="V100" s="8">
        <f t="shared" si="262"/>
        <v>3.7559056320000002</v>
      </c>
      <c r="W100" s="134">
        <f t="shared" si="263"/>
        <v>1.8779528160000001</v>
      </c>
      <c r="X100" s="311">
        <f t="shared" si="264"/>
        <v>5.2165356000000003</v>
      </c>
      <c r="Y100" s="11">
        <f t="shared" si="265"/>
        <v>15.649606800000001</v>
      </c>
      <c r="Z100" s="11">
        <f t="shared" si="266"/>
        <v>10.433071200000001</v>
      </c>
      <c r="AA100" s="316">
        <f t="shared" si="50"/>
        <v>15.649606800000001</v>
      </c>
      <c r="AB100" s="170">
        <f t="shared" si="51"/>
        <v>2.8169292239999999</v>
      </c>
      <c r="AC100" s="11">
        <f t="shared" si="52"/>
        <v>15.649606800000001</v>
      </c>
      <c r="AD100" s="152">
        <f t="shared" si="53"/>
        <v>34.623362839550097</v>
      </c>
      <c r="AE100" s="151">
        <f t="shared" si="267"/>
        <v>3.9981296220293183</v>
      </c>
      <c r="AF100" s="12">
        <f t="shared" si="268"/>
        <v>87.476409507490601</v>
      </c>
      <c r="AG100" s="216">
        <f t="shared" si="269"/>
        <v>5.9930309190134095E-3</v>
      </c>
      <c r="AH100" s="2">
        <f t="shared" si="55"/>
        <v>1</v>
      </c>
      <c r="AI100" s="2">
        <f t="shared" si="56"/>
        <v>3</v>
      </c>
      <c r="AJ100" s="127">
        <f t="shared" si="57"/>
        <v>2</v>
      </c>
      <c r="AK100" s="2">
        <f t="shared" si="58"/>
        <v>1.5748031496062995E-2</v>
      </c>
      <c r="AL100" s="8">
        <f t="shared" si="270"/>
        <v>6.3069360532770666E-2</v>
      </c>
      <c r="AM100" s="138">
        <f t="shared" si="59"/>
        <v>0.25</v>
      </c>
      <c r="AN100" s="12">
        <f t="shared" si="271"/>
        <v>5227.7699112520631</v>
      </c>
      <c r="AO100" s="138">
        <f t="shared" si="60"/>
        <v>0.25</v>
      </c>
      <c r="AP100" s="116">
        <f t="shared" si="61"/>
        <v>2175570</v>
      </c>
      <c r="AQ100" s="2">
        <f t="shared" si="62"/>
        <v>1.5748031496062995E-2</v>
      </c>
      <c r="AR100" s="8">
        <f t="shared" si="63"/>
        <v>10.433071200000001</v>
      </c>
      <c r="AS100" s="116">
        <f t="shared" si="64"/>
        <v>2610.6840000000002</v>
      </c>
      <c r="AT100" s="217">
        <f t="shared" si="65"/>
        <v>0.14874091357757305</v>
      </c>
      <c r="AU100" s="207">
        <f t="shared" si="66"/>
        <v>3.4523073672335318</v>
      </c>
      <c r="AV100" s="144">
        <f t="shared" si="67"/>
        <v>10640.889799201392</v>
      </c>
      <c r="AW100" s="138">
        <f t="shared" si="68"/>
        <v>0.25</v>
      </c>
      <c r="AX100" s="116">
        <f t="shared" si="69"/>
        <v>2175570</v>
      </c>
      <c r="AY100" s="2">
        <f t="shared" si="70"/>
        <v>1.5748031496062995E-2</v>
      </c>
      <c r="AZ100" s="8">
        <f t="shared" si="71"/>
        <v>10.433071200000001</v>
      </c>
      <c r="BA100" s="116">
        <f t="shared" si="72"/>
        <v>2610.6840000000002</v>
      </c>
      <c r="BB100" s="217">
        <f t="shared" si="73"/>
        <v>0.14874091357757305</v>
      </c>
      <c r="BC100" s="207">
        <f t="shared" si="74"/>
        <v>3.4523073672335318</v>
      </c>
      <c r="BD100" s="144">
        <f t="shared" si="75"/>
        <v>10640.889799201392</v>
      </c>
      <c r="BE100" s="138">
        <f t="shared" si="76"/>
        <v>0.25</v>
      </c>
      <c r="BF100" s="116">
        <f t="shared" si="77"/>
        <v>2175570</v>
      </c>
      <c r="BG100" s="2">
        <f t="shared" si="78"/>
        <v>1.5748031496062995E-2</v>
      </c>
      <c r="BH100" s="8">
        <f t="shared" si="79"/>
        <v>10.433071200000001</v>
      </c>
      <c r="BI100" s="116">
        <f t="shared" si="80"/>
        <v>2610.6840000000002</v>
      </c>
      <c r="BJ100" s="217">
        <f t="shared" si="81"/>
        <v>0.14874091357757305</v>
      </c>
      <c r="BK100" s="207">
        <f t="shared" si="82"/>
        <v>3.4523073672335318</v>
      </c>
      <c r="BL100" s="144">
        <f t="shared" si="83"/>
        <v>10640.889799201392</v>
      </c>
      <c r="BM100" s="216">
        <f t="shared" si="84"/>
        <v>0.25</v>
      </c>
      <c r="BN100" s="216">
        <f t="shared" si="85"/>
        <v>2.3622047244094495E-2</v>
      </c>
      <c r="BO100" s="238">
        <f t="shared" si="86"/>
        <v>1.5748031496062995E-2</v>
      </c>
      <c r="BP100" s="216">
        <f t="shared" si="87"/>
        <v>0</v>
      </c>
      <c r="BQ100" s="138">
        <f t="shared" si="88"/>
        <v>0.25</v>
      </c>
      <c r="BR100" s="138">
        <f t="shared" si="89"/>
        <v>0</v>
      </c>
      <c r="BS100" s="238">
        <f t="shared" si="90"/>
        <v>0</v>
      </c>
      <c r="BT100" s="138">
        <f t="shared" si="91"/>
        <v>0</v>
      </c>
      <c r="BU100" s="138">
        <f t="shared" si="92"/>
        <v>0.25</v>
      </c>
      <c r="BV100" s="138">
        <f t="shared" si="93"/>
        <v>0</v>
      </c>
      <c r="BW100" s="238">
        <f t="shared" si="94"/>
        <v>0</v>
      </c>
      <c r="BX100" s="216">
        <f t="shared" si="95"/>
        <v>0</v>
      </c>
      <c r="BY100" s="138">
        <f t="shared" si="96"/>
        <v>2.3622047244094495E-2</v>
      </c>
      <c r="BZ100" s="138">
        <f t="shared" si="97"/>
        <v>0</v>
      </c>
      <c r="CA100" s="238">
        <f t="shared" si="98"/>
        <v>0</v>
      </c>
      <c r="CB100" s="138">
        <f t="shared" si="99"/>
        <v>0</v>
      </c>
      <c r="CC100" s="138">
        <f t="shared" si="100"/>
        <v>2.3622047244094495E-2</v>
      </c>
      <c r="CD100" s="138">
        <f t="shared" si="101"/>
        <v>0</v>
      </c>
      <c r="CE100" s="238">
        <f t="shared" si="102"/>
        <v>0</v>
      </c>
      <c r="CF100" s="216">
        <f t="shared" si="103"/>
        <v>0</v>
      </c>
      <c r="CG100" s="138">
        <f t="shared" si="104"/>
        <v>1.5748031496062995E-2</v>
      </c>
      <c r="CH100" s="138">
        <f t="shared" si="105"/>
        <v>0</v>
      </c>
      <c r="CI100" s="238">
        <f t="shared" si="106"/>
        <v>0</v>
      </c>
      <c r="CJ100" s="138">
        <f t="shared" si="107"/>
        <v>0</v>
      </c>
      <c r="CK100" s="138">
        <f t="shared" si="108"/>
        <v>1.5748031496062995E-2</v>
      </c>
      <c r="CL100" s="138">
        <f t="shared" si="109"/>
        <v>0</v>
      </c>
      <c r="CM100" s="238">
        <f t="shared" si="110"/>
        <v>0</v>
      </c>
      <c r="CN100" s="17">
        <f t="shared" si="111"/>
        <v>0.25</v>
      </c>
      <c r="CO100" s="17">
        <f t="shared" si="112"/>
        <v>2.3622047244094495E-2</v>
      </c>
      <c r="CP100" s="17">
        <f t="shared" si="113"/>
        <v>1.5748031496062995E-2</v>
      </c>
      <c r="CQ100" s="17">
        <f>$U100-IF('Inputs-Imperial'!$E$13,0,2)*($CO100+$CN100+$CP100)</f>
        <v>3.7559056320000002</v>
      </c>
      <c r="CR100" s="116">
        <f t="shared" si="114"/>
        <v>5288.4674351518579</v>
      </c>
      <c r="CS100" s="8">
        <f t="shared" si="10"/>
        <v>0.13673487556240066</v>
      </c>
      <c r="CT100" s="8">
        <f t="shared" si="115"/>
        <v>0.36977679154106013</v>
      </c>
      <c r="CU100" s="8">
        <f t="shared" si="272"/>
        <v>0.13673487556240066</v>
      </c>
      <c r="CV100" s="8">
        <f t="shared" si="116"/>
        <v>0.36977679154106013</v>
      </c>
      <c r="CW100" s="216">
        <f t="shared" si="117"/>
        <v>3.38612884045894</v>
      </c>
      <c r="CX100" s="116">
        <f t="shared" si="118"/>
        <v>5865.9860744233592</v>
      </c>
      <c r="CY100" s="8">
        <f t="shared" si="119"/>
        <v>0.15166678924893887</v>
      </c>
      <c r="CZ100" s="8">
        <f t="shared" si="120"/>
        <v>0.38944420556600773</v>
      </c>
      <c r="DA100" s="8">
        <f t="shared" si="121"/>
        <v>0.15166678924893887</v>
      </c>
      <c r="DB100" s="8">
        <f t="shared" si="122"/>
        <v>0.38944420556600773</v>
      </c>
      <c r="DC100" s="216">
        <f t="shared" si="123"/>
        <v>3.3664614264339923</v>
      </c>
      <c r="DD100" s="116">
        <f t="shared" si="124"/>
        <v>5900.2561171110219</v>
      </c>
      <c r="DE100" s="8">
        <f t="shared" si="125"/>
        <v>0.15255285124702719</v>
      </c>
      <c r="DF100" s="8">
        <f t="shared" si="126"/>
        <v>0.390580147021104</v>
      </c>
      <c r="DG100" s="8">
        <f t="shared" si="127"/>
        <v>0.15255285124702719</v>
      </c>
      <c r="DH100" s="8">
        <f t="shared" si="128"/>
        <v>0.390580147021104</v>
      </c>
      <c r="DI100" s="216">
        <f t="shared" si="129"/>
        <v>3.3653254849788965</v>
      </c>
      <c r="DJ100" s="116">
        <f t="shared" si="130"/>
        <v>5902.2477062007029</v>
      </c>
      <c r="DK100" s="8">
        <f t="shared" si="131"/>
        <v>0.15260434436666689</v>
      </c>
      <c r="DL100" s="8">
        <f t="shared" si="132"/>
        <v>0.39064606022161147</v>
      </c>
      <c r="DM100" s="8">
        <f t="shared" si="133"/>
        <v>0.15260434436666689</v>
      </c>
      <c r="DN100" s="8">
        <f t="shared" si="134"/>
        <v>0.39064606022161147</v>
      </c>
      <c r="DO100" s="216">
        <f t="shared" si="135"/>
        <v>3.3652595717783891</v>
      </c>
      <c r="DP100" s="116">
        <f t="shared" si="136"/>
        <v>5902.3633097754655</v>
      </c>
      <c r="DQ100" s="170">
        <f t="shared" si="137"/>
        <v>0.15260733333097529</v>
      </c>
      <c r="DR100" s="8">
        <f t="shared" si="138"/>
        <v>0.39064988587093596</v>
      </c>
      <c r="DS100" s="8">
        <f t="shared" si="139"/>
        <v>0.15260733333097529</v>
      </c>
      <c r="DT100" s="134">
        <f t="shared" si="140"/>
        <v>0.39064988587093596</v>
      </c>
      <c r="DU100" s="170">
        <f>MAX(DQ$100:DQ$109)</f>
        <v>0.15260733333097529</v>
      </c>
      <c r="DV100" s="170">
        <f>MAX(DR$100:DR$109)</f>
        <v>0.39064988587093596</v>
      </c>
      <c r="DW100" s="170">
        <f>MAX(DS$100:DS$109)</f>
        <v>0.15260733333097529</v>
      </c>
      <c r="DX100" s="272">
        <f>MAX(DT$100:DT$109)</f>
        <v>0.39064988587093596</v>
      </c>
      <c r="DY100" s="272">
        <f t="shared" si="142"/>
        <v>2.9746058602581282</v>
      </c>
      <c r="DZ100" s="22">
        <f t="shared" si="273"/>
        <v>166.58873425122152</v>
      </c>
      <c r="EA100" s="216">
        <f t="shared" si="274"/>
        <v>1.0914200220383427E-2</v>
      </c>
      <c r="EB100" s="12">
        <f t="shared" si="143"/>
        <v>2</v>
      </c>
      <c r="EC100" s="7">
        <f>ROUND(MAX(DV100,DX100)/'Inputs-Imperial'!$E$21,0)</f>
        <v>3</v>
      </c>
      <c r="ED100" s="12">
        <f t="shared" si="144"/>
        <v>3</v>
      </c>
      <c r="EE100" s="2">
        <f t="shared" si="145"/>
        <v>2</v>
      </c>
      <c r="EF100" s="127">
        <f t="shared" si="146"/>
        <v>2</v>
      </c>
      <c r="EG100" s="2">
        <f t="shared" si="147"/>
        <v>1.5748031496062995E-2</v>
      </c>
      <c r="EH100" s="8">
        <f t="shared" si="275"/>
        <v>0.1148586813464206</v>
      </c>
      <c r="EI100" s="138">
        <f t="shared" si="148"/>
        <v>0.25</v>
      </c>
      <c r="EJ100" s="12">
        <f t="shared" si="276"/>
        <v>9520.546162457309</v>
      </c>
      <c r="EK100" s="138">
        <f t="shared" si="149"/>
        <v>0.25</v>
      </c>
      <c r="EL100" s="116">
        <f t="shared" si="150"/>
        <v>2175570</v>
      </c>
      <c r="EM100" s="2">
        <f t="shared" si="277"/>
        <v>1.5748031496062995E-2</v>
      </c>
      <c r="EN100" s="8">
        <f t="shared" si="151"/>
        <v>3.7559056320000002</v>
      </c>
      <c r="EO100" s="116">
        <f t="shared" si="152"/>
        <v>2610.6840000000002</v>
      </c>
      <c r="EP100" s="217">
        <f t="shared" si="153"/>
        <v>1.1476922343948537</v>
      </c>
      <c r="EQ100" s="207">
        <f t="shared" si="154"/>
        <v>2</v>
      </c>
      <c r="ER100" s="144">
        <f t="shared" si="155"/>
        <v>47565.655332984934</v>
      </c>
      <c r="ES100" s="138">
        <f t="shared" si="278"/>
        <v>0.25</v>
      </c>
      <c r="ET100" s="116">
        <f t="shared" si="156"/>
        <v>2175570</v>
      </c>
      <c r="EU100" s="2">
        <f t="shared" si="279"/>
        <v>1.5748031496062995E-2</v>
      </c>
      <c r="EV100" s="8">
        <f t="shared" si="157"/>
        <v>3.7559056320000002</v>
      </c>
      <c r="EW100" s="116">
        <f t="shared" si="158"/>
        <v>2610.6840000000002</v>
      </c>
      <c r="EX100" s="217">
        <f t="shared" si="159"/>
        <v>1.1476922343948537</v>
      </c>
      <c r="EY100" s="207">
        <f t="shared" si="160"/>
        <v>2</v>
      </c>
      <c r="EZ100" s="144">
        <f t="shared" si="161"/>
        <v>47565.655332984934</v>
      </c>
      <c r="FA100" s="138">
        <f t="shared" si="280"/>
        <v>0.25</v>
      </c>
      <c r="FB100" s="116">
        <f t="shared" si="162"/>
        <v>2175570</v>
      </c>
      <c r="FC100" s="2">
        <f t="shared" si="281"/>
        <v>1.5748031496062995E-2</v>
      </c>
      <c r="FD100" s="8">
        <f t="shared" si="163"/>
        <v>3.7559056320000002</v>
      </c>
      <c r="FE100" s="116">
        <f t="shared" si="164"/>
        <v>2610.6840000000002</v>
      </c>
      <c r="FF100" s="217">
        <f t="shared" si="165"/>
        <v>1.1476922343948537</v>
      </c>
      <c r="FG100" s="207">
        <f t="shared" si="166"/>
        <v>2</v>
      </c>
      <c r="FH100" s="144">
        <f t="shared" si="167"/>
        <v>47565.655332984934</v>
      </c>
      <c r="FI100" s="128">
        <f t="shared" si="168"/>
        <v>0.25</v>
      </c>
      <c r="FJ100" s="2">
        <f t="shared" si="169"/>
        <v>1.5748031496062995E-2</v>
      </c>
      <c r="FK100" s="127">
        <f t="shared" si="170"/>
        <v>1.5748031496062995E-2</v>
      </c>
      <c r="FL100" s="216">
        <f t="shared" si="171"/>
        <v>0</v>
      </c>
      <c r="FM100" s="138">
        <f t="shared" si="172"/>
        <v>0.25</v>
      </c>
      <c r="FN100" s="138">
        <f t="shared" si="173"/>
        <v>0</v>
      </c>
      <c r="FO100" s="238">
        <f t="shared" si="174"/>
        <v>0</v>
      </c>
      <c r="FP100" s="216">
        <f t="shared" si="282"/>
        <v>0</v>
      </c>
      <c r="FQ100" s="138">
        <f t="shared" si="283"/>
        <v>0.25</v>
      </c>
      <c r="FR100" s="138">
        <f t="shared" si="284"/>
        <v>0</v>
      </c>
      <c r="FS100" s="238">
        <f t="shared" si="285"/>
        <v>0</v>
      </c>
      <c r="FT100" s="216">
        <f t="shared" si="175"/>
        <v>0</v>
      </c>
      <c r="FU100" s="138">
        <f t="shared" si="176"/>
        <v>1.5748031496062995E-2</v>
      </c>
      <c r="FV100" s="138">
        <f t="shared" si="177"/>
        <v>0</v>
      </c>
      <c r="FW100" s="238">
        <f t="shared" si="178"/>
        <v>0</v>
      </c>
      <c r="FX100" s="216">
        <f t="shared" si="286"/>
        <v>0</v>
      </c>
      <c r="FY100" s="138">
        <f t="shared" si="287"/>
        <v>1.5748031496062995E-2</v>
      </c>
      <c r="FZ100" s="138">
        <f t="shared" si="288"/>
        <v>0</v>
      </c>
      <c r="GA100" s="238">
        <f t="shared" si="289"/>
        <v>0</v>
      </c>
      <c r="GB100" s="216">
        <f t="shared" si="179"/>
        <v>0</v>
      </c>
      <c r="GC100" s="138">
        <f t="shared" si="180"/>
        <v>1.5748031496062995E-2</v>
      </c>
      <c r="GD100" s="138">
        <f t="shared" si="181"/>
        <v>0</v>
      </c>
      <c r="GE100" s="238">
        <f t="shared" si="182"/>
        <v>0</v>
      </c>
      <c r="GF100" s="216">
        <f t="shared" si="290"/>
        <v>0</v>
      </c>
      <c r="GG100" s="138">
        <f t="shared" si="291"/>
        <v>1.5748031496062995E-2</v>
      </c>
      <c r="GH100" s="138">
        <f t="shared" si="292"/>
        <v>0</v>
      </c>
      <c r="GI100" s="238">
        <f t="shared" si="293"/>
        <v>0</v>
      </c>
      <c r="GJ100" s="216">
        <f t="shared" si="183"/>
        <v>0.25</v>
      </c>
      <c r="GK100" s="216">
        <f t="shared" si="184"/>
        <v>1.5748031496062995E-2</v>
      </c>
      <c r="GL100" s="17">
        <f t="shared" si="185"/>
        <v>1.5748031496062995E-2</v>
      </c>
      <c r="GM100" s="216">
        <f t="shared" si="294"/>
        <v>5.7310901137242066E-3</v>
      </c>
      <c r="GN100" s="2">
        <f t="shared" si="187"/>
        <v>1</v>
      </c>
      <c r="GO100" s="2">
        <f t="shared" si="188"/>
        <v>2</v>
      </c>
      <c r="GP100" s="142">
        <f t="shared" si="189"/>
        <v>2</v>
      </c>
      <c r="GQ100" s="2">
        <f t="shared" si="190"/>
        <v>1.5748031496062995E-2</v>
      </c>
      <c r="GR100" s="8">
        <f t="shared" si="295"/>
        <v>6.0312752180456571E-2</v>
      </c>
      <c r="GS100" s="138">
        <f t="shared" si="191"/>
        <v>0.25</v>
      </c>
      <c r="GT100" s="12">
        <f t="shared" si="296"/>
        <v>4999.2768033530865</v>
      </c>
      <c r="GU100" s="138">
        <f t="shared" si="192"/>
        <v>0.25</v>
      </c>
      <c r="GV100" s="116">
        <f t="shared" si="193"/>
        <v>2175570</v>
      </c>
      <c r="GW100" s="2">
        <f t="shared" si="297"/>
        <v>1.5748031496062995E-2</v>
      </c>
      <c r="GX100" s="8">
        <f t="shared" si="298"/>
        <v>1.8779528160000001</v>
      </c>
      <c r="GY100" s="116">
        <f t="shared" si="194"/>
        <v>2610.6840000000002</v>
      </c>
      <c r="GZ100" s="217">
        <f t="shared" si="195"/>
        <v>4.5907689375794147</v>
      </c>
      <c r="HA100" s="207">
        <f t="shared" si="196"/>
        <v>2</v>
      </c>
      <c r="HB100" s="144">
        <f t="shared" si="197"/>
        <v>190262.62133193974</v>
      </c>
      <c r="HC100" s="138">
        <f t="shared" si="299"/>
        <v>0.25</v>
      </c>
      <c r="HD100" s="116">
        <f t="shared" si="198"/>
        <v>2175570</v>
      </c>
      <c r="HE100" s="2">
        <f t="shared" si="300"/>
        <v>1.5748031496062995E-2</v>
      </c>
      <c r="HF100" s="8">
        <f t="shared" si="199"/>
        <v>1.8779528160000001</v>
      </c>
      <c r="HG100" s="116">
        <f t="shared" si="200"/>
        <v>2610.6840000000002</v>
      </c>
      <c r="HH100" s="217">
        <f t="shared" si="201"/>
        <v>4.5907689375794147</v>
      </c>
      <c r="HI100" s="207">
        <f t="shared" si="202"/>
        <v>2</v>
      </c>
      <c r="HJ100" s="144">
        <f t="shared" si="203"/>
        <v>190262.62133193974</v>
      </c>
      <c r="HK100" s="138">
        <f t="shared" si="301"/>
        <v>0.25</v>
      </c>
      <c r="HL100" s="116">
        <f t="shared" si="204"/>
        <v>2175570</v>
      </c>
      <c r="HM100" s="2">
        <f t="shared" si="302"/>
        <v>1.5748031496062995E-2</v>
      </c>
      <c r="HN100" s="8">
        <f t="shared" si="205"/>
        <v>1.8779528160000001</v>
      </c>
      <c r="HO100" s="116">
        <f t="shared" si="206"/>
        <v>2610.6840000000002</v>
      </c>
      <c r="HP100" s="217">
        <f t="shared" si="207"/>
        <v>4.5907689375794147</v>
      </c>
      <c r="HQ100" s="207">
        <f t="shared" si="208"/>
        <v>2</v>
      </c>
      <c r="HR100" s="144">
        <f t="shared" si="209"/>
        <v>190262.62133193974</v>
      </c>
      <c r="HS100" s="128">
        <f t="shared" si="210"/>
        <v>0.25</v>
      </c>
      <c r="HT100" s="2">
        <f t="shared" si="211"/>
        <v>1.5748031496062995E-2</v>
      </c>
      <c r="HU100" s="127">
        <f t="shared" si="212"/>
        <v>1.5748031496062995E-2</v>
      </c>
      <c r="HV100" s="216">
        <f t="shared" si="213"/>
        <v>0</v>
      </c>
      <c r="HW100" s="138">
        <f t="shared" si="214"/>
        <v>0.25</v>
      </c>
      <c r="HX100" s="138">
        <f t="shared" si="215"/>
        <v>0</v>
      </c>
      <c r="HY100" s="238">
        <f t="shared" si="216"/>
        <v>0</v>
      </c>
      <c r="HZ100" s="138">
        <f t="shared" si="217"/>
        <v>0</v>
      </c>
      <c r="IA100" s="138">
        <f t="shared" si="218"/>
        <v>0.25</v>
      </c>
      <c r="IB100" s="138">
        <f t="shared" si="219"/>
        <v>0</v>
      </c>
      <c r="IC100" s="138">
        <f t="shared" si="220"/>
        <v>0</v>
      </c>
      <c r="ID100" s="216">
        <f t="shared" si="221"/>
        <v>0</v>
      </c>
      <c r="IE100" s="138">
        <f t="shared" si="222"/>
        <v>1.5748031496062995E-2</v>
      </c>
      <c r="IF100" s="138">
        <f t="shared" si="223"/>
        <v>0</v>
      </c>
      <c r="IG100" s="238">
        <f t="shared" si="224"/>
        <v>0</v>
      </c>
      <c r="IH100" s="138">
        <f t="shared" si="225"/>
        <v>0</v>
      </c>
      <c r="II100" s="138">
        <f t="shared" si="226"/>
        <v>1.5748031496062995E-2</v>
      </c>
      <c r="IJ100" s="138">
        <f t="shared" si="227"/>
        <v>0</v>
      </c>
      <c r="IK100" s="138">
        <f t="shared" si="228"/>
        <v>0</v>
      </c>
      <c r="IL100" s="216">
        <f t="shared" si="229"/>
        <v>0</v>
      </c>
      <c r="IM100" s="138">
        <f t="shared" si="230"/>
        <v>1.5748031496062995E-2</v>
      </c>
      <c r="IN100" s="138">
        <f t="shared" si="231"/>
        <v>0</v>
      </c>
      <c r="IO100" s="238">
        <f t="shared" si="232"/>
        <v>0</v>
      </c>
      <c r="IP100" s="138">
        <f t="shared" si="233"/>
        <v>0</v>
      </c>
      <c r="IQ100" s="138">
        <f t="shared" si="234"/>
        <v>1.5748031496062995E-2</v>
      </c>
      <c r="IR100" s="138">
        <f t="shared" si="235"/>
        <v>0</v>
      </c>
      <c r="IS100" s="138">
        <f t="shared" si="236"/>
        <v>0</v>
      </c>
      <c r="IT100" s="17">
        <f t="shared" si="237"/>
        <v>0.25</v>
      </c>
      <c r="IU100" s="17">
        <f t="shared" si="238"/>
        <v>1.5748031496062995E-2</v>
      </c>
      <c r="IV100" s="17">
        <f t="shared" si="239"/>
        <v>1.5748031496062995E-2</v>
      </c>
      <c r="IW100" s="253">
        <f t="shared" si="240"/>
        <v>10.433071200000001</v>
      </c>
      <c r="IX100" s="116">
        <f t="shared" si="303"/>
        <v>190.38482766546693</v>
      </c>
      <c r="IY100" s="8">
        <f t="shared" si="242"/>
        <v>4.922455520246425E-3</v>
      </c>
      <c r="IZ100" s="8">
        <f t="shared" si="243"/>
        <v>4.922455520246425E-3</v>
      </c>
      <c r="JA100" s="8">
        <f t="shared" si="244"/>
        <v>2.4612277601232125E-3</v>
      </c>
      <c r="JB100" s="134">
        <f t="shared" si="245"/>
        <v>4.9610762543254791E-2</v>
      </c>
      <c r="JC100" s="170">
        <f>MAX(JA$100:JA$109)</f>
        <v>2.4612277601232125E-3</v>
      </c>
      <c r="JD100" s="272">
        <f>MAX(JB$100:JB$109)</f>
        <v>4.9610762543254791E-2</v>
      </c>
      <c r="JE100" s="8"/>
      <c r="JF100" s="8"/>
    </row>
    <row r="101" spans="1:266" x14ac:dyDescent="0.25">
      <c r="A101" s="186">
        <v>41</v>
      </c>
      <c r="B101" s="187">
        <f>A101/100*'Inputs-Imperial'!$E$5</f>
        <v>4.0354331999999999</v>
      </c>
      <c r="C101" s="188">
        <f>'Inputs-Imperial'!$E$10+('Inputs-Imperial'!$E$9-'Inputs-Imperial'!$E$10)*(100-A101)/100</f>
        <v>1.72900268</v>
      </c>
      <c r="D101" s="187">
        <f t="shared" si="248"/>
        <v>9.8425199999999435E-2</v>
      </c>
      <c r="E101" s="188">
        <f t="shared" si="249"/>
        <v>0.170661810579287</v>
      </c>
      <c r="F101" s="423">
        <f>Loads!P61</f>
        <v>61.222852825011948</v>
      </c>
      <c r="G101" s="423">
        <f>Loads!M61</f>
        <v>612.22852825011921</v>
      </c>
      <c r="H101" s="423">
        <f>Loads!N61</f>
        <v>1593.6649012513105</v>
      </c>
      <c r="I101" s="423">
        <f>Loads!V61</f>
        <v>-491.33352166284101</v>
      </c>
      <c r="J101" s="423">
        <f>Loads!Q61</f>
        <v>159.36649012513109</v>
      </c>
      <c r="K101" s="2">
        <v>41</v>
      </c>
      <c r="L101" s="12">
        <f t="shared" si="41"/>
        <v>48.425198399999999</v>
      </c>
      <c r="M101" s="11">
        <f t="shared" si="42"/>
        <v>20.748032160000001</v>
      </c>
      <c r="N101" s="11">
        <f t="shared" si="43"/>
        <v>1.1811023999999932</v>
      </c>
      <c r="O101" s="152">
        <f t="shared" si="44"/>
        <v>24.575300723417328</v>
      </c>
      <c r="P101" s="151">
        <f t="shared" si="45"/>
        <v>61.222852825011948</v>
      </c>
      <c r="Q101" s="12">
        <f t="shared" si="46"/>
        <v>612.22852825011921</v>
      </c>
      <c r="R101" s="12">
        <f t="shared" si="47"/>
        <v>19123.978815015726</v>
      </c>
      <c r="S101" s="12">
        <f t="shared" si="48"/>
        <v>-5896.0022599540916</v>
      </c>
      <c r="T101" s="152">
        <f t="shared" si="49"/>
        <v>1912.397881501573</v>
      </c>
      <c r="U101" s="8">
        <f t="shared" si="261"/>
        <v>3.7346457888</v>
      </c>
      <c r="V101" s="8">
        <f t="shared" si="262"/>
        <v>3.7346457888</v>
      </c>
      <c r="W101" s="134">
        <f t="shared" si="263"/>
        <v>1.8673228944</v>
      </c>
      <c r="X101" s="311">
        <f t="shared" si="264"/>
        <v>5.1870080400000003</v>
      </c>
      <c r="Y101" s="11">
        <f t="shared" si="265"/>
        <v>15.561024120000001</v>
      </c>
      <c r="Z101" s="11">
        <f t="shared" si="266"/>
        <v>10.374016080000001</v>
      </c>
      <c r="AA101" s="316">
        <f t="shared" si="50"/>
        <v>15.561024120000001</v>
      </c>
      <c r="AB101" s="170">
        <f t="shared" si="51"/>
        <v>2.8009843416</v>
      </c>
      <c r="AC101" s="11">
        <f t="shared" si="52"/>
        <v>15.561024120000001</v>
      </c>
      <c r="AD101" s="152">
        <f t="shared" si="53"/>
        <v>34.232509569474587</v>
      </c>
      <c r="AE101" s="151">
        <f t="shared" si="267"/>
        <v>3.934371693847869</v>
      </c>
      <c r="AF101" s="12">
        <f t="shared" si="268"/>
        <v>86.11700302001239</v>
      </c>
      <c r="AG101" s="216">
        <f t="shared" si="269"/>
        <v>5.8997911123190938E-3</v>
      </c>
      <c r="AH101" s="2">
        <f t="shared" si="55"/>
        <v>1</v>
      </c>
      <c r="AI101" s="2">
        <f t="shared" si="56"/>
        <v>3</v>
      </c>
      <c r="AJ101" s="127">
        <f t="shared" si="57"/>
        <v>2</v>
      </c>
      <c r="AK101" s="2">
        <f t="shared" si="58"/>
        <v>1.5748031496062995E-2</v>
      </c>
      <c r="AL101" s="8">
        <f t="shared" si="270"/>
        <v>6.2088124983700997E-2</v>
      </c>
      <c r="AM101" s="138">
        <f t="shared" si="59"/>
        <v>0.25</v>
      </c>
      <c r="AN101" s="12">
        <f t="shared" si="271"/>
        <v>5146.4360648971124</v>
      </c>
      <c r="AO101" s="138">
        <f t="shared" si="60"/>
        <v>0.25</v>
      </c>
      <c r="AP101" s="116">
        <f t="shared" si="61"/>
        <v>2175570</v>
      </c>
      <c r="AQ101" s="2">
        <f t="shared" si="62"/>
        <v>1.5748031496062995E-2</v>
      </c>
      <c r="AR101" s="8">
        <f t="shared" si="63"/>
        <v>10.374016080000001</v>
      </c>
      <c r="AS101" s="116">
        <f t="shared" si="64"/>
        <v>2610.6840000000002</v>
      </c>
      <c r="AT101" s="217">
        <f t="shared" si="65"/>
        <v>0.15043917856594113</v>
      </c>
      <c r="AU101" s="207">
        <f t="shared" si="66"/>
        <v>3.4389670388475215</v>
      </c>
      <c r="AV101" s="144">
        <f t="shared" si="67"/>
        <v>10720.795515954007</v>
      </c>
      <c r="AW101" s="138">
        <f t="shared" si="68"/>
        <v>0.25</v>
      </c>
      <c r="AX101" s="116">
        <f t="shared" si="69"/>
        <v>2175570</v>
      </c>
      <c r="AY101" s="2">
        <f t="shared" si="70"/>
        <v>1.5748031496062995E-2</v>
      </c>
      <c r="AZ101" s="8">
        <f t="shared" si="71"/>
        <v>10.374016080000001</v>
      </c>
      <c r="BA101" s="116">
        <f t="shared" si="72"/>
        <v>2610.6840000000002</v>
      </c>
      <c r="BB101" s="217">
        <f t="shared" si="73"/>
        <v>0.15043917856594113</v>
      </c>
      <c r="BC101" s="207">
        <f t="shared" si="74"/>
        <v>3.4389670388475215</v>
      </c>
      <c r="BD101" s="144">
        <f t="shared" si="75"/>
        <v>10720.795515954007</v>
      </c>
      <c r="BE101" s="138">
        <f t="shared" si="76"/>
        <v>0.25</v>
      </c>
      <c r="BF101" s="116">
        <f t="shared" si="77"/>
        <v>2175570</v>
      </c>
      <c r="BG101" s="2">
        <f t="shared" si="78"/>
        <v>1.5748031496062995E-2</v>
      </c>
      <c r="BH101" s="8">
        <f t="shared" si="79"/>
        <v>10.374016080000001</v>
      </c>
      <c r="BI101" s="116">
        <f t="shared" si="80"/>
        <v>2610.6840000000002</v>
      </c>
      <c r="BJ101" s="217">
        <f t="shared" si="81"/>
        <v>0.15043917856594113</v>
      </c>
      <c r="BK101" s="207">
        <f t="shared" si="82"/>
        <v>3.4389670388475215</v>
      </c>
      <c r="BL101" s="144">
        <f t="shared" si="83"/>
        <v>10720.795515954007</v>
      </c>
      <c r="BM101" s="216">
        <f t="shared" si="84"/>
        <v>0.25</v>
      </c>
      <c r="BN101" s="216">
        <f t="shared" si="85"/>
        <v>2.3622047244094495E-2</v>
      </c>
      <c r="BO101" s="238">
        <f t="shared" si="86"/>
        <v>1.5748031496062995E-2</v>
      </c>
      <c r="BP101" s="216">
        <f t="shared" si="87"/>
        <v>0</v>
      </c>
      <c r="BQ101" s="138">
        <f t="shared" si="88"/>
        <v>0.25</v>
      </c>
      <c r="BR101" s="138">
        <f t="shared" si="89"/>
        <v>0</v>
      </c>
      <c r="BS101" s="238">
        <f t="shared" si="90"/>
        <v>0</v>
      </c>
      <c r="BT101" s="138">
        <f t="shared" si="91"/>
        <v>0</v>
      </c>
      <c r="BU101" s="138">
        <f t="shared" si="92"/>
        <v>0.25</v>
      </c>
      <c r="BV101" s="138">
        <f t="shared" si="93"/>
        <v>0</v>
      </c>
      <c r="BW101" s="238">
        <f t="shared" si="94"/>
        <v>0</v>
      </c>
      <c r="BX101" s="216">
        <f t="shared" si="95"/>
        <v>0</v>
      </c>
      <c r="BY101" s="138">
        <f t="shared" si="96"/>
        <v>2.3622047244094495E-2</v>
      </c>
      <c r="BZ101" s="138">
        <f t="shared" si="97"/>
        <v>0</v>
      </c>
      <c r="CA101" s="238">
        <f t="shared" si="98"/>
        <v>0</v>
      </c>
      <c r="CB101" s="138">
        <f t="shared" si="99"/>
        <v>0</v>
      </c>
      <c r="CC101" s="138">
        <f t="shared" si="100"/>
        <v>2.3622047244094495E-2</v>
      </c>
      <c r="CD101" s="138">
        <f t="shared" si="101"/>
        <v>0</v>
      </c>
      <c r="CE101" s="238">
        <f t="shared" si="102"/>
        <v>0</v>
      </c>
      <c r="CF101" s="216">
        <f t="shared" si="103"/>
        <v>0</v>
      </c>
      <c r="CG101" s="138">
        <f t="shared" si="104"/>
        <v>1.5748031496062995E-2</v>
      </c>
      <c r="CH101" s="138">
        <f t="shared" si="105"/>
        <v>0</v>
      </c>
      <c r="CI101" s="238">
        <f t="shared" si="106"/>
        <v>0</v>
      </c>
      <c r="CJ101" s="138">
        <f t="shared" si="107"/>
        <v>0</v>
      </c>
      <c r="CK101" s="138">
        <f t="shared" si="108"/>
        <v>1.5748031496062995E-2</v>
      </c>
      <c r="CL101" s="138">
        <f t="shared" si="109"/>
        <v>0</v>
      </c>
      <c r="CM101" s="238">
        <f t="shared" si="110"/>
        <v>0</v>
      </c>
      <c r="CN101" s="17">
        <f t="shared" si="111"/>
        <v>0.25</v>
      </c>
      <c r="CO101" s="17">
        <f t="shared" si="112"/>
        <v>2.3622047244094495E-2</v>
      </c>
      <c r="CP101" s="17">
        <f t="shared" si="113"/>
        <v>1.5748031496062995E-2</v>
      </c>
      <c r="CQ101" s="17">
        <f>$U101-IF('Inputs-Imperial'!$E$13,0,2)*($CO101+$CN101+$CP101)</f>
        <v>3.7346457888</v>
      </c>
      <c r="CR101" s="116">
        <f t="shared" si="114"/>
        <v>5120.6941424987344</v>
      </c>
      <c r="CS101" s="8">
        <f t="shared" si="10"/>
        <v>0.13239704790723986</v>
      </c>
      <c r="CT101" s="8">
        <f t="shared" si="115"/>
        <v>0.36386405140826961</v>
      </c>
      <c r="CU101" s="8">
        <f t="shared" si="272"/>
        <v>0.13239704790723986</v>
      </c>
      <c r="CV101" s="8">
        <f t="shared" si="116"/>
        <v>0.36386405140826961</v>
      </c>
      <c r="CW101" s="216">
        <f t="shared" si="117"/>
        <v>3.3707817373917308</v>
      </c>
      <c r="CX101" s="116">
        <f t="shared" si="118"/>
        <v>5673.4550928870358</v>
      </c>
      <c r="CY101" s="8">
        <f t="shared" si="119"/>
        <v>0.14668884429133319</v>
      </c>
      <c r="CZ101" s="8">
        <f t="shared" si="120"/>
        <v>0.38299979672492412</v>
      </c>
      <c r="DA101" s="8">
        <f t="shared" si="121"/>
        <v>0.14668884429133319</v>
      </c>
      <c r="DB101" s="8">
        <f t="shared" si="122"/>
        <v>0.38299979672492412</v>
      </c>
      <c r="DC101" s="216">
        <f t="shared" si="123"/>
        <v>3.3516459920750759</v>
      </c>
      <c r="DD101" s="116">
        <f t="shared" si="124"/>
        <v>5705.8468765001226</v>
      </c>
      <c r="DE101" s="8">
        <f t="shared" si="125"/>
        <v>0.14752634335053888</v>
      </c>
      <c r="DF101" s="8">
        <f t="shared" si="126"/>
        <v>0.38409158198343646</v>
      </c>
      <c r="DG101" s="8">
        <f t="shared" si="127"/>
        <v>0.14752634335053888</v>
      </c>
      <c r="DH101" s="8">
        <f t="shared" si="128"/>
        <v>0.38409158198343646</v>
      </c>
      <c r="DI101" s="216">
        <f t="shared" si="129"/>
        <v>3.3505542068165637</v>
      </c>
      <c r="DJ101" s="116">
        <f t="shared" si="130"/>
        <v>5707.7061389154014</v>
      </c>
      <c r="DK101" s="8">
        <f t="shared" si="131"/>
        <v>0.14757441512522756</v>
      </c>
      <c r="DL101" s="8">
        <f t="shared" si="132"/>
        <v>0.38415415541840436</v>
      </c>
      <c r="DM101" s="8">
        <f t="shared" si="133"/>
        <v>0.14757441512522756</v>
      </c>
      <c r="DN101" s="8">
        <f t="shared" si="134"/>
        <v>0.38415415541840436</v>
      </c>
      <c r="DO101" s="216">
        <f t="shared" si="135"/>
        <v>3.3504916333815959</v>
      </c>
      <c r="DP101" s="116">
        <f t="shared" si="136"/>
        <v>5707.8127354445023</v>
      </c>
      <c r="DQ101" s="170">
        <f t="shared" si="137"/>
        <v>0.14757717120973043</v>
      </c>
      <c r="DR101" s="8">
        <f t="shared" si="138"/>
        <v>0.38415774261327917</v>
      </c>
      <c r="DS101" s="8">
        <f t="shared" si="139"/>
        <v>0.14757717120973043</v>
      </c>
      <c r="DT101" s="134">
        <f t="shared" si="140"/>
        <v>0.38415774261327917</v>
      </c>
      <c r="DU101" s="170">
        <f t="shared" ref="DU101:DX109" si="304">MAX(DQ$100:DQ$109)</f>
        <v>0.15260733333097529</v>
      </c>
      <c r="DV101" s="170">
        <f t="shared" si="304"/>
        <v>0.39064988587093596</v>
      </c>
      <c r="DW101" s="170">
        <f t="shared" si="304"/>
        <v>0.15260733333097529</v>
      </c>
      <c r="DX101" s="272">
        <f t="shared" si="304"/>
        <v>0.39064988587093596</v>
      </c>
      <c r="DY101" s="272">
        <f t="shared" si="142"/>
        <v>2.953346017058128</v>
      </c>
      <c r="DZ101" s="22">
        <f t="shared" si="273"/>
        <v>163.9321539103278</v>
      </c>
      <c r="EA101" s="216">
        <f t="shared" si="274"/>
        <v>1.0740152138006356E-2</v>
      </c>
      <c r="EB101" s="12">
        <f t="shared" si="143"/>
        <v>2</v>
      </c>
      <c r="EC101" s="7">
        <f>ROUND(MAX(DV101,DX101)/'Inputs-Imperial'!$E$21,0)</f>
        <v>3</v>
      </c>
      <c r="ED101" s="12">
        <f t="shared" si="144"/>
        <v>3</v>
      </c>
      <c r="EE101" s="2">
        <f t="shared" si="145"/>
        <v>2</v>
      </c>
      <c r="EF101" s="127">
        <f t="shared" si="146"/>
        <v>2</v>
      </c>
      <c r="EG101" s="2">
        <f t="shared" si="147"/>
        <v>1.5748031496062995E-2</v>
      </c>
      <c r="EH101" s="8">
        <f t="shared" si="275"/>
        <v>0.11302703699053199</v>
      </c>
      <c r="EI101" s="138">
        <f t="shared" si="148"/>
        <v>0.25</v>
      </c>
      <c r="EJ101" s="12">
        <f t="shared" si="276"/>
        <v>9368.7225959752323</v>
      </c>
      <c r="EK101" s="138">
        <f t="shared" si="149"/>
        <v>0.25</v>
      </c>
      <c r="EL101" s="116">
        <f t="shared" si="150"/>
        <v>2175570</v>
      </c>
      <c r="EM101" s="2">
        <f t="shared" si="277"/>
        <v>1.5748031496062995E-2</v>
      </c>
      <c r="EN101" s="8">
        <f t="shared" si="151"/>
        <v>3.7346457888</v>
      </c>
      <c r="EO101" s="116">
        <f t="shared" si="152"/>
        <v>2610.6840000000002</v>
      </c>
      <c r="EP101" s="217">
        <f t="shared" si="153"/>
        <v>1.1607961309100396</v>
      </c>
      <c r="EQ101" s="207">
        <f t="shared" si="154"/>
        <v>2</v>
      </c>
      <c r="ER101" s="144">
        <f t="shared" si="155"/>
        <v>48108.741193881331</v>
      </c>
      <c r="ES101" s="138">
        <f t="shared" si="278"/>
        <v>0.25</v>
      </c>
      <c r="ET101" s="116">
        <f t="shared" si="156"/>
        <v>2175570</v>
      </c>
      <c r="EU101" s="2">
        <f t="shared" si="279"/>
        <v>1.5748031496062995E-2</v>
      </c>
      <c r="EV101" s="8">
        <f t="shared" si="157"/>
        <v>3.7346457888</v>
      </c>
      <c r="EW101" s="116">
        <f t="shared" si="158"/>
        <v>2610.6840000000002</v>
      </c>
      <c r="EX101" s="217">
        <f t="shared" si="159"/>
        <v>1.1607961309100396</v>
      </c>
      <c r="EY101" s="207">
        <f t="shared" si="160"/>
        <v>2</v>
      </c>
      <c r="EZ101" s="144">
        <f t="shared" si="161"/>
        <v>48108.741193881331</v>
      </c>
      <c r="FA101" s="138">
        <f t="shared" si="280"/>
        <v>0.25</v>
      </c>
      <c r="FB101" s="116">
        <f t="shared" si="162"/>
        <v>2175570</v>
      </c>
      <c r="FC101" s="2">
        <f t="shared" si="281"/>
        <v>1.5748031496062995E-2</v>
      </c>
      <c r="FD101" s="8">
        <f t="shared" si="163"/>
        <v>3.7346457888</v>
      </c>
      <c r="FE101" s="116">
        <f t="shared" si="164"/>
        <v>2610.6840000000002</v>
      </c>
      <c r="FF101" s="217">
        <f t="shared" si="165"/>
        <v>1.1607961309100396</v>
      </c>
      <c r="FG101" s="207">
        <f t="shared" si="166"/>
        <v>2</v>
      </c>
      <c r="FH101" s="144">
        <f t="shared" si="167"/>
        <v>48108.741193881331</v>
      </c>
      <c r="FI101" s="128">
        <f t="shared" si="168"/>
        <v>0.25</v>
      </c>
      <c r="FJ101" s="2">
        <f t="shared" si="169"/>
        <v>1.5748031496062995E-2</v>
      </c>
      <c r="FK101" s="127">
        <f t="shared" si="170"/>
        <v>1.5748031496062995E-2</v>
      </c>
      <c r="FL101" s="216">
        <f t="shared" si="171"/>
        <v>0</v>
      </c>
      <c r="FM101" s="138">
        <f t="shared" si="172"/>
        <v>0.25</v>
      </c>
      <c r="FN101" s="138">
        <f t="shared" si="173"/>
        <v>0</v>
      </c>
      <c r="FO101" s="238">
        <f t="shared" si="174"/>
        <v>0</v>
      </c>
      <c r="FP101" s="216">
        <f t="shared" si="282"/>
        <v>0</v>
      </c>
      <c r="FQ101" s="138">
        <f t="shared" si="283"/>
        <v>0.25</v>
      </c>
      <c r="FR101" s="138">
        <f t="shared" si="284"/>
        <v>0</v>
      </c>
      <c r="FS101" s="238">
        <f t="shared" si="285"/>
        <v>0</v>
      </c>
      <c r="FT101" s="216">
        <f t="shared" si="175"/>
        <v>0</v>
      </c>
      <c r="FU101" s="138">
        <f t="shared" si="176"/>
        <v>1.5748031496062995E-2</v>
      </c>
      <c r="FV101" s="138">
        <f t="shared" si="177"/>
        <v>0</v>
      </c>
      <c r="FW101" s="238">
        <f t="shared" si="178"/>
        <v>0</v>
      </c>
      <c r="FX101" s="216">
        <f t="shared" si="286"/>
        <v>0</v>
      </c>
      <c r="FY101" s="138">
        <f t="shared" si="287"/>
        <v>1.5748031496062995E-2</v>
      </c>
      <c r="FZ101" s="138">
        <f t="shared" si="288"/>
        <v>0</v>
      </c>
      <c r="GA101" s="238">
        <f t="shared" si="289"/>
        <v>0</v>
      </c>
      <c r="GB101" s="216">
        <f t="shared" si="179"/>
        <v>0</v>
      </c>
      <c r="GC101" s="138">
        <f t="shared" si="180"/>
        <v>1.5748031496062995E-2</v>
      </c>
      <c r="GD101" s="138">
        <f t="shared" si="181"/>
        <v>0</v>
      </c>
      <c r="GE101" s="238">
        <f t="shared" si="182"/>
        <v>0</v>
      </c>
      <c r="GF101" s="216">
        <f t="shared" si="290"/>
        <v>0</v>
      </c>
      <c r="GG101" s="138">
        <f t="shared" si="291"/>
        <v>1.5748031496062995E-2</v>
      </c>
      <c r="GH101" s="138">
        <f t="shared" si="292"/>
        <v>0</v>
      </c>
      <c r="GI101" s="238">
        <f t="shared" si="293"/>
        <v>0</v>
      </c>
      <c r="GJ101" s="216">
        <f t="shared" si="183"/>
        <v>0.25</v>
      </c>
      <c r="GK101" s="216">
        <f t="shared" si="184"/>
        <v>1.5748031496062995E-2</v>
      </c>
      <c r="GL101" s="17">
        <f t="shared" si="185"/>
        <v>1.5748031496062995E-2</v>
      </c>
      <c r="GM101" s="216">
        <f t="shared" si="294"/>
        <v>5.6420274610069418E-3</v>
      </c>
      <c r="GN101" s="2">
        <f t="shared" si="187"/>
        <v>1</v>
      </c>
      <c r="GO101" s="2">
        <f t="shared" si="188"/>
        <v>2</v>
      </c>
      <c r="GP101" s="142">
        <f t="shared" si="189"/>
        <v>2</v>
      </c>
      <c r="GQ101" s="2">
        <f t="shared" si="190"/>
        <v>1.5748031496062995E-2</v>
      </c>
      <c r="GR101" s="8">
        <f t="shared" si="295"/>
        <v>5.9375476095928227E-2</v>
      </c>
      <c r="GS101" s="138">
        <f t="shared" si="191"/>
        <v>0.25</v>
      </c>
      <c r="GT101" s="12">
        <f t="shared" si="296"/>
        <v>4921.5867225937072</v>
      </c>
      <c r="GU101" s="138">
        <f t="shared" si="192"/>
        <v>0.25</v>
      </c>
      <c r="GV101" s="116">
        <f t="shared" si="193"/>
        <v>2175570</v>
      </c>
      <c r="GW101" s="2">
        <f t="shared" si="297"/>
        <v>1.5748031496062995E-2</v>
      </c>
      <c r="GX101" s="8">
        <f t="shared" si="298"/>
        <v>1.8673228944</v>
      </c>
      <c r="GY101" s="116">
        <f t="shared" si="194"/>
        <v>2610.6840000000002</v>
      </c>
      <c r="GZ101" s="217">
        <f t="shared" si="195"/>
        <v>4.6431845236401585</v>
      </c>
      <c r="HA101" s="207">
        <f t="shared" si="196"/>
        <v>2</v>
      </c>
      <c r="HB101" s="144">
        <f t="shared" si="197"/>
        <v>192434.96477552532</v>
      </c>
      <c r="HC101" s="138">
        <f t="shared" si="299"/>
        <v>0.25</v>
      </c>
      <c r="HD101" s="116">
        <f t="shared" si="198"/>
        <v>2175570</v>
      </c>
      <c r="HE101" s="2">
        <f t="shared" si="300"/>
        <v>1.5748031496062995E-2</v>
      </c>
      <c r="HF101" s="8">
        <f t="shared" si="199"/>
        <v>1.8673228944</v>
      </c>
      <c r="HG101" s="116">
        <f t="shared" si="200"/>
        <v>2610.6840000000002</v>
      </c>
      <c r="HH101" s="217">
        <f t="shared" si="201"/>
        <v>4.6431845236401585</v>
      </c>
      <c r="HI101" s="207">
        <f t="shared" si="202"/>
        <v>2</v>
      </c>
      <c r="HJ101" s="144">
        <f t="shared" si="203"/>
        <v>192434.96477552532</v>
      </c>
      <c r="HK101" s="138">
        <f t="shared" si="301"/>
        <v>0.25</v>
      </c>
      <c r="HL101" s="116">
        <f t="shared" si="204"/>
        <v>2175570</v>
      </c>
      <c r="HM101" s="2">
        <f t="shared" si="302"/>
        <v>1.5748031496062995E-2</v>
      </c>
      <c r="HN101" s="8">
        <f t="shared" si="205"/>
        <v>1.8673228944</v>
      </c>
      <c r="HO101" s="116">
        <f t="shared" si="206"/>
        <v>2610.6840000000002</v>
      </c>
      <c r="HP101" s="217">
        <f t="shared" si="207"/>
        <v>4.6431845236401585</v>
      </c>
      <c r="HQ101" s="207">
        <f t="shared" si="208"/>
        <v>2</v>
      </c>
      <c r="HR101" s="144">
        <f t="shared" si="209"/>
        <v>192434.96477552532</v>
      </c>
      <c r="HS101" s="128">
        <f t="shared" si="210"/>
        <v>0.25</v>
      </c>
      <c r="HT101" s="2">
        <f t="shared" si="211"/>
        <v>1.5748031496062995E-2</v>
      </c>
      <c r="HU101" s="127">
        <f t="shared" si="212"/>
        <v>1.5748031496062995E-2</v>
      </c>
      <c r="HV101" s="216">
        <f t="shared" si="213"/>
        <v>0</v>
      </c>
      <c r="HW101" s="138">
        <f t="shared" si="214"/>
        <v>0.25</v>
      </c>
      <c r="HX101" s="138">
        <f t="shared" si="215"/>
        <v>0</v>
      </c>
      <c r="HY101" s="238">
        <f t="shared" si="216"/>
        <v>0</v>
      </c>
      <c r="HZ101" s="138">
        <f t="shared" si="217"/>
        <v>0</v>
      </c>
      <c r="IA101" s="138">
        <f t="shared" si="218"/>
        <v>0.25</v>
      </c>
      <c r="IB101" s="138">
        <f t="shared" si="219"/>
        <v>0</v>
      </c>
      <c r="IC101" s="138">
        <f t="shared" si="220"/>
        <v>0</v>
      </c>
      <c r="ID101" s="216">
        <f t="shared" si="221"/>
        <v>0</v>
      </c>
      <c r="IE101" s="138">
        <f t="shared" si="222"/>
        <v>1.5748031496062995E-2</v>
      </c>
      <c r="IF101" s="138">
        <f t="shared" si="223"/>
        <v>0</v>
      </c>
      <c r="IG101" s="238">
        <f t="shared" si="224"/>
        <v>0</v>
      </c>
      <c r="IH101" s="138">
        <f t="shared" si="225"/>
        <v>0</v>
      </c>
      <c r="II101" s="138">
        <f t="shared" si="226"/>
        <v>1.5748031496062995E-2</v>
      </c>
      <c r="IJ101" s="138">
        <f t="shared" si="227"/>
        <v>0</v>
      </c>
      <c r="IK101" s="138">
        <f t="shared" si="228"/>
        <v>0</v>
      </c>
      <c r="IL101" s="216">
        <f t="shared" si="229"/>
        <v>0</v>
      </c>
      <c r="IM101" s="138">
        <f t="shared" si="230"/>
        <v>1.5748031496062995E-2</v>
      </c>
      <c r="IN101" s="138">
        <f t="shared" si="231"/>
        <v>0</v>
      </c>
      <c r="IO101" s="238">
        <f t="shared" si="232"/>
        <v>0</v>
      </c>
      <c r="IP101" s="138">
        <f t="shared" si="233"/>
        <v>0</v>
      </c>
      <c r="IQ101" s="138">
        <f t="shared" si="234"/>
        <v>1.5748031496062995E-2</v>
      </c>
      <c r="IR101" s="138">
        <f t="shared" si="235"/>
        <v>0</v>
      </c>
      <c r="IS101" s="138">
        <f t="shared" si="236"/>
        <v>0</v>
      </c>
      <c r="IT101" s="17">
        <f t="shared" si="237"/>
        <v>0.25</v>
      </c>
      <c r="IU101" s="17">
        <f t="shared" si="238"/>
        <v>1.5748031496062995E-2</v>
      </c>
      <c r="IV101" s="17">
        <f t="shared" si="239"/>
        <v>1.5748031496062995E-2</v>
      </c>
      <c r="IW101" s="253">
        <f t="shared" si="240"/>
        <v>10.374016080000001</v>
      </c>
      <c r="IX101" s="116">
        <f t="shared" si="303"/>
        <v>184.34498912995448</v>
      </c>
      <c r="IY101" s="8">
        <f t="shared" si="242"/>
        <v>4.7662937246606358E-3</v>
      </c>
      <c r="IZ101" s="8">
        <f t="shared" si="243"/>
        <v>4.7662937246606358E-3</v>
      </c>
      <c r="JA101" s="8">
        <f t="shared" si="244"/>
        <v>2.3831468623303179E-3</v>
      </c>
      <c r="JB101" s="134">
        <f t="shared" si="245"/>
        <v>4.8817485211042136E-2</v>
      </c>
      <c r="JC101" s="170">
        <f t="shared" ref="JC101:JC109" si="305">MAX(JA$100:JA$109)</f>
        <v>2.4612277601232125E-3</v>
      </c>
      <c r="JD101" s="272">
        <f t="shared" ref="JD101:JD109" si="306">MAX(JB$100:JB$109)</f>
        <v>4.9610762543254791E-2</v>
      </c>
      <c r="JE101" s="8"/>
      <c r="JF101" s="8"/>
    </row>
    <row r="102" spans="1:266" x14ac:dyDescent="0.25">
      <c r="A102" s="186">
        <v>42</v>
      </c>
      <c r="B102" s="187">
        <f>A102/100*'Inputs-Imperial'!$E$5</f>
        <v>4.1338584000000003</v>
      </c>
      <c r="C102" s="188">
        <f>'Inputs-Imperial'!$E$10+('Inputs-Imperial'!$E$9-'Inputs-Imperial'!$E$10)*(100-A102)/100</f>
        <v>1.7191601599999999</v>
      </c>
      <c r="D102" s="187">
        <f t="shared" si="248"/>
        <v>9.8425200000000324E-2</v>
      </c>
      <c r="E102" s="188">
        <f t="shared" si="249"/>
        <v>0.16969305857978456</v>
      </c>
      <c r="F102" s="423">
        <f>Loads!P62</f>
        <v>59.883655394399014</v>
      </c>
      <c r="G102" s="423">
        <f>Loads!M62</f>
        <v>598.83655394398988</v>
      </c>
      <c r="H102" s="423">
        <f>Loads!N62</f>
        <v>1533.4061859125868</v>
      </c>
      <c r="I102" s="423">
        <f>Loads!V62</f>
        <v>-478.02148392839842</v>
      </c>
      <c r="J102" s="423">
        <f>Loads!Q62</f>
        <v>153.3406185912587</v>
      </c>
      <c r="K102" s="2">
        <v>42</v>
      </c>
      <c r="L102" s="12">
        <f t="shared" si="41"/>
        <v>49.6063008</v>
      </c>
      <c r="M102" s="11">
        <f t="shared" si="42"/>
        <v>20.629921920000001</v>
      </c>
      <c r="N102" s="11">
        <f t="shared" si="43"/>
        <v>1.1811024000000039</v>
      </c>
      <c r="O102" s="152">
        <f t="shared" si="44"/>
        <v>24.435800435488979</v>
      </c>
      <c r="P102" s="151">
        <f t="shared" si="45"/>
        <v>59.883655394399014</v>
      </c>
      <c r="Q102" s="12">
        <f t="shared" si="46"/>
        <v>598.83655394398988</v>
      </c>
      <c r="R102" s="12">
        <f t="shared" si="47"/>
        <v>18400.874230951042</v>
      </c>
      <c r="S102" s="12">
        <f t="shared" si="48"/>
        <v>-5736.2578071407806</v>
      </c>
      <c r="T102" s="152">
        <f t="shared" si="49"/>
        <v>1840.0874230951044</v>
      </c>
      <c r="U102" s="8">
        <f t="shared" si="261"/>
        <v>3.7133859456000002</v>
      </c>
      <c r="V102" s="8">
        <f t="shared" si="262"/>
        <v>3.7133859456000002</v>
      </c>
      <c r="W102" s="134">
        <f t="shared" si="263"/>
        <v>1.8566929728000001</v>
      </c>
      <c r="X102" s="311">
        <f t="shared" si="264"/>
        <v>5.1574804800000003</v>
      </c>
      <c r="Y102" s="11">
        <f t="shared" si="265"/>
        <v>15.472441440000001</v>
      </c>
      <c r="Z102" s="11">
        <f t="shared" si="266"/>
        <v>10.314960960000001</v>
      </c>
      <c r="AA102" s="316">
        <f t="shared" si="50"/>
        <v>15.472441440000001</v>
      </c>
      <c r="AB102" s="170">
        <f t="shared" si="51"/>
        <v>2.7850394592000001</v>
      </c>
      <c r="AC102" s="11">
        <f t="shared" si="52"/>
        <v>15.472441440000001</v>
      </c>
      <c r="AD102" s="152">
        <f t="shared" si="53"/>
        <v>33.843874955615199</v>
      </c>
      <c r="AE102" s="151">
        <f t="shared" si="267"/>
        <v>3.8703429983315556</v>
      </c>
      <c r="AF102" s="12">
        <f t="shared" si="268"/>
        <v>84.745878163532382</v>
      </c>
      <c r="AG102" s="216">
        <f t="shared" si="269"/>
        <v>5.8057658273327683E-3</v>
      </c>
      <c r="AH102" s="2">
        <f t="shared" si="55"/>
        <v>1</v>
      </c>
      <c r="AI102" s="2">
        <f t="shared" si="56"/>
        <v>3</v>
      </c>
      <c r="AJ102" s="127">
        <f t="shared" si="57"/>
        <v>2</v>
      </c>
      <c r="AK102" s="2">
        <f t="shared" si="58"/>
        <v>1.5748031496062995E-2</v>
      </c>
      <c r="AL102" s="8">
        <f t="shared" si="270"/>
        <v>6.1098623231059392E-2</v>
      </c>
      <c r="AM102" s="138">
        <f t="shared" si="59"/>
        <v>0.25</v>
      </c>
      <c r="AN102" s="12">
        <f t="shared" si="271"/>
        <v>5064.4170394005223</v>
      </c>
      <c r="AO102" s="138">
        <f t="shared" si="60"/>
        <v>0.25</v>
      </c>
      <c r="AP102" s="116">
        <f t="shared" si="61"/>
        <v>2175570</v>
      </c>
      <c r="AQ102" s="2">
        <f t="shared" si="62"/>
        <v>1.5748031496062995E-2</v>
      </c>
      <c r="AR102" s="8">
        <f t="shared" si="63"/>
        <v>10.314960960000001</v>
      </c>
      <c r="AS102" s="116">
        <f t="shared" si="64"/>
        <v>2610.6840000000002</v>
      </c>
      <c r="AT102" s="217">
        <f t="shared" si="65"/>
        <v>0.15216669564688928</v>
      </c>
      <c r="AU102" s="207">
        <f t="shared" si="66"/>
        <v>3.4255303720329673</v>
      </c>
      <c r="AV102" s="144">
        <f t="shared" si="67"/>
        <v>10801.53502412837</v>
      </c>
      <c r="AW102" s="138">
        <f t="shared" si="68"/>
        <v>0.25</v>
      </c>
      <c r="AX102" s="116">
        <f t="shared" si="69"/>
        <v>2175570</v>
      </c>
      <c r="AY102" s="2">
        <f t="shared" si="70"/>
        <v>1.5748031496062995E-2</v>
      </c>
      <c r="AZ102" s="8">
        <f t="shared" si="71"/>
        <v>10.314960960000001</v>
      </c>
      <c r="BA102" s="116">
        <f t="shared" si="72"/>
        <v>2610.6840000000002</v>
      </c>
      <c r="BB102" s="217">
        <f t="shared" si="73"/>
        <v>0.15216669564688928</v>
      </c>
      <c r="BC102" s="207">
        <f t="shared" si="74"/>
        <v>3.4255303720329673</v>
      </c>
      <c r="BD102" s="144">
        <f t="shared" si="75"/>
        <v>10801.53502412837</v>
      </c>
      <c r="BE102" s="138">
        <f t="shared" si="76"/>
        <v>0.25</v>
      </c>
      <c r="BF102" s="116">
        <f t="shared" si="77"/>
        <v>2175570</v>
      </c>
      <c r="BG102" s="2">
        <f t="shared" si="78"/>
        <v>1.5748031496062995E-2</v>
      </c>
      <c r="BH102" s="8">
        <f t="shared" si="79"/>
        <v>10.314960960000001</v>
      </c>
      <c r="BI102" s="116">
        <f t="shared" si="80"/>
        <v>2610.6840000000002</v>
      </c>
      <c r="BJ102" s="217">
        <f t="shared" si="81"/>
        <v>0.15216669564688928</v>
      </c>
      <c r="BK102" s="207">
        <f t="shared" si="82"/>
        <v>3.4255303720329673</v>
      </c>
      <c r="BL102" s="144">
        <f t="shared" si="83"/>
        <v>10801.53502412837</v>
      </c>
      <c r="BM102" s="216">
        <f t="shared" si="84"/>
        <v>0.25</v>
      </c>
      <c r="BN102" s="216">
        <f t="shared" si="85"/>
        <v>2.3622047244094495E-2</v>
      </c>
      <c r="BO102" s="238">
        <f t="shared" si="86"/>
        <v>1.5748031496062995E-2</v>
      </c>
      <c r="BP102" s="216">
        <f t="shared" si="87"/>
        <v>0</v>
      </c>
      <c r="BQ102" s="138">
        <f t="shared" si="88"/>
        <v>0.25</v>
      </c>
      <c r="BR102" s="138">
        <f t="shared" si="89"/>
        <v>0</v>
      </c>
      <c r="BS102" s="238">
        <f t="shared" si="90"/>
        <v>0</v>
      </c>
      <c r="BT102" s="138">
        <f t="shared" si="91"/>
        <v>0</v>
      </c>
      <c r="BU102" s="138">
        <f t="shared" si="92"/>
        <v>0.25</v>
      </c>
      <c r="BV102" s="138">
        <f t="shared" si="93"/>
        <v>0</v>
      </c>
      <c r="BW102" s="238">
        <f t="shared" si="94"/>
        <v>0</v>
      </c>
      <c r="BX102" s="216">
        <f t="shared" si="95"/>
        <v>0</v>
      </c>
      <c r="BY102" s="138">
        <f t="shared" si="96"/>
        <v>2.3622047244094495E-2</v>
      </c>
      <c r="BZ102" s="138">
        <f t="shared" si="97"/>
        <v>0</v>
      </c>
      <c r="CA102" s="238">
        <f t="shared" si="98"/>
        <v>0</v>
      </c>
      <c r="CB102" s="138">
        <f t="shared" si="99"/>
        <v>0</v>
      </c>
      <c r="CC102" s="138">
        <f t="shared" si="100"/>
        <v>2.3622047244094495E-2</v>
      </c>
      <c r="CD102" s="138">
        <f t="shared" si="101"/>
        <v>0</v>
      </c>
      <c r="CE102" s="238">
        <f t="shared" si="102"/>
        <v>0</v>
      </c>
      <c r="CF102" s="216">
        <f t="shared" si="103"/>
        <v>0</v>
      </c>
      <c r="CG102" s="138">
        <f t="shared" si="104"/>
        <v>1.5748031496062995E-2</v>
      </c>
      <c r="CH102" s="138">
        <f t="shared" si="105"/>
        <v>0</v>
      </c>
      <c r="CI102" s="238">
        <f t="shared" si="106"/>
        <v>0</v>
      </c>
      <c r="CJ102" s="138">
        <f t="shared" si="107"/>
        <v>0</v>
      </c>
      <c r="CK102" s="138">
        <f t="shared" si="108"/>
        <v>1.5748031496062995E-2</v>
      </c>
      <c r="CL102" s="138">
        <f t="shared" si="109"/>
        <v>0</v>
      </c>
      <c r="CM102" s="238">
        <f t="shared" si="110"/>
        <v>0</v>
      </c>
      <c r="CN102" s="17">
        <f t="shared" si="111"/>
        <v>0.25</v>
      </c>
      <c r="CO102" s="17">
        <f t="shared" si="112"/>
        <v>2.3622047244094495E-2</v>
      </c>
      <c r="CP102" s="17">
        <f t="shared" si="113"/>
        <v>1.5748031496062995E-2</v>
      </c>
      <c r="CQ102" s="17">
        <f>$U102-IF('Inputs-Imperial'!$E$13,0,2)*($CO102+$CN102+$CP102)</f>
        <v>3.7133859456000002</v>
      </c>
      <c r="CR102" s="116">
        <f t="shared" si="114"/>
        <v>4955.281918044172</v>
      </c>
      <c r="CS102" s="8">
        <f t="shared" si="10"/>
        <v>0.12812026636237153</v>
      </c>
      <c r="CT102" s="8">
        <f t="shared" si="115"/>
        <v>0.35793891428897689</v>
      </c>
      <c r="CU102" s="8">
        <f t="shared" si="272"/>
        <v>0.12812026636237153</v>
      </c>
      <c r="CV102" s="8">
        <f t="shared" si="116"/>
        <v>0.35793891428897689</v>
      </c>
      <c r="CW102" s="216">
        <f t="shared" si="117"/>
        <v>3.3554470313110234</v>
      </c>
      <c r="CX102" s="116">
        <f t="shared" si="118"/>
        <v>5483.8815988585411</v>
      </c>
      <c r="CY102" s="8">
        <f t="shared" si="119"/>
        <v>0.141787366040069</v>
      </c>
      <c r="CZ102" s="8">
        <f t="shared" si="120"/>
        <v>0.37654663195953431</v>
      </c>
      <c r="DA102" s="8">
        <f t="shared" si="121"/>
        <v>0.141787366040069</v>
      </c>
      <c r="DB102" s="8">
        <f t="shared" si="122"/>
        <v>0.37654663195953431</v>
      </c>
      <c r="DC102" s="216">
        <f t="shared" si="123"/>
        <v>3.3368393136404659</v>
      </c>
      <c r="DD102" s="116">
        <f t="shared" si="124"/>
        <v>5514.4621905319827</v>
      </c>
      <c r="DE102" s="8">
        <f t="shared" si="125"/>
        <v>0.14257803620082277</v>
      </c>
      <c r="DF102" s="8">
        <f t="shared" si="126"/>
        <v>0.3775950690896569</v>
      </c>
      <c r="DG102" s="8">
        <f t="shared" si="127"/>
        <v>0.14257803620082277</v>
      </c>
      <c r="DH102" s="8">
        <f t="shared" si="128"/>
        <v>0.3775950690896569</v>
      </c>
      <c r="DI102" s="216">
        <f t="shared" si="129"/>
        <v>3.3357908765103432</v>
      </c>
      <c r="DJ102" s="116">
        <f t="shared" si="130"/>
        <v>5516.1953827875059</v>
      </c>
      <c r="DK102" s="8">
        <f t="shared" si="131"/>
        <v>0.14262284839458036</v>
      </c>
      <c r="DL102" s="8">
        <f t="shared" si="132"/>
        <v>0.37765440338301415</v>
      </c>
      <c r="DM102" s="8">
        <f t="shared" si="133"/>
        <v>0.14262284839458036</v>
      </c>
      <c r="DN102" s="8">
        <f t="shared" si="134"/>
        <v>0.37765440338301415</v>
      </c>
      <c r="DO102" s="216">
        <f t="shared" si="135"/>
        <v>3.3357315422169864</v>
      </c>
      <c r="DP102" s="116">
        <f t="shared" si="136"/>
        <v>5516.2935020608684</v>
      </c>
      <c r="DQ102" s="170">
        <f t="shared" si="137"/>
        <v>0.14262538529715146</v>
      </c>
      <c r="DR102" s="8">
        <f t="shared" si="138"/>
        <v>0.37765776213014801</v>
      </c>
      <c r="DS102" s="8">
        <f t="shared" si="139"/>
        <v>0.14262538529715146</v>
      </c>
      <c r="DT102" s="134">
        <f t="shared" si="140"/>
        <v>0.37765776213014801</v>
      </c>
      <c r="DU102" s="170">
        <f t="shared" si="304"/>
        <v>0.15260733333097529</v>
      </c>
      <c r="DV102" s="170">
        <f t="shared" si="304"/>
        <v>0.39064988587093596</v>
      </c>
      <c r="DW102" s="170">
        <f t="shared" si="304"/>
        <v>0.15260733333097529</v>
      </c>
      <c r="DX102" s="272">
        <f t="shared" si="304"/>
        <v>0.39064988587093596</v>
      </c>
      <c r="DY102" s="272">
        <f t="shared" si="142"/>
        <v>2.9320861738581283</v>
      </c>
      <c r="DZ102" s="22">
        <f t="shared" si="273"/>
        <v>161.26429159714809</v>
      </c>
      <c r="EA102" s="216">
        <f t="shared" si="274"/>
        <v>1.0565364907781363E-2</v>
      </c>
      <c r="EB102" s="12">
        <f t="shared" si="143"/>
        <v>2</v>
      </c>
      <c r="EC102" s="7">
        <f>ROUND(MAX(DV102,DX102)/'Inputs-Imperial'!$E$21,0)</f>
        <v>3</v>
      </c>
      <c r="ED102" s="12">
        <f t="shared" si="144"/>
        <v>3</v>
      </c>
      <c r="EE102" s="2">
        <f t="shared" si="145"/>
        <v>2</v>
      </c>
      <c r="EF102" s="127">
        <f t="shared" si="146"/>
        <v>2</v>
      </c>
      <c r="EG102" s="2">
        <f t="shared" si="147"/>
        <v>1.5748031496062995E-2</v>
      </c>
      <c r="EH102" s="8">
        <f t="shared" si="275"/>
        <v>0.11118761400263937</v>
      </c>
      <c r="EI102" s="138">
        <f t="shared" si="148"/>
        <v>0.25</v>
      </c>
      <c r="EJ102" s="12">
        <f t="shared" si="276"/>
        <v>9216.2542647770115</v>
      </c>
      <c r="EK102" s="138">
        <f t="shared" si="149"/>
        <v>0.25</v>
      </c>
      <c r="EL102" s="116">
        <f t="shared" si="150"/>
        <v>2175570</v>
      </c>
      <c r="EM102" s="2">
        <f t="shared" si="277"/>
        <v>1.5748031496062995E-2</v>
      </c>
      <c r="EN102" s="8">
        <f t="shared" si="151"/>
        <v>3.7133859456000002</v>
      </c>
      <c r="EO102" s="116">
        <f t="shared" si="152"/>
        <v>2610.6840000000002</v>
      </c>
      <c r="EP102" s="217">
        <f t="shared" si="153"/>
        <v>1.174125738016121</v>
      </c>
      <c r="EQ102" s="207">
        <f t="shared" si="154"/>
        <v>2</v>
      </c>
      <c r="ER102" s="144">
        <f t="shared" si="155"/>
        <v>48661.181541851685</v>
      </c>
      <c r="ES102" s="138">
        <f t="shared" si="278"/>
        <v>0.25</v>
      </c>
      <c r="ET102" s="116">
        <f t="shared" si="156"/>
        <v>2175570</v>
      </c>
      <c r="EU102" s="2">
        <f t="shared" si="279"/>
        <v>1.5748031496062995E-2</v>
      </c>
      <c r="EV102" s="8">
        <f t="shared" si="157"/>
        <v>3.7133859456000002</v>
      </c>
      <c r="EW102" s="116">
        <f t="shared" si="158"/>
        <v>2610.6840000000002</v>
      </c>
      <c r="EX102" s="217">
        <f t="shared" si="159"/>
        <v>1.174125738016121</v>
      </c>
      <c r="EY102" s="207">
        <f t="shared" si="160"/>
        <v>2</v>
      </c>
      <c r="EZ102" s="144">
        <f t="shared" si="161"/>
        <v>48661.181541851685</v>
      </c>
      <c r="FA102" s="138">
        <f t="shared" si="280"/>
        <v>0.25</v>
      </c>
      <c r="FB102" s="116">
        <f t="shared" si="162"/>
        <v>2175570</v>
      </c>
      <c r="FC102" s="2">
        <f t="shared" si="281"/>
        <v>1.5748031496062995E-2</v>
      </c>
      <c r="FD102" s="8">
        <f t="shared" si="163"/>
        <v>3.7133859456000002</v>
      </c>
      <c r="FE102" s="116">
        <f t="shared" si="164"/>
        <v>2610.6840000000002</v>
      </c>
      <c r="FF102" s="217">
        <f t="shared" si="165"/>
        <v>1.174125738016121</v>
      </c>
      <c r="FG102" s="207">
        <f t="shared" si="166"/>
        <v>2</v>
      </c>
      <c r="FH102" s="144">
        <f t="shared" si="167"/>
        <v>48661.181541851685</v>
      </c>
      <c r="FI102" s="128">
        <f t="shared" si="168"/>
        <v>0.25</v>
      </c>
      <c r="FJ102" s="2">
        <f t="shared" si="169"/>
        <v>1.5748031496062995E-2</v>
      </c>
      <c r="FK102" s="127">
        <f t="shared" si="170"/>
        <v>1.5748031496062995E-2</v>
      </c>
      <c r="FL102" s="216">
        <f t="shared" si="171"/>
        <v>0</v>
      </c>
      <c r="FM102" s="138">
        <f t="shared" si="172"/>
        <v>0.25</v>
      </c>
      <c r="FN102" s="138">
        <f t="shared" si="173"/>
        <v>0</v>
      </c>
      <c r="FO102" s="238">
        <f t="shared" si="174"/>
        <v>0</v>
      </c>
      <c r="FP102" s="216">
        <f t="shared" si="282"/>
        <v>0</v>
      </c>
      <c r="FQ102" s="138">
        <f t="shared" si="283"/>
        <v>0.25</v>
      </c>
      <c r="FR102" s="138">
        <f t="shared" si="284"/>
        <v>0</v>
      </c>
      <c r="FS102" s="238">
        <f t="shared" si="285"/>
        <v>0</v>
      </c>
      <c r="FT102" s="216">
        <f t="shared" si="175"/>
        <v>0</v>
      </c>
      <c r="FU102" s="138">
        <f t="shared" si="176"/>
        <v>1.5748031496062995E-2</v>
      </c>
      <c r="FV102" s="138">
        <f t="shared" si="177"/>
        <v>0</v>
      </c>
      <c r="FW102" s="238">
        <f t="shared" si="178"/>
        <v>0</v>
      </c>
      <c r="FX102" s="216">
        <f t="shared" si="286"/>
        <v>0</v>
      </c>
      <c r="FY102" s="138">
        <f t="shared" si="287"/>
        <v>1.5748031496062995E-2</v>
      </c>
      <c r="FZ102" s="138">
        <f t="shared" si="288"/>
        <v>0</v>
      </c>
      <c r="GA102" s="238">
        <f t="shared" si="289"/>
        <v>0</v>
      </c>
      <c r="GB102" s="216">
        <f t="shared" si="179"/>
        <v>0</v>
      </c>
      <c r="GC102" s="138">
        <f t="shared" si="180"/>
        <v>1.5748031496062995E-2</v>
      </c>
      <c r="GD102" s="138">
        <f t="shared" si="181"/>
        <v>0</v>
      </c>
      <c r="GE102" s="238">
        <f t="shared" si="182"/>
        <v>0</v>
      </c>
      <c r="GF102" s="216">
        <f t="shared" si="290"/>
        <v>0</v>
      </c>
      <c r="GG102" s="138">
        <f t="shared" si="291"/>
        <v>1.5748031496062995E-2</v>
      </c>
      <c r="GH102" s="138">
        <f t="shared" si="292"/>
        <v>0</v>
      </c>
      <c r="GI102" s="238">
        <f t="shared" si="293"/>
        <v>0</v>
      </c>
      <c r="GJ102" s="216">
        <f t="shared" si="183"/>
        <v>0.25</v>
      </c>
      <c r="GK102" s="216">
        <f t="shared" si="184"/>
        <v>1.5748031496062995E-2</v>
      </c>
      <c r="GL102" s="17">
        <f t="shared" si="185"/>
        <v>1.5748031496062995E-2</v>
      </c>
      <c r="GM102" s="216">
        <f t="shared" si="294"/>
        <v>5.5521970695460166E-3</v>
      </c>
      <c r="GN102" s="2">
        <f t="shared" si="187"/>
        <v>1</v>
      </c>
      <c r="GO102" s="2">
        <f t="shared" si="188"/>
        <v>2</v>
      </c>
      <c r="GP102" s="142">
        <f t="shared" si="189"/>
        <v>2</v>
      </c>
      <c r="GQ102" s="2">
        <f t="shared" si="190"/>
        <v>1.5748031496062995E-2</v>
      </c>
      <c r="GR102" s="8">
        <f t="shared" si="295"/>
        <v>5.8430120494996053E-2</v>
      </c>
      <c r="GS102" s="138">
        <f t="shared" si="191"/>
        <v>0.25</v>
      </c>
      <c r="GT102" s="12">
        <f t="shared" si="296"/>
        <v>4843.2269370458744</v>
      </c>
      <c r="GU102" s="138">
        <f t="shared" si="192"/>
        <v>0.25</v>
      </c>
      <c r="GV102" s="116">
        <f t="shared" si="193"/>
        <v>2175570</v>
      </c>
      <c r="GW102" s="2">
        <f t="shared" si="297"/>
        <v>1.5748031496062995E-2</v>
      </c>
      <c r="GX102" s="8">
        <f t="shared" si="298"/>
        <v>1.8566929728000001</v>
      </c>
      <c r="GY102" s="116">
        <f t="shared" si="194"/>
        <v>2610.6840000000002</v>
      </c>
      <c r="GZ102" s="217">
        <f t="shared" si="195"/>
        <v>4.6965029520644839</v>
      </c>
      <c r="HA102" s="207">
        <f t="shared" si="196"/>
        <v>2</v>
      </c>
      <c r="HB102" s="144">
        <f t="shared" si="197"/>
        <v>194644.72616740674</v>
      </c>
      <c r="HC102" s="138">
        <f t="shared" si="299"/>
        <v>0.25</v>
      </c>
      <c r="HD102" s="116">
        <f t="shared" si="198"/>
        <v>2175570</v>
      </c>
      <c r="HE102" s="2">
        <f t="shared" si="300"/>
        <v>1.5748031496062995E-2</v>
      </c>
      <c r="HF102" s="8">
        <f t="shared" si="199"/>
        <v>1.8566929728000001</v>
      </c>
      <c r="HG102" s="116">
        <f t="shared" si="200"/>
        <v>2610.6840000000002</v>
      </c>
      <c r="HH102" s="217">
        <f t="shared" si="201"/>
        <v>4.6965029520644839</v>
      </c>
      <c r="HI102" s="207">
        <f t="shared" si="202"/>
        <v>2</v>
      </c>
      <c r="HJ102" s="144">
        <f t="shared" si="203"/>
        <v>194644.72616740674</v>
      </c>
      <c r="HK102" s="138">
        <f t="shared" si="301"/>
        <v>0.25</v>
      </c>
      <c r="HL102" s="116">
        <f t="shared" si="204"/>
        <v>2175570</v>
      </c>
      <c r="HM102" s="2">
        <f t="shared" si="302"/>
        <v>1.5748031496062995E-2</v>
      </c>
      <c r="HN102" s="8">
        <f t="shared" si="205"/>
        <v>1.8566929728000001</v>
      </c>
      <c r="HO102" s="116">
        <f t="shared" si="206"/>
        <v>2610.6840000000002</v>
      </c>
      <c r="HP102" s="217">
        <f t="shared" si="207"/>
        <v>4.6965029520644839</v>
      </c>
      <c r="HQ102" s="207">
        <f t="shared" si="208"/>
        <v>2</v>
      </c>
      <c r="HR102" s="144">
        <f t="shared" si="209"/>
        <v>194644.72616740674</v>
      </c>
      <c r="HS102" s="128">
        <f t="shared" si="210"/>
        <v>0.25</v>
      </c>
      <c r="HT102" s="2">
        <f t="shared" si="211"/>
        <v>1.5748031496062995E-2</v>
      </c>
      <c r="HU102" s="127">
        <f t="shared" si="212"/>
        <v>1.5748031496062995E-2</v>
      </c>
      <c r="HV102" s="216">
        <f t="shared" si="213"/>
        <v>0</v>
      </c>
      <c r="HW102" s="138">
        <f t="shared" si="214"/>
        <v>0.25</v>
      </c>
      <c r="HX102" s="138">
        <f t="shared" si="215"/>
        <v>0</v>
      </c>
      <c r="HY102" s="238">
        <f t="shared" si="216"/>
        <v>0</v>
      </c>
      <c r="HZ102" s="138">
        <f t="shared" si="217"/>
        <v>0</v>
      </c>
      <c r="IA102" s="138">
        <f t="shared" si="218"/>
        <v>0.25</v>
      </c>
      <c r="IB102" s="138">
        <f t="shared" si="219"/>
        <v>0</v>
      </c>
      <c r="IC102" s="138">
        <f t="shared" si="220"/>
        <v>0</v>
      </c>
      <c r="ID102" s="216">
        <f t="shared" si="221"/>
        <v>0</v>
      </c>
      <c r="IE102" s="138">
        <f t="shared" si="222"/>
        <v>1.5748031496062995E-2</v>
      </c>
      <c r="IF102" s="138">
        <f t="shared" si="223"/>
        <v>0</v>
      </c>
      <c r="IG102" s="238">
        <f t="shared" si="224"/>
        <v>0</v>
      </c>
      <c r="IH102" s="138">
        <f t="shared" si="225"/>
        <v>0</v>
      </c>
      <c r="II102" s="138">
        <f t="shared" si="226"/>
        <v>1.5748031496062995E-2</v>
      </c>
      <c r="IJ102" s="138">
        <f t="shared" si="227"/>
        <v>0</v>
      </c>
      <c r="IK102" s="138">
        <f t="shared" si="228"/>
        <v>0</v>
      </c>
      <c r="IL102" s="216">
        <f t="shared" si="229"/>
        <v>0</v>
      </c>
      <c r="IM102" s="138">
        <f t="shared" si="230"/>
        <v>1.5748031496062995E-2</v>
      </c>
      <c r="IN102" s="138">
        <f t="shared" si="231"/>
        <v>0</v>
      </c>
      <c r="IO102" s="238">
        <f t="shared" si="232"/>
        <v>0</v>
      </c>
      <c r="IP102" s="138">
        <f t="shared" si="233"/>
        <v>0</v>
      </c>
      <c r="IQ102" s="138">
        <f t="shared" si="234"/>
        <v>1.5748031496062995E-2</v>
      </c>
      <c r="IR102" s="138">
        <f t="shared" si="235"/>
        <v>0</v>
      </c>
      <c r="IS102" s="138">
        <f t="shared" si="236"/>
        <v>0</v>
      </c>
      <c r="IT102" s="17">
        <f t="shared" si="237"/>
        <v>0.25</v>
      </c>
      <c r="IU102" s="17">
        <f t="shared" si="238"/>
        <v>1.5748031496062995E-2</v>
      </c>
      <c r="IV102" s="17">
        <f t="shared" si="239"/>
        <v>1.5748031496062995E-2</v>
      </c>
      <c r="IW102" s="253">
        <f t="shared" si="240"/>
        <v>10.314960960000001</v>
      </c>
      <c r="IX102" s="116">
        <f t="shared" si="303"/>
        <v>178.39014904959024</v>
      </c>
      <c r="IY102" s="8">
        <f t="shared" si="242"/>
        <v>4.6123295890453768E-3</v>
      </c>
      <c r="IZ102" s="8">
        <f t="shared" si="243"/>
        <v>4.6123295890453768E-3</v>
      </c>
      <c r="JA102" s="8">
        <f t="shared" si="244"/>
        <v>2.3061647945226884E-3</v>
      </c>
      <c r="JB102" s="134">
        <f t="shared" si="245"/>
        <v>4.8022544648557396E-2</v>
      </c>
      <c r="JC102" s="170">
        <f t="shared" si="305"/>
        <v>2.4612277601232125E-3</v>
      </c>
      <c r="JD102" s="272">
        <f t="shared" si="306"/>
        <v>4.9610762543254791E-2</v>
      </c>
      <c r="JE102" s="8"/>
      <c r="JF102" s="8"/>
    </row>
    <row r="103" spans="1:266" x14ac:dyDescent="0.25">
      <c r="A103" s="186">
        <v>43</v>
      </c>
      <c r="B103" s="187">
        <f>A103/100*'Inputs-Imperial'!$E$5</f>
        <v>4.2322835999999997</v>
      </c>
      <c r="C103" s="188">
        <f>'Inputs-Imperial'!$E$10+('Inputs-Imperial'!$E$9-'Inputs-Imperial'!$E$10)*(100-A103)/100</f>
        <v>1.7093176400000001</v>
      </c>
      <c r="D103" s="187">
        <f t="shared" si="248"/>
        <v>9.8425199999999435E-2</v>
      </c>
      <c r="E103" s="188">
        <f t="shared" si="249"/>
        <v>0.16872430658027904</v>
      </c>
      <c r="F103" s="423">
        <f>Loads!P63</f>
        <v>58.551666717750557</v>
      </c>
      <c r="G103" s="423">
        <f>Loads!M63</f>
        <v>585.51666717750527</v>
      </c>
      <c r="H103" s="423">
        <f>Loads!N63</f>
        <v>1474.4655783233391</v>
      </c>
      <c r="I103" s="423">
        <f>Loads!V63</f>
        <v>-464.85307775484478</v>
      </c>
      <c r="J103" s="423">
        <f>Loads!Q63</f>
        <v>147.44655783233392</v>
      </c>
      <c r="K103" s="2">
        <v>43</v>
      </c>
      <c r="L103" s="12">
        <f t="shared" si="41"/>
        <v>50.7874032</v>
      </c>
      <c r="M103" s="11">
        <f t="shared" si="42"/>
        <v>20.511811680000001</v>
      </c>
      <c r="N103" s="11">
        <f t="shared" si="43"/>
        <v>1.1811023999999932</v>
      </c>
      <c r="O103" s="152">
        <f t="shared" si="44"/>
        <v>24.296300147560181</v>
      </c>
      <c r="P103" s="151">
        <f t="shared" si="45"/>
        <v>58.551666717750557</v>
      </c>
      <c r="Q103" s="12">
        <f t="shared" si="46"/>
        <v>585.51666717750527</v>
      </c>
      <c r="R103" s="12">
        <f t="shared" si="47"/>
        <v>17693.586939880068</v>
      </c>
      <c r="S103" s="12">
        <f t="shared" si="48"/>
        <v>-5578.2369330581369</v>
      </c>
      <c r="T103" s="152">
        <f t="shared" si="49"/>
        <v>1769.358693988007</v>
      </c>
      <c r="U103" s="8">
        <f t="shared" si="261"/>
        <v>3.6921261024000001</v>
      </c>
      <c r="V103" s="8">
        <f t="shared" si="262"/>
        <v>3.6921261024000001</v>
      </c>
      <c r="W103" s="134">
        <f t="shared" si="263"/>
        <v>1.8460630512</v>
      </c>
      <c r="X103" s="311">
        <f t="shared" si="264"/>
        <v>5.1279529200000002</v>
      </c>
      <c r="Y103" s="11">
        <f t="shared" si="265"/>
        <v>15.383858760000001</v>
      </c>
      <c r="Z103" s="11">
        <f t="shared" si="266"/>
        <v>10.25590584</v>
      </c>
      <c r="AA103" s="316">
        <f t="shared" si="50"/>
        <v>15.383858760000001</v>
      </c>
      <c r="AB103" s="170">
        <f t="shared" si="51"/>
        <v>2.7690945768000002</v>
      </c>
      <c r="AC103" s="11">
        <f t="shared" si="52"/>
        <v>15.383858760000001</v>
      </c>
      <c r="AD103" s="152">
        <f t="shared" si="53"/>
        <v>33.457458997971948</v>
      </c>
      <c r="AE103" s="151">
        <f t="shared" si="267"/>
        <v>3.8060455202560997</v>
      </c>
      <c r="AF103" s="12">
        <f t="shared" si="268"/>
        <v>83.363128882505194</v>
      </c>
      <c r="AG103" s="216">
        <f t="shared" si="269"/>
        <v>5.7109613489381723E-3</v>
      </c>
      <c r="AH103" s="2">
        <f t="shared" si="55"/>
        <v>1</v>
      </c>
      <c r="AI103" s="2">
        <f t="shared" si="56"/>
        <v>3</v>
      </c>
      <c r="AJ103" s="127">
        <f t="shared" si="57"/>
        <v>2</v>
      </c>
      <c r="AK103" s="2">
        <f t="shared" si="58"/>
        <v>1.5748031496062995E-2</v>
      </c>
      <c r="AL103" s="8">
        <f t="shared" si="270"/>
        <v>6.0100921415602318E-2</v>
      </c>
      <c r="AM103" s="138">
        <f t="shared" si="59"/>
        <v>0.25</v>
      </c>
      <c r="AN103" s="12">
        <f t="shared" si="271"/>
        <v>4981.7183171178067</v>
      </c>
      <c r="AO103" s="138">
        <f t="shared" si="60"/>
        <v>0.25</v>
      </c>
      <c r="AP103" s="116">
        <f t="shared" si="61"/>
        <v>2175570</v>
      </c>
      <c r="AQ103" s="2">
        <f t="shared" si="62"/>
        <v>1.5748031496062995E-2</v>
      </c>
      <c r="AR103" s="8">
        <f t="shared" si="63"/>
        <v>10.25590584</v>
      </c>
      <c r="AS103" s="116">
        <f t="shared" si="64"/>
        <v>2610.6840000000002</v>
      </c>
      <c r="AT103" s="217">
        <f t="shared" si="65"/>
        <v>0.15392414050913558</v>
      </c>
      <c r="AU103" s="207">
        <f t="shared" si="66"/>
        <v>3.4119974090239862</v>
      </c>
      <c r="AV103" s="144">
        <f t="shared" si="67"/>
        <v>10883.1214516828</v>
      </c>
      <c r="AW103" s="138">
        <f t="shared" si="68"/>
        <v>0.25</v>
      </c>
      <c r="AX103" s="116">
        <f t="shared" si="69"/>
        <v>2175570</v>
      </c>
      <c r="AY103" s="2">
        <f t="shared" si="70"/>
        <v>1.5748031496062995E-2</v>
      </c>
      <c r="AZ103" s="8">
        <f t="shared" si="71"/>
        <v>10.25590584</v>
      </c>
      <c r="BA103" s="116">
        <f t="shared" si="72"/>
        <v>2610.6840000000002</v>
      </c>
      <c r="BB103" s="217">
        <f t="shared" si="73"/>
        <v>0.15392414050913558</v>
      </c>
      <c r="BC103" s="207">
        <f t="shared" si="74"/>
        <v>3.4119974090239862</v>
      </c>
      <c r="BD103" s="144">
        <f t="shared" si="75"/>
        <v>10883.1214516828</v>
      </c>
      <c r="BE103" s="138">
        <f t="shared" si="76"/>
        <v>0.25</v>
      </c>
      <c r="BF103" s="116">
        <f t="shared" si="77"/>
        <v>2175570</v>
      </c>
      <c r="BG103" s="2">
        <f t="shared" si="78"/>
        <v>1.5748031496062995E-2</v>
      </c>
      <c r="BH103" s="8">
        <f t="shared" si="79"/>
        <v>10.25590584</v>
      </c>
      <c r="BI103" s="116">
        <f t="shared" si="80"/>
        <v>2610.6840000000002</v>
      </c>
      <c r="BJ103" s="217">
        <f t="shared" si="81"/>
        <v>0.15392414050913558</v>
      </c>
      <c r="BK103" s="207">
        <f t="shared" si="82"/>
        <v>3.4119974090239862</v>
      </c>
      <c r="BL103" s="144">
        <f t="shared" si="83"/>
        <v>10883.1214516828</v>
      </c>
      <c r="BM103" s="216">
        <f t="shared" si="84"/>
        <v>0.25</v>
      </c>
      <c r="BN103" s="216">
        <f t="shared" si="85"/>
        <v>2.3622047244094495E-2</v>
      </c>
      <c r="BO103" s="238">
        <f t="shared" si="86"/>
        <v>1.5748031496062995E-2</v>
      </c>
      <c r="BP103" s="216">
        <f t="shared" si="87"/>
        <v>0</v>
      </c>
      <c r="BQ103" s="138">
        <f t="shared" si="88"/>
        <v>0.25</v>
      </c>
      <c r="BR103" s="138">
        <f t="shared" si="89"/>
        <v>0</v>
      </c>
      <c r="BS103" s="238">
        <f t="shared" si="90"/>
        <v>0</v>
      </c>
      <c r="BT103" s="138">
        <f t="shared" si="91"/>
        <v>0</v>
      </c>
      <c r="BU103" s="138">
        <f t="shared" si="92"/>
        <v>0.25</v>
      </c>
      <c r="BV103" s="138">
        <f t="shared" si="93"/>
        <v>0</v>
      </c>
      <c r="BW103" s="238">
        <f t="shared" si="94"/>
        <v>0</v>
      </c>
      <c r="BX103" s="216">
        <f t="shared" si="95"/>
        <v>0</v>
      </c>
      <c r="BY103" s="138">
        <f t="shared" si="96"/>
        <v>2.3622047244094495E-2</v>
      </c>
      <c r="BZ103" s="138">
        <f t="shared" si="97"/>
        <v>0</v>
      </c>
      <c r="CA103" s="238">
        <f t="shared" si="98"/>
        <v>0</v>
      </c>
      <c r="CB103" s="138">
        <f t="shared" si="99"/>
        <v>0</v>
      </c>
      <c r="CC103" s="138">
        <f t="shared" si="100"/>
        <v>2.3622047244094495E-2</v>
      </c>
      <c r="CD103" s="138">
        <f t="shared" si="101"/>
        <v>0</v>
      </c>
      <c r="CE103" s="238">
        <f t="shared" si="102"/>
        <v>0</v>
      </c>
      <c r="CF103" s="216">
        <f t="shared" si="103"/>
        <v>0</v>
      </c>
      <c r="CG103" s="138">
        <f t="shared" si="104"/>
        <v>1.5748031496062995E-2</v>
      </c>
      <c r="CH103" s="138">
        <f t="shared" si="105"/>
        <v>0</v>
      </c>
      <c r="CI103" s="238">
        <f t="shared" si="106"/>
        <v>0</v>
      </c>
      <c r="CJ103" s="138">
        <f t="shared" si="107"/>
        <v>0</v>
      </c>
      <c r="CK103" s="138">
        <f t="shared" si="108"/>
        <v>1.5748031496062995E-2</v>
      </c>
      <c r="CL103" s="138">
        <f t="shared" si="109"/>
        <v>0</v>
      </c>
      <c r="CM103" s="238">
        <f t="shared" si="110"/>
        <v>0</v>
      </c>
      <c r="CN103" s="17">
        <f t="shared" si="111"/>
        <v>0.25</v>
      </c>
      <c r="CO103" s="17">
        <f t="shared" si="112"/>
        <v>2.3622047244094495E-2</v>
      </c>
      <c r="CP103" s="17">
        <f t="shared" si="113"/>
        <v>1.5748031496062995E-2</v>
      </c>
      <c r="CQ103" s="17">
        <f>$U103-IF('Inputs-Imperial'!$E$13,0,2)*($CO103+$CN103+$CP103)</f>
        <v>3.6921261024000001</v>
      </c>
      <c r="CR103" s="116">
        <f t="shared" si="114"/>
        <v>4792.2488152229334</v>
      </c>
      <c r="CS103" s="8">
        <f t="shared" si="10"/>
        <v>0.12390499770464292</v>
      </c>
      <c r="CT103" s="8">
        <f t="shared" si="115"/>
        <v>0.35200141719124217</v>
      </c>
      <c r="CU103" s="8">
        <f t="shared" si="272"/>
        <v>0.12390499770464292</v>
      </c>
      <c r="CV103" s="8">
        <f t="shared" si="116"/>
        <v>0.35200141719124217</v>
      </c>
      <c r="CW103" s="216">
        <f t="shared" si="117"/>
        <v>3.340124685208758</v>
      </c>
      <c r="CX103" s="116">
        <f t="shared" si="118"/>
        <v>5297.2833673645382</v>
      </c>
      <c r="CY103" s="8">
        <f t="shared" si="119"/>
        <v>0.13696281407367047</v>
      </c>
      <c r="CZ103" s="8">
        <f t="shared" si="120"/>
        <v>0.37008487414871533</v>
      </c>
      <c r="DA103" s="8">
        <f t="shared" si="121"/>
        <v>0.13696281407367047</v>
      </c>
      <c r="DB103" s="8">
        <f t="shared" si="122"/>
        <v>0.37008487414871533</v>
      </c>
      <c r="DC103" s="216">
        <f t="shared" si="123"/>
        <v>3.3220412282512846</v>
      </c>
      <c r="DD103" s="116">
        <f t="shared" si="124"/>
        <v>5326.1190106282738</v>
      </c>
      <c r="DE103" s="8">
        <f t="shared" si="125"/>
        <v>0.13770836808185458</v>
      </c>
      <c r="DF103" s="8">
        <f t="shared" si="126"/>
        <v>0.37109078145630964</v>
      </c>
      <c r="DG103" s="8">
        <f t="shared" si="127"/>
        <v>0.13770836808185458</v>
      </c>
      <c r="DH103" s="8">
        <f t="shared" si="128"/>
        <v>0.37109078145630964</v>
      </c>
      <c r="DI103" s="216">
        <f t="shared" si="129"/>
        <v>3.32103532094369</v>
      </c>
      <c r="DJ103" s="116">
        <f t="shared" si="130"/>
        <v>5327.7322370821221</v>
      </c>
      <c r="DK103" s="8">
        <f t="shared" si="131"/>
        <v>0.13775007852464841</v>
      </c>
      <c r="DL103" s="8">
        <f t="shared" si="132"/>
        <v>0.37114697698438609</v>
      </c>
      <c r="DM103" s="8">
        <f t="shared" si="133"/>
        <v>0.13775007852464841</v>
      </c>
      <c r="DN103" s="8">
        <f t="shared" si="134"/>
        <v>0.37114697698438609</v>
      </c>
      <c r="DO103" s="216">
        <f t="shared" si="135"/>
        <v>3.3209791254156138</v>
      </c>
      <c r="DP103" s="116">
        <f t="shared" si="136"/>
        <v>5327.8223896290683</v>
      </c>
      <c r="DQ103" s="170">
        <f t="shared" si="137"/>
        <v>0.13775240944517303</v>
      </c>
      <c r="DR103" s="8">
        <f t="shared" si="138"/>
        <v>0.37115011712940765</v>
      </c>
      <c r="DS103" s="8">
        <f t="shared" si="139"/>
        <v>0.13775240944517303</v>
      </c>
      <c r="DT103" s="134">
        <f t="shared" si="140"/>
        <v>0.37115011712940765</v>
      </c>
      <c r="DU103" s="170">
        <f t="shared" si="304"/>
        <v>0.15260733333097529</v>
      </c>
      <c r="DV103" s="170">
        <f t="shared" si="304"/>
        <v>0.39064988587093596</v>
      </c>
      <c r="DW103" s="170">
        <f t="shared" si="304"/>
        <v>0.15260733333097529</v>
      </c>
      <c r="DX103" s="272">
        <f t="shared" si="304"/>
        <v>0.39064988587093596</v>
      </c>
      <c r="DY103" s="272">
        <f t="shared" si="142"/>
        <v>2.9108263306581281</v>
      </c>
      <c r="DZ103" s="22">
        <f t="shared" si="273"/>
        <v>158.58523001067073</v>
      </c>
      <c r="EA103" s="216">
        <f t="shared" si="274"/>
        <v>1.0389843947801815E-2</v>
      </c>
      <c r="EB103" s="12">
        <f t="shared" si="143"/>
        <v>2</v>
      </c>
      <c r="EC103" s="7">
        <f>ROUND(MAX(DV103,DX103)/'Inputs-Imperial'!$E$21,0)</f>
        <v>3</v>
      </c>
      <c r="ED103" s="12">
        <f t="shared" si="144"/>
        <v>3</v>
      </c>
      <c r="EE103" s="2">
        <f t="shared" si="145"/>
        <v>2</v>
      </c>
      <c r="EF103" s="127">
        <f t="shared" si="146"/>
        <v>2</v>
      </c>
      <c r="EG103" s="2">
        <f t="shared" si="147"/>
        <v>1.5748031496062995E-2</v>
      </c>
      <c r="EH103" s="8">
        <f t="shared" si="275"/>
        <v>0.10934046940158491</v>
      </c>
      <c r="EI103" s="138">
        <f t="shared" si="148"/>
        <v>0.25</v>
      </c>
      <c r="EJ103" s="12">
        <f t="shared" si="276"/>
        <v>9063.1458951098321</v>
      </c>
      <c r="EK103" s="138">
        <f t="shared" si="149"/>
        <v>0.25</v>
      </c>
      <c r="EL103" s="116">
        <f t="shared" si="150"/>
        <v>2175570</v>
      </c>
      <c r="EM103" s="2">
        <f t="shared" si="277"/>
        <v>1.5748031496062995E-2</v>
      </c>
      <c r="EN103" s="8">
        <f t="shared" si="151"/>
        <v>3.6921261024000001</v>
      </c>
      <c r="EO103" s="116">
        <f t="shared" si="152"/>
        <v>2610.6840000000002</v>
      </c>
      <c r="EP103" s="217">
        <f t="shared" si="153"/>
        <v>1.1876862693606141</v>
      </c>
      <c r="EQ103" s="207">
        <f t="shared" si="154"/>
        <v>2</v>
      </c>
      <c r="ER103" s="144">
        <f t="shared" si="155"/>
        <v>49223.192454476186</v>
      </c>
      <c r="ES103" s="138">
        <f t="shared" si="278"/>
        <v>0.25</v>
      </c>
      <c r="ET103" s="116">
        <f t="shared" si="156"/>
        <v>2175570</v>
      </c>
      <c r="EU103" s="2">
        <f t="shared" si="279"/>
        <v>1.5748031496062995E-2</v>
      </c>
      <c r="EV103" s="8">
        <f t="shared" si="157"/>
        <v>3.6921261024000001</v>
      </c>
      <c r="EW103" s="116">
        <f t="shared" si="158"/>
        <v>2610.6840000000002</v>
      </c>
      <c r="EX103" s="217">
        <f t="shared" si="159"/>
        <v>1.1876862693606141</v>
      </c>
      <c r="EY103" s="207">
        <f t="shared" si="160"/>
        <v>2</v>
      </c>
      <c r="EZ103" s="144">
        <f t="shared" si="161"/>
        <v>49223.192454476186</v>
      </c>
      <c r="FA103" s="138">
        <f t="shared" si="280"/>
        <v>0.25</v>
      </c>
      <c r="FB103" s="116">
        <f t="shared" si="162"/>
        <v>2175570</v>
      </c>
      <c r="FC103" s="2">
        <f t="shared" si="281"/>
        <v>1.5748031496062995E-2</v>
      </c>
      <c r="FD103" s="8">
        <f t="shared" si="163"/>
        <v>3.6921261024000001</v>
      </c>
      <c r="FE103" s="116">
        <f t="shared" si="164"/>
        <v>2610.6840000000002</v>
      </c>
      <c r="FF103" s="217">
        <f t="shared" si="165"/>
        <v>1.1876862693606141</v>
      </c>
      <c r="FG103" s="207">
        <f t="shared" si="166"/>
        <v>2</v>
      </c>
      <c r="FH103" s="144">
        <f t="shared" si="167"/>
        <v>49223.192454476186</v>
      </c>
      <c r="FI103" s="128">
        <f t="shared" si="168"/>
        <v>0.25</v>
      </c>
      <c r="FJ103" s="2">
        <f t="shared" si="169"/>
        <v>1.5748031496062995E-2</v>
      </c>
      <c r="FK103" s="127">
        <f t="shared" si="170"/>
        <v>1.5748031496062995E-2</v>
      </c>
      <c r="FL103" s="216">
        <f t="shared" si="171"/>
        <v>0</v>
      </c>
      <c r="FM103" s="138">
        <f t="shared" si="172"/>
        <v>0.25</v>
      </c>
      <c r="FN103" s="138">
        <f t="shared" si="173"/>
        <v>0</v>
      </c>
      <c r="FO103" s="238">
        <f t="shared" si="174"/>
        <v>0</v>
      </c>
      <c r="FP103" s="216">
        <f t="shared" si="282"/>
        <v>0</v>
      </c>
      <c r="FQ103" s="138">
        <f t="shared" si="283"/>
        <v>0.25</v>
      </c>
      <c r="FR103" s="138">
        <f t="shared" si="284"/>
        <v>0</v>
      </c>
      <c r="FS103" s="238">
        <f t="shared" si="285"/>
        <v>0</v>
      </c>
      <c r="FT103" s="216">
        <f t="shared" si="175"/>
        <v>0</v>
      </c>
      <c r="FU103" s="138">
        <f t="shared" si="176"/>
        <v>1.5748031496062995E-2</v>
      </c>
      <c r="FV103" s="138">
        <f t="shared" si="177"/>
        <v>0</v>
      </c>
      <c r="FW103" s="238">
        <f t="shared" si="178"/>
        <v>0</v>
      </c>
      <c r="FX103" s="216">
        <f t="shared" si="286"/>
        <v>0</v>
      </c>
      <c r="FY103" s="138">
        <f t="shared" si="287"/>
        <v>1.5748031496062995E-2</v>
      </c>
      <c r="FZ103" s="138">
        <f t="shared" si="288"/>
        <v>0</v>
      </c>
      <c r="GA103" s="238">
        <f t="shared" si="289"/>
        <v>0</v>
      </c>
      <c r="GB103" s="216">
        <f t="shared" si="179"/>
        <v>0</v>
      </c>
      <c r="GC103" s="138">
        <f t="shared" si="180"/>
        <v>1.5748031496062995E-2</v>
      </c>
      <c r="GD103" s="138">
        <f t="shared" si="181"/>
        <v>0</v>
      </c>
      <c r="GE103" s="238">
        <f t="shared" si="182"/>
        <v>0</v>
      </c>
      <c r="GF103" s="216">
        <f t="shared" si="290"/>
        <v>0</v>
      </c>
      <c r="GG103" s="138">
        <f t="shared" si="291"/>
        <v>1.5748031496062995E-2</v>
      </c>
      <c r="GH103" s="138">
        <f t="shared" si="292"/>
        <v>0</v>
      </c>
      <c r="GI103" s="238">
        <f t="shared" si="293"/>
        <v>0</v>
      </c>
      <c r="GJ103" s="216">
        <f t="shared" si="183"/>
        <v>0.25</v>
      </c>
      <c r="GK103" s="216">
        <f t="shared" si="184"/>
        <v>1.5748031496062995E-2</v>
      </c>
      <c r="GL103" s="17">
        <f t="shared" si="185"/>
        <v>1.5748031496062995E-2</v>
      </c>
      <c r="GM103" s="216">
        <f t="shared" si="294"/>
        <v>5.4616050941909281E-3</v>
      </c>
      <c r="GN103" s="2">
        <f t="shared" si="187"/>
        <v>1</v>
      </c>
      <c r="GO103" s="2">
        <f t="shared" si="188"/>
        <v>2</v>
      </c>
      <c r="GP103" s="142">
        <f t="shared" si="189"/>
        <v>2</v>
      </c>
      <c r="GQ103" s="2">
        <f t="shared" si="190"/>
        <v>1.5748031496062995E-2</v>
      </c>
      <c r="GR103" s="8">
        <f t="shared" si="295"/>
        <v>5.7476750149964277E-2</v>
      </c>
      <c r="GS103" s="138">
        <f t="shared" si="191"/>
        <v>0.25</v>
      </c>
      <c r="GT103" s="12">
        <f t="shared" si="296"/>
        <v>4764.2028156351707</v>
      </c>
      <c r="GU103" s="138">
        <f t="shared" si="192"/>
        <v>0.25</v>
      </c>
      <c r="GV103" s="116">
        <f t="shared" si="193"/>
        <v>2175570</v>
      </c>
      <c r="GW103" s="2">
        <f t="shared" si="297"/>
        <v>1.5748031496062995E-2</v>
      </c>
      <c r="GX103" s="8">
        <f t="shared" si="298"/>
        <v>1.8460630512</v>
      </c>
      <c r="GY103" s="116">
        <f t="shared" si="194"/>
        <v>2610.6840000000002</v>
      </c>
      <c r="GZ103" s="217">
        <f t="shared" si="195"/>
        <v>4.7507450774424562</v>
      </c>
      <c r="HA103" s="207">
        <f t="shared" si="196"/>
        <v>2</v>
      </c>
      <c r="HB103" s="144">
        <f t="shared" si="197"/>
        <v>196892.76981790474</v>
      </c>
      <c r="HC103" s="138">
        <f t="shared" si="299"/>
        <v>0.25</v>
      </c>
      <c r="HD103" s="116">
        <f t="shared" si="198"/>
        <v>2175570</v>
      </c>
      <c r="HE103" s="2">
        <f t="shared" si="300"/>
        <v>1.5748031496062995E-2</v>
      </c>
      <c r="HF103" s="8">
        <f t="shared" si="199"/>
        <v>1.8460630512</v>
      </c>
      <c r="HG103" s="116">
        <f t="shared" si="200"/>
        <v>2610.6840000000002</v>
      </c>
      <c r="HH103" s="217">
        <f t="shared" si="201"/>
        <v>4.7507450774424562</v>
      </c>
      <c r="HI103" s="207">
        <f t="shared" si="202"/>
        <v>2</v>
      </c>
      <c r="HJ103" s="144">
        <f t="shared" si="203"/>
        <v>196892.76981790474</v>
      </c>
      <c r="HK103" s="138">
        <f t="shared" si="301"/>
        <v>0.25</v>
      </c>
      <c r="HL103" s="116">
        <f t="shared" si="204"/>
        <v>2175570</v>
      </c>
      <c r="HM103" s="2">
        <f t="shared" si="302"/>
        <v>1.5748031496062995E-2</v>
      </c>
      <c r="HN103" s="8">
        <f t="shared" si="205"/>
        <v>1.8460630512</v>
      </c>
      <c r="HO103" s="116">
        <f t="shared" si="206"/>
        <v>2610.6840000000002</v>
      </c>
      <c r="HP103" s="217">
        <f t="shared" si="207"/>
        <v>4.7507450774424562</v>
      </c>
      <c r="HQ103" s="207">
        <f t="shared" si="208"/>
        <v>2</v>
      </c>
      <c r="HR103" s="144">
        <f t="shared" si="209"/>
        <v>196892.76981790474</v>
      </c>
      <c r="HS103" s="128">
        <f t="shared" si="210"/>
        <v>0.25</v>
      </c>
      <c r="HT103" s="2">
        <f t="shared" si="211"/>
        <v>1.5748031496062995E-2</v>
      </c>
      <c r="HU103" s="127">
        <f t="shared" si="212"/>
        <v>1.5748031496062995E-2</v>
      </c>
      <c r="HV103" s="216">
        <f t="shared" si="213"/>
        <v>0</v>
      </c>
      <c r="HW103" s="138">
        <f t="shared" si="214"/>
        <v>0.25</v>
      </c>
      <c r="HX103" s="138">
        <f t="shared" si="215"/>
        <v>0</v>
      </c>
      <c r="HY103" s="238">
        <f t="shared" si="216"/>
        <v>0</v>
      </c>
      <c r="HZ103" s="138">
        <f t="shared" si="217"/>
        <v>0</v>
      </c>
      <c r="IA103" s="138">
        <f t="shared" si="218"/>
        <v>0.25</v>
      </c>
      <c r="IB103" s="138">
        <f t="shared" si="219"/>
        <v>0</v>
      </c>
      <c r="IC103" s="138">
        <f t="shared" si="220"/>
        <v>0</v>
      </c>
      <c r="ID103" s="216">
        <f t="shared" si="221"/>
        <v>0</v>
      </c>
      <c r="IE103" s="138">
        <f t="shared" si="222"/>
        <v>1.5748031496062995E-2</v>
      </c>
      <c r="IF103" s="138">
        <f t="shared" si="223"/>
        <v>0</v>
      </c>
      <c r="IG103" s="238">
        <f t="shared" si="224"/>
        <v>0</v>
      </c>
      <c r="IH103" s="138">
        <f t="shared" si="225"/>
        <v>0</v>
      </c>
      <c r="II103" s="138">
        <f t="shared" si="226"/>
        <v>1.5748031496062995E-2</v>
      </c>
      <c r="IJ103" s="138">
        <f t="shared" si="227"/>
        <v>0</v>
      </c>
      <c r="IK103" s="138">
        <f t="shared" si="228"/>
        <v>0</v>
      </c>
      <c r="IL103" s="216">
        <f t="shared" si="229"/>
        <v>0</v>
      </c>
      <c r="IM103" s="138">
        <f t="shared" si="230"/>
        <v>1.5748031496062995E-2</v>
      </c>
      <c r="IN103" s="138">
        <f t="shared" si="231"/>
        <v>0</v>
      </c>
      <c r="IO103" s="238">
        <f t="shared" si="232"/>
        <v>0</v>
      </c>
      <c r="IP103" s="138">
        <f t="shared" si="233"/>
        <v>0</v>
      </c>
      <c r="IQ103" s="138">
        <f t="shared" si="234"/>
        <v>1.5748031496062995E-2</v>
      </c>
      <c r="IR103" s="138">
        <f t="shared" si="235"/>
        <v>0</v>
      </c>
      <c r="IS103" s="138">
        <f t="shared" si="236"/>
        <v>0</v>
      </c>
      <c r="IT103" s="17">
        <f t="shared" si="237"/>
        <v>0.25</v>
      </c>
      <c r="IU103" s="17">
        <f t="shared" si="238"/>
        <v>1.5748031496062995E-2</v>
      </c>
      <c r="IV103" s="17">
        <f t="shared" si="239"/>
        <v>1.5748031496062995E-2</v>
      </c>
      <c r="IW103" s="253">
        <f t="shared" si="240"/>
        <v>10.25590584</v>
      </c>
      <c r="IX103" s="116">
        <f t="shared" si="303"/>
        <v>172.52095734802563</v>
      </c>
      <c r="IY103" s="8">
        <f t="shared" si="242"/>
        <v>4.4605799173671459E-3</v>
      </c>
      <c r="IZ103" s="8">
        <f t="shared" si="243"/>
        <v>4.4605799173671459E-3</v>
      </c>
      <c r="JA103" s="8">
        <f t="shared" si="244"/>
        <v>2.2302899586835729E-3</v>
      </c>
      <c r="JB103" s="134">
        <f t="shared" si="245"/>
        <v>4.7225945820952839E-2</v>
      </c>
      <c r="JC103" s="170">
        <f t="shared" si="305"/>
        <v>2.4612277601232125E-3</v>
      </c>
      <c r="JD103" s="272">
        <f t="shared" si="306"/>
        <v>4.9610762543254791E-2</v>
      </c>
      <c r="JE103" s="8"/>
      <c r="JF103" s="8"/>
    </row>
    <row r="104" spans="1:266" x14ac:dyDescent="0.25">
      <c r="A104" s="186">
        <v>44</v>
      </c>
      <c r="B104" s="187">
        <f>A104/100*'Inputs-Imperial'!$E$5</f>
        <v>4.3307088</v>
      </c>
      <c r="C104" s="188">
        <f>'Inputs-Imperial'!$E$10+('Inputs-Imperial'!$E$9-'Inputs-Imperial'!$E$10)*(100-A104)/100</f>
        <v>1.69947512</v>
      </c>
      <c r="D104" s="187">
        <f t="shared" si="248"/>
        <v>9.8425200000000324E-2</v>
      </c>
      <c r="E104" s="188">
        <f t="shared" si="249"/>
        <v>0.16775555458077654</v>
      </c>
      <c r="F104" s="423">
        <f>Loads!P64</f>
        <v>57.226990865191389</v>
      </c>
      <c r="G104" s="423">
        <f>Loads!M64</f>
        <v>572.26990865191362</v>
      </c>
      <c r="H104" s="423">
        <f>Loads!N64</f>
        <v>1416.8359832530596</v>
      </c>
      <c r="I104" s="423">
        <f>Loads!V64</f>
        <v>-451.82958132898278</v>
      </c>
      <c r="J104" s="423">
        <f>Loads!Q64</f>
        <v>141.68359832530595</v>
      </c>
      <c r="K104" s="2">
        <v>44</v>
      </c>
      <c r="L104" s="12">
        <f t="shared" si="41"/>
        <v>51.9685056</v>
      </c>
      <c r="M104" s="11">
        <f t="shared" si="42"/>
        <v>20.393701440000001</v>
      </c>
      <c r="N104" s="11">
        <f t="shared" si="43"/>
        <v>1.1811024000000039</v>
      </c>
      <c r="O104" s="152">
        <f t="shared" si="44"/>
        <v>24.156799859631825</v>
      </c>
      <c r="P104" s="151">
        <f t="shared" si="45"/>
        <v>57.226990865191389</v>
      </c>
      <c r="Q104" s="12">
        <f t="shared" si="46"/>
        <v>572.26990865191362</v>
      </c>
      <c r="R104" s="12">
        <f t="shared" si="47"/>
        <v>17002.031799036715</v>
      </c>
      <c r="S104" s="12">
        <f t="shared" si="48"/>
        <v>-5421.9549759477932</v>
      </c>
      <c r="T104" s="152">
        <f t="shared" si="49"/>
        <v>1700.2031799036713</v>
      </c>
      <c r="U104" s="8">
        <f t="shared" si="261"/>
        <v>3.6708662591999999</v>
      </c>
      <c r="V104" s="8">
        <f t="shared" si="262"/>
        <v>3.6708662591999999</v>
      </c>
      <c r="W104" s="134">
        <f t="shared" si="263"/>
        <v>1.8354331295999999</v>
      </c>
      <c r="X104" s="311">
        <f t="shared" si="264"/>
        <v>5.0984253600000002</v>
      </c>
      <c r="Y104" s="11">
        <f t="shared" si="265"/>
        <v>15.295276080000001</v>
      </c>
      <c r="Z104" s="11">
        <f t="shared" si="266"/>
        <v>10.19685072</v>
      </c>
      <c r="AA104" s="316">
        <f t="shared" si="50"/>
        <v>15.295276080000001</v>
      </c>
      <c r="AB104" s="170">
        <f t="shared" si="51"/>
        <v>2.7531496943999998</v>
      </c>
      <c r="AC104" s="11">
        <f t="shared" si="52"/>
        <v>15.295276080000001</v>
      </c>
      <c r="AD104" s="152">
        <f t="shared" si="53"/>
        <v>33.073261696544826</v>
      </c>
      <c r="AE104" s="151">
        <f t="shared" si="267"/>
        <v>3.7414813937239755</v>
      </c>
      <c r="AF104" s="12">
        <f t="shared" si="268"/>
        <v>81.968857890333609</v>
      </c>
      <c r="AG104" s="216">
        <f t="shared" si="269"/>
        <v>5.61538454630728E-3</v>
      </c>
      <c r="AH104" s="2">
        <f t="shared" si="55"/>
        <v>1</v>
      </c>
      <c r="AI104" s="2">
        <f t="shared" si="56"/>
        <v>3</v>
      </c>
      <c r="AJ104" s="127">
        <f t="shared" si="57"/>
        <v>2</v>
      </c>
      <c r="AK104" s="2">
        <f t="shared" si="58"/>
        <v>1.5748031496062995E-2</v>
      </c>
      <c r="AL104" s="8">
        <f t="shared" si="270"/>
        <v>5.9095091827009186E-2</v>
      </c>
      <c r="AM104" s="138">
        <f t="shared" si="59"/>
        <v>0.25</v>
      </c>
      <c r="AN104" s="12">
        <f t="shared" si="271"/>
        <v>4898.3458900838905</v>
      </c>
      <c r="AO104" s="138">
        <f t="shared" si="60"/>
        <v>0.25</v>
      </c>
      <c r="AP104" s="116">
        <f t="shared" si="61"/>
        <v>2175570</v>
      </c>
      <c r="AQ104" s="2">
        <f t="shared" si="62"/>
        <v>1.5748031496062995E-2</v>
      </c>
      <c r="AR104" s="8">
        <f t="shared" si="63"/>
        <v>10.19685072</v>
      </c>
      <c r="AS104" s="116">
        <f t="shared" si="64"/>
        <v>2610.6840000000002</v>
      </c>
      <c r="AT104" s="217">
        <f t="shared" si="65"/>
        <v>0.15571220846417119</v>
      </c>
      <c r="AU104" s="207">
        <f t="shared" si="66"/>
        <v>3.3983682060206166</v>
      </c>
      <c r="AV104" s="144">
        <f t="shared" si="67"/>
        <v>10965.568246046429</v>
      </c>
      <c r="AW104" s="138">
        <f t="shared" si="68"/>
        <v>0.25</v>
      </c>
      <c r="AX104" s="116">
        <f t="shared" si="69"/>
        <v>2175570</v>
      </c>
      <c r="AY104" s="2">
        <f t="shared" si="70"/>
        <v>1.5748031496062995E-2</v>
      </c>
      <c r="AZ104" s="8">
        <f t="shared" si="71"/>
        <v>10.19685072</v>
      </c>
      <c r="BA104" s="116">
        <f t="shared" si="72"/>
        <v>2610.6840000000002</v>
      </c>
      <c r="BB104" s="217">
        <f t="shared" si="73"/>
        <v>0.15571220846417119</v>
      </c>
      <c r="BC104" s="207">
        <f t="shared" si="74"/>
        <v>3.3983682060206166</v>
      </c>
      <c r="BD104" s="144">
        <f t="shared" si="75"/>
        <v>10965.568246046429</v>
      </c>
      <c r="BE104" s="138">
        <f t="shared" si="76"/>
        <v>0.25</v>
      </c>
      <c r="BF104" s="116">
        <f t="shared" si="77"/>
        <v>2175570</v>
      </c>
      <c r="BG104" s="2">
        <f t="shared" si="78"/>
        <v>1.5748031496062995E-2</v>
      </c>
      <c r="BH104" s="8">
        <f t="shared" si="79"/>
        <v>10.19685072</v>
      </c>
      <c r="BI104" s="116">
        <f t="shared" si="80"/>
        <v>2610.6840000000002</v>
      </c>
      <c r="BJ104" s="217">
        <f t="shared" si="81"/>
        <v>0.15571220846417119</v>
      </c>
      <c r="BK104" s="207">
        <f t="shared" si="82"/>
        <v>3.3983682060206166</v>
      </c>
      <c r="BL104" s="144">
        <f t="shared" si="83"/>
        <v>10965.568246046429</v>
      </c>
      <c r="BM104" s="216">
        <f t="shared" si="84"/>
        <v>0.25</v>
      </c>
      <c r="BN104" s="216">
        <f t="shared" si="85"/>
        <v>2.3622047244094495E-2</v>
      </c>
      <c r="BO104" s="238">
        <f t="shared" si="86"/>
        <v>1.5748031496062995E-2</v>
      </c>
      <c r="BP104" s="216">
        <f t="shared" si="87"/>
        <v>0</v>
      </c>
      <c r="BQ104" s="138">
        <f t="shared" si="88"/>
        <v>0.25</v>
      </c>
      <c r="BR104" s="138">
        <f t="shared" si="89"/>
        <v>0</v>
      </c>
      <c r="BS104" s="238">
        <f t="shared" si="90"/>
        <v>0</v>
      </c>
      <c r="BT104" s="138">
        <f t="shared" si="91"/>
        <v>0</v>
      </c>
      <c r="BU104" s="138">
        <f t="shared" si="92"/>
        <v>0.25</v>
      </c>
      <c r="BV104" s="138">
        <f t="shared" si="93"/>
        <v>0</v>
      </c>
      <c r="BW104" s="238">
        <f t="shared" si="94"/>
        <v>0</v>
      </c>
      <c r="BX104" s="216">
        <f t="shared" si="95"/>
        <v>0</v>
      </c>
      <c r="BY104" s="138">
        <f t="shared" si="96"/>
        <v>2.3622047244094495E-2</v>
      </c>
      <c r="BZ104" s="138">
        <f t="shared" si="97"/>
        <v>0</v>
      </c>
      <c r="CA104" s="238">
        <f t="shared" si="98"/>
        <v>0</v>
      </c>
      <c r="CB104" s="138">
        <f t="shared" si="99"/>
        <v>0</v>
      </c>
      <c r="CC104" s="138">
        <f t="shared" si="100"/>
        <v>2.3622047244094495E-2</v>
      </c>
      <c r="CD104" s="138">
        <f t="shared" si="101"/>
        <v>0</v>
      </c>
      <c r="CE104" s="238">
        <f t="shared" si="102"/>
        <v>0</v>
      </c>
      <c r="CF104" s="216">
        <f t="shared" si="103"/>
        <v>0</v>
      </c>
      <c r="CG104" s="138">
        <f t="shared" si="104"/>
        <v>1.5748031496062995E-2</v>
      </c>
      <c r="CH104" s="138">
        <f t="shared" si="105"/>
        <v>0</v>
      </c>
      <c r="CI104" s="238">
        <f t="shared" si="106"/>
        <v>0</v>
      </c>
      <c r="CJ104" s="138">
        <f t="shared" si="107"/>
        <v>0</v>
      </c>
      <c r="CK104" s="138">
        <f t="shared" si="108"/>
        <v>1.5748031496062995E-2</v>
      </c>
      <c r="CL104" s="138">
        <f t="shared" si="109"/>
        <v>0</v>
      </c>
      <c r="CM104" s="238">
        <f t="shared" si="110"/>
        <v>0</v>
      </c>
      <c r="CN104" s="17">
        <f t="shared" si="111"/>
        <v>0.25</v>
      </c>
      <c r="CO104" s="17">
        <f t="shared" si="112"/>
        <v>2.3622047244094495E-2</v>
      </c>
      <c r="CP104" s="17">
        <f t="shared" si="113"/>
        <v>1.5748031496062995E-2</v>
      </c>
      <c r="CQ104" s="17">
        <f>$U104-IF('Inputs-Imperial'!$E$13,0,2)*($CO104+$CN104+$CP104)</f>
        <v>3.6708662591999999</v>
      </c>
      <c r="CR104" s="116">
        <f t="shared" si="114"/>
        <v>4631.6129759360956</v>
      </c>
      <c r="CS104" s="8">
        <f t="shared" si="10"/>
        <v>0.11975171099822361</v>
      </c>
      <c r="CT104" s="8">
        <f t="shared" si="115"/>
        <v>0.34605160164088766</v>
      </c>
      <c r="CU104" s="8">
        <f t="shared" si="272"/>
        <v>0.11975171099822361</v>
      </c>
      <c r="CV104" s="8">
        <f t="shared" si="116"/>
        <v>0.34605160164088766</v>
      </c>
      <c r="CW104" s="216">
        <f t="shared" si="117"/>
        <v>3.3248146575591124</v>
      </c>
      <c r="CX104" s="116">
        <f t="shared" si="118"/>
        <v>5113.6780693569935</v>
      </c>
      <c r="CY104" s="8">
        <f t="shared" si="119"/>
        <v>0.13221564527977994</v>
      </c>
      <c r="CZ104" s="8">
        <f t="shared" si="120"/>
        <v>0.36361469343218233</v>
      </c>
      <c r="DA104" s="8">
        <f t="shared" si="121"/>
        <v>0.13221564527977994</v>
      </c>
      <c r="DB104" s="8">
        <f t="shared" si="122"/>
        <v>0.36361469343218233</v>
      </c>
      <c r="DC104" s="216">
        <f t="shared" si="123"/>
        <v>3.3072515657678179</v>
      </c>
      <c r="DD104" s="116">
        <f t="shared" si="124"/>
        <v>5140.8341521457533</v>
      </c>
      <c r="DE104" s="8">
        <f t="shared" si="125"/>
        <v>0.13291777375961178</v>
      </c>
      <c r="DF104" s="8">
        <f t="shared" si="126"/>
        <v>0.36457889922431302</v>
      </c>
      <c r="DG104" s="8">
        <f t="shared" si="127"/>
        <v>0.13291777375961178</v>
      </c>
      <c r="DH104" s="8">
        <f t="shared" si="128"/>
        <v>0.36457889922431302</v>
      </c>
      <c r="DI104" s="216">
        <f t="shared" si="129"/>
        <v>3.3062873599756872</v>
      </c>
      <c r="DJ104" s="116">
        <f t="shared" si="130"/>
        <v>5142.3333630509778</v>
      </c>
      <c r="DK104" s="8">
        <f t="shared" si="131"/>
        <v>0.13295653629697848</v>
      </c>
      <c r="DL104" s="8">
        <f t="shared" si="132"/>
        <v>0.3646320560468847</v>
      </c>
      <c r="DM104" s="8">
        <f t="shared" si="133"/>
        <v>0.13295653629697848</v>
      </c>
      <c r="DN104" s="8">
        <f t="shared" si="134"/>
        <v>0.3646320560468847</v>
      </c>
      <c r="DO104" s="216">
        <f t="shared" si="135"/>
        <v>3.3062342031531151</v>
      </c>
      <c r="DP104" s="116">
        <f t="shared" si="136"/>
        <v>5142.4160402254884</v>
      </c>
      <c r="DQ104" s="170">
        <f t="shared" si="137"/>
        <v>0.13295867393955776</v>
      </c>
      <c r="DR104" s="8">
        <f t="shared" si="138"/>
        <v>0.36463498726748339</v>
      </c>
      <c r="DS104" s="8">
        <f t="shared" si="139"/>
        <v>0.13295867393955776</v>
      </c>
      <c r="DT104" s="134">
        <f t="shared" si="140"/>
        <v>0.36463498726748339</v>
      </c>
      <c r="DU104" s="170">
        <f t="shared" si="304"/>
        <v>0.15260733333097529</v>
      </c>
      <c r="DV104" s="170">
        <f t="shared" si="304"/>
        <v>0.39064988587093596</v>
      </c>
      <c r="DW104" s="170">
        <f t="shared" si="304"/>
        <v>0.15260733333097529</v>
      </c>
      <c r="DX104" s="272">
        <f t="shared" si="304"/>
        <v>0.39064988587093596</v>
      </c>
      <c r="DY104" s="272">
        <f t="shared" si="142"/>
        <v>2.8895664874581279</v>
      </c>
      <c r="DZ104" s="22">
        <f t="shared" si="273"/>
        <v>155.89505807183227</v>
      </c>
      <c r="EA104" s="216">
        <f t="shared" si="274"/>
        <v>1.0213595083797227E-2</v>
      </c>
      <c r="EB104" s="12">
        <f t="shared" si="143"/>
        <v>2</v>
      </c>
      <c r="EC104" s="7">
        <f>ROUND(MAX(DV104,DX104)/'Inputs-Imperial'!$E$21,0)</f>
        <v>3</v>
      </c>
      <c r="ED104" s="12">
        <f t="shared" si="144"/>
        <v>3</v>
      </c>
      <c r="EE104" s="2">
        <f t="shared" si="145"/>
        <v>2</v>
      </c>
      <c r="EF104" s="127">
        <f t="shared" si="146"/>
        <v>2</v>
      </c>
      <c r="EG104" s="2">
        <f t="shared" si="147"/>
        <v>1.5748031496062995E-2</v>
      </c>
      <c r="EH104" s="8">
        <f t="shared" si="275"/>
        <v>0.10748566449608533</v>
      </c>
      <c r="EI104" s="138">
        <f t="shared" si="148"/>
        <v>0.25</v>
      </c>
      <c r="EJ104" s="12">
        <f t="shared" si="276"/>
        <v>8909.4025688052116</v>
      </c>
      <c r="EK104" s="138">
        <f t="shared" si="149"/>
        <v>0.25</v>
      </c>
      <c r="EL104" s="116">
        <f t="shared" si="150"/>
        <v>2175570</v>
      </c>
      <c r="EM104" s="2">
        <f t="shared" si="277"/>
        <v>1.5748031496062995E-2</v>
      </c>
      <c r="EN104" s="8">
        <f t="shared" si="151"/>
        <v>3.6708662591999999</v>
      </c>
      <c r="EO104" s="116">
        <f t="shared" si="152"/>
        <v>2610.6840000000002</v>
      </c>
      <c r="EP104" s="217">
        <f t="shared" si="153"/>
        <v>1.2014830900013209</v>
      </c>
      <c r="EQ104" s="207">
        <f t="shared" si="154"/>
        <v>2</v>
      </c>
      <c r="ER104" s="144">
        <f t="shared" si="155"/>
        <v>49794.996284474997</v>
      </c>
      <c r="ES104" s="138">
        <f t="shared" si="278"/>
        <v>0.25</v>
      </c>
      <c r="ET104" s="116">
        <f t="shared" si="156"/>
        <v>2175570</v>
      </c>
      <c r="EU104" s="2">
        <f t="shared" si="279"/>
        <v>1.5748031496062995E-2</v>
      </c>
      <c r="EV104" s="8">
        <f t="shared" si="157"/>
        <v>3.6708662591999999</v>
      </c>
      <c r="EW104" s="116">
        <f t="shared" si="158"/>
        <v>2610.6840000000002</v>
      </c>
      <c r="EX104" s="217">
        <f t="shared" si="159"/>
        <v>1.2014830900013209</v>
      </c>
      <c r="EY104" s="207">
        <f t="shared" si="160"/>
        <v>2</v>
      </c>
      <c r="EZ104" s="144">
        <f t="shared" si="161"/>
        <v>49794.996284474997</v>
      </c>
      <c r="FA104" s="138">
        <f t="shared" si="280"/>
        <v>0.25</v>
      </c>
      <c r="FB104" s="116">
        <f t="shared" si="162"/>
        <v>2175570</v>
      </c>
      <c r="FC104" s="2">
        <f t="shared" si="281"/>
        <v>1.5748031496062995E-2</v>
      </c>
      <c r="FD104" s="8">
        <f t="shared" si="163"/>
        <v>3.6708662591999999</v>
      </c>
      <c r="FE104" s="116">
        <f t="shared" si="164"/>
        <v>2610.6840000000002</v>
      </c>
      <c r="FF104" s="217">
        <f t="shared" si="165"/>
        <v>1.2014830900013209</v>
      </c>
      <c r="FG104" s="207">
        <f t="shared" si="166"/>
        <v>2</v>
      </c>
      <c r="FH104" s="144">
        <f t="shared" si="167"/>
        <v>49794.996284474997</v>
      </c>
      <c r="FI104" s="128">
        <f t="shared" si="168"/>
        <v>0.25</v>
      </c>
      <c r="FJ104" s="2">
        <f t="shared" si="169"/>
        <v>1.5748031496062995E-2</v>
      </c>
      <c r="FK104" s="127">
        <f t="shared" si="170"/>
        <v>1.5748031496062995E-2</v>
      </c>
      <c r="FL104" s="216">
        <f t="shared" si="171"/>
        <v>0</v>
      </c>
      <c r="FM104" s="138">
        <f t="shared" si="172"/>
        <v>0.25</v>
      </c>
      <c r="FN104" s="138">
        <f t="shared" si="173"/>
        <v>0</v>
      </c>
      <c r="FO104" s="238">
        <f t="shared" si="174"/>
        <v>0</v>
      </c>
      <c r="FP104" s="216">
        <f t="shared" si="282"/>
        <v>0</v>
      </c>
      <c r="FQ104" s="138">
        <f t="shared" si="283"/>
        <v>0.25</v>
      </c>
      <c r="FR104" s="138">
        <f t="shared" si="284"/>
        <v>0</v>
      </c>
      <c r="FS104" s="238">
        <f t="shared" si="285"/>
        <v>0</v>
      </c>
      <c r="FT104" s="216">
        <f t="shared" si="175"/>
        <v>0</v>
      </c>
      <c r="FU104" s="138">
        <f t="shared" si="176"/>
        <v>1.5748031496062995E-2</v>
      </c>
      <c r="FV104" s="138">
        <f t="shared" si="177"/>
        <v>0</v>
      </c>
      <c r="FW104" s="238">
        <f t="shared" si="178"/>
        <v>0</v>
      </c>
      <c r="FX104" s="216">
        <f t="shared" si="286"/>
        <v>0</v>
      </c>
      <c r="FY104" s="138">
        <f t="shared" si="287"/>
        <v>1.5748031496062995E-2</v>
      </c>
      <c r="FZ104" s="138">
        <f t="shared" si="288"/>
        <v>0</v>
      </c>
      <c r="GA104" s="238">
        <f t="shared" si="289"/>
        <v>0</v>
      </c>
      <c r="GB104" s="216">
        <f t="shared" si="179"/>
        <v>0</v>
      </c>
      <c r="GC104" s="138">
        <f t="shared" si="180"/>
        <v>1.5748031496062995E-2</v>
      </c>
      <c r="GD104" s="138">
        <f t="shared" si="181"/>
        <v>0</v>
      </c>
      <c r="GE104" s="238">
        <f t="shared" si="182"/>
        <v>0</v>
      </c>
      <c r="GF104" s="216">
        <f t="shared" si="290"/>
        <v>0</v>
      </c>
      <c r="GG104" s="138">
        <f t="shared" si="291"/>
        <v>1.5748031496062995E-2</v>
      </c>
      <c r="GH104" s="138">
        <f t="shared" si="292"/>
        <v>0</v>
      </c>
      <c r="GI104" s="238">
        <f t="shared" si="293"/>
        <v>0</v>
      </c>
      <c r="GJ104" s="216">
        <f t="shared" si="183"/>
        <v>0.25</v>
      </c>
      <c r="GK104" s="216">
        <f t="shared" si="184"/>
        <v>1.5748031496062995E-2</v>
      </c>
      <c r="GL104" s="17">
        <f t="shared" si="185"/>
        <v>1.5748031496062995E-2</v>
      </c>
      <c r="GM104" s="216">
        <f t="shared" si="294"/>
        <v>5.3702582642961467E-3</v>
      </c>
      <c r="GN104" s="2">
        <f t="shared" si="187"/>
        <v>1</v>
      </c>
      <c r="GO104" s="2">
        <f t="shared" si="188"/>
        <v>2</v>
      </c>
      <c r="GP104" s="142">
        <f t="shared" si="189"/>
        <v>2</v>
      </c>
      <c r="GQ104" s="2">
        <f t="shared" si="190"/>
        <v>1.5748031496062995E-2</v>
      </c>
      <c r="GR104" s="8">
        <f t="shared" si="295"/>
        <v>5.6515435879103133E-2</v>
      </c>
      <c r="GS104" s="138">
        <f t="shared" si="191"/>
        <v>0.25</v>
      </c>
      <c r="GT104" s="12">
        <f t="shared" si="296"/>
        <v>4684.5202284325651</v>
      </c>
      <c r="GU104" s="138">
        <f t="shared" si="192"/>
        <v>0.25</v>
      </c>
      <c r="GV104" s="116">
        <f t="shared" si="193"/>
        <v>2175570</v>
      </c>
      <c r="GW104" s="2">
        <f t="shared" si="297"/>
        <v>1.5748031496062995E-2</v>
      </c>
      <c r="GX104" s="8">
        <f t="shared" si="298"/>
        <v>1.8354331295999999</v>
      </c>
      <c r="GY104" s="116">
        <f t="shared" si="194"/>
        <v>2610.6840000000002</v>
      </c>
      <c r="GZ104" s="217">
        <f t="shared" si="195"/>
        <v>4.8059323600052837</v>
      </c>
      <c r="HA104" s="207">
        <f t="shared" si="196"/>
        <v>2</v>
      </c>
      <c r="HB104" s="144">
        <f t="shared" si="197"/>
        <v>199179.98513789999</v>
      </c>
      <c r="HC104" s="138">
        <f t="shared" si="299"/>
        <v>0.25</v>
      </c>
      <c r="HD104" s="116">
        <f t="shared" si="198"/>
        <v>2175570</v>
      </c>
      <c r="HE104" s="2">
        <f t="shared" si="300"/>
        <v>1.5748031496062995E-2</v>
      </c>
      <c r="HF104" s="8">
        <f t="shared" si="199"/>
        <v>1.8354331295999999</v>
      </c>
      <c r="HG104" s="116">
        <f t="shared" si="200"/>
        <v>2610.6840000000002</v>
      </c>
      <c r="HH104" s="217">
        <f t="shared" si="201"/>
        <v>4.8059323600052837</v>
      </c>
      <c r="HI104" s="207">
        <f t="shared" si="202"/>
        <v>2</v>
      </c>
      <c r="HJ104" s="144">
        <f t="shared" si="203"/>
        <v>199179.98513789999</v>
      </c>
      <c r="HK104" s="138">
        <f t="shared" si="301"/>
        <v>0.25</v>
      </c>
      <c r="HL104" s="116">
        <f t="shared" si="204"/>
        <v>2175570</v>
      </c>
      <c r="HM104" s="2">
        <f t="shared" si="302"/>
        <v>1.5748031496062995E-2</v>
      </c>
      <c r="HN104" s="8">
        <f t="shared" si="205"/>
        <v>1.8354331295999999</v>
      </c>
      <c r="HO104" s="116">
        <f t="shared" si="206"/>
        <v>2610.6840000000002</v>
      </c>
      <c r="HP104" s="217">
        <f t="shared" si="207"/>
        <v>4.8059323600052837</v>
      </c>
      <c r="HQ104" s="207">
        <f t="shared" si="208"/>
        <v>2</v>
      </c>
      <c r="HR104" s="144">
        <f t="shared" si="209"/>
        <v>199179.98513789999</v>
      </c>
      <c r="HS104" s="128">
        <f t="shared" si="210"/>
        <v>0.25</v>
      </c>
      <c r="HT104" s="2">
        <f t="shared" si="211"/>
        <v>1.5748031496062995E-2</v>
      </c>
      <c r="HU104" s="127">
        <f t="shared" si="212"/>
        <v>1.5748031496062995E-2</v>
      </c>
      <c r="HV104" s="216">
        <f t="shared" si="213"/>
        <v>0</v>
      </c>
      <c r="HW104" s="138">
        <f t="shared" si="214"/>
        <v>0.25</v>
      </c>
      <c r="HX104" s="138">
        <f t="shared" si="215"/>
        <v>0</v>
      </c>
      <c r="HY104" s="238">
        <f t="shared" si="216"/>
        <v>0</v>
      </c>
      <c r="HZ104" s="138">
        <f t="shared" si="217"/>
        <v>0</v>
      </c>
      <c r="IA104" s="138">
        <f t="shared" si="218"/>
        <v>0.25</v>
      </c>
      <c r="IB104" s="138">
        <f t="shared" si="219"/>
        <v>0</v>
      </c>
      <c r="IC104" s="138">
        <f t="shared" si="220"/>
        <v>0</v>
      </c>
      <c r="ID104" s="216">
        <f t="shared" si="221"/>
        <v>0</v>
      </c>
      <c r="IE104" s="138">
        <f t="shared" si="222"/>
        <v>1.5748031496062995E-2</v>
      </c>
      <c r="IF104" s="138">
        <f t="shared" si="223"/>
        <v>0</v>
      </c>
      <c r="IG104" s="238">
        <f t="shared" si="224"/>
        <v>0</v>
      </c>
      <c r="IH104" s="138">
        <f t="shared" si="225"/>
        <v>0</v>
      </c>
      <c r="II104" s="138">
        <f t="shared" si="226"/>
        <v>1.5748031496062995E-2</v>
      </c>
      <c r="IJ104" s="138">
        <f t="shared" si="227"/>
        <v>0</v>
      </c>
      <c r="IK104" s="138">
        <f t="shared" si="228"/>
        <v>0</v>
      </c>
      <c r="IL104" s="216">
        <f t="shared" si="229"/>
        <v>0</v>
      </c>
      <c r="IM104" s="138">
        <f t="shared" si="230"/>
        <v>1.5748031496062995E-2</v>
      </c>
      <c r="IN104" s="138">
        <f t="shared" si="231"/>
        <v>0</v>
      </c>
      <c r="IO104" s="238">
        <f t="shared" si="232"/>
        <v>0</v>
      </c>
      <c r="IP104" s="138">
        <f t="shared" si="233"/>
        <v>0</v>
      </c>
      <c r="IQ104" s="138">
        <f t="shared" si="234"/>
        <v>1.5748031496062995E-2</v>
      </c>
      <c r="IR104" s="138">
        <f t="shared" si="235"/>
        <v>0</v>
      </c>
      <c r="IS104" s="138">
        <f t="shared" si="236"/>
        <v>0</v>
      </c>
      <c r="IT104" s="17">
        <f t="shared" si="237"/>
        <v>0.25</v>
      </c>
      <c r="IU104" s="17">
        <f t="shared" si="238"/>
        <v>1.5748031496062995E-2</v>
      </c>
      <c r="IV104" s="17">
        <f t="shared" si="239"/>
        <v>1.5748031496062995E-2</v>
      </c>
      <c r="IW104" s="253">
        <f t="shared" si="240"/>
        <v>10.19685072</v>
      </c>
      <c r="IX104" s="116">
        <f t="shared" si="303"/>
        <v>166.73806713369942</v>
      </c>
      <c r="IY104" s="8">
        <f t="shared" si="242"/>
        <v>4.3110615959360494E-3</v>
      </c>
      <c r="IZ104" s="8">
        <f t="shared" si="243"/>
        <v>4.3110615959360494E-3</v>
      </c>
      <c r="JA104" s="8">
        <f t="shared" si="244"/>
        <v>2.1555307979680247E-3</v>
      </c>
      <c r="JB104" s="134">
        <f t="shared" si="245"/>
        <v>4.6427694299502151E-2</v>
      </c>
      <c r="JC104" s="170">
        <f t="shared" si="305"/>
        <v>2.4612277601232125E-3</v>
      </c>
      <c r="JD104" s="272">
        <f t="shared" si="306"/>
        <v>4.9610762543254791E-2</v>
      </c>
      <c r="JE104" s="8"/>
      <c r="JF104" s="8"/>
    </row>
    <row r="105" spans="1:266" x14ac:dyDescent="0.25">
      <c r="A105" s="186">
        <v>45</v>
      </c>
      <c r="B105" s="187">
        <f>A105/100*'Inputs-Imperial'!$E$5</f>
        <v>4.4291340000000003</v>
      </c>
      <c r="C105" s="188">
        <f>'Inputs-Imperial'!$E$10+('Inputs-Imperial'!$E$9-'Inputs-Imperial'!$E$10)*(100-A105)/100</f>
        <v>1.6896325999999999</v>
      </c>
      <c r="D105" s="187">
        <f t="shared" si="248"/>
        <v>9.8425200000000324E-2</v>
      </c>
      <c r="E105" s="188">
        <f t="shared" si="249"/>
        <v>0.16678680258127257</v>
      </c>
      <c r="F105" s="423">
        <f>Loads!P65</f>
        <v>55.909733567766089</v>
      </c>
      <c r="G105" s="423">
        <f>Loads!M65</f>
        <v>559.09733567766068</v>
      </c>
      <c r="H105" s="423">
        <f>Loads!N65</f>
        <v>1360.510203040013</v>
      </c>
      <c r="I105" s="423">
        <f>Loads!V65</f>
        <v>-438.95227152323343</v>
      </c>
      <c r="J105" s="423">
        <f>Loads!Q65</f>
        <v>136.0510203040013</v>
      </c>
      <c r="K105" s="2">
        <v>45</v>
      </c>
      <c r="L105" s="12">
        <f t="shared" si="41"/>
        <v>53.149608000000001</v>
      </c>
      <c r="M105" s="11">
        <f t="shared" si="42"/>
        <v>20.275591200000001</v>
      </c>
      <c r="N105" s="11">
        <f t="shared" si="43"/>
        <v>1.1811024000000039</v>
      </c>
      <c r="O105" s="152">
        <f t="shared" si="44"/>
        <v>24.017299571703251</v>
      </c>
      <c r="P105" s="151">
        <f t="shared" si="45"/>
        <v>55.909733567766089</v>
      </c>
      <c r="Q105" s="12">
        <f t="shared" si="46"/>
        <v>559.09733567766068</v>
      </c>
      <c r="R105" s="12">
        <f t="shared" si="47"/>
        <v>16326.122436480156</v>
      </c>
      <c r="S105" s="12">
        <f t="shared" si="48"/>
        <v>-5267.4272582788017</v>
      </c>
      <c r="T105" s="152">
        <f t="shared" si="49"/>
        <v>1632.6122436480155</v>
      </c>
      <c r="U105" s="8">
        <f t="shared" si="261"/>
        <v>3.6496064160000001</v>
      </c>
      <c r="V105" s="8">
        <f t="shared" si="262"/>
        <v>3.6496064160000001</v>
      </c>
      <c r="W105" s="134">
        <f t="shared" si="263"/>
        <v>1.8248032080000001</v>
      </c>
      <c r="X105" s="311">
        <f t="shared" si="264"/>
        <v>5.0688978000000002</v>
      </c>
      <c r="Y105" s="11">
        <f t="shared" si="265"/>
        <v>15.206693400000001</v>
      </c>
      <c r="Z105" s="11">
        <f t="shared" si="266"/>
        <v>10.1377956</v>
      </c>
      <c r="AA105" s="316">
        <f t="shared" si="50"/>
        <v>15.206693400000001</v>
      </c>
      <c r="AB105" s="170">
        <f t="shared" si="51"/>
        <v>2.7372048119999999</v>
      </c>
      <c r="AC105" s="11">
        <f t="shared" si="52"/>
        <v>15.206693400000001</v>
      </c>
      <c r="AD105" s="152">
        <f t="shared" si="53"/>
        <v>32.691283051333841</v>
      </c>
      <c r="AE105" s="151">
        <f t="shared" si="267"/>
        <v>3.6766529117872584</v>
      </c>
      <c r="AF105" s="12">
        <f t="shared" si="268"/>
        <v>80.563177193253125</v>
      </c>
      <c r="AG105" s="216">
        <f t="shared" si="269"/>
        <v>5.5190429078534921E-3</v>
      </c>
      <c r="AH105" s="2">
        <f t="shared" si="55"/>
        <v>1</v>
      </c>
      <c r="AI105" s="2">
        <f t="shared" si="56"/>
        <v>3</v>
      </c>
      <c r="AJ105" s="127">
        <f t="shared" si="57"/>
        <v>2</v>
      </c>
      <c r="AK105" s="2">
        <f t="shared" si="58"/>
        <v>1.5748031496062995E-2</v>
      </c>
      <c r="AL105" s="8">
        <f t="shared" si="270"/>
        <v>5.8081213271722158E-2</v>
      </c>
      <c r="AM105" s="138">
        <f t="shared" si="59"/>
        <v>0.25</v>
      </c>
      <c r="AN105" s="12">
        <f t="shared" si="271"/>
        <v>4814.3062905030574</v>
      </c>
      <c r="AO105" s="138">
        <f t="shared" si="60"/>
        <v>0.25</v>
      </c>
      <c r="AP105" s="116">
        <f t="shared" si="61"/>
        <v>2175570</v>
      </c>
      <c r="AQ105" s="2">
        <f t="shared" si="62"/>
        <v>1.5748031496062995E-2</v>
      </c>
      <c r="AR105" s="8">
        <f t="shared" si="63"/>
        <v>10.1377956</v>
      </c>
      <c r="AS105" s="116">
        <f t="shared" si="64"/>
        <v>2610.6840000000002</v>
      </c>
      <c r="AT105" s="217">
        <f t="shared" si="65"/>
        <v>0.15753161513409469</v>
      </c>
      <c r="AU105" s="207">
        <f t="shared" si="66"/>
        <v>3.3846428310187586</v>
      </c>
      <c r="AV105" s="144">
        <f t="shared" si="67"/>
        <v>11048.889176789797</v>
      </c>
      <c r="AW105" s="138">
        <f t="shared" si="68"/>
        <v>0.25</v>
      </c>
      <c r="AX105" s="116">
        <f t="shared" si="69"/>
        <v>2175570</v>
      </c>
      <c r="AY105" s="2">
        <f t="shared" si="70"/>
        <v>1.5748031496062995E-2</v>
      </c>
      <c r="AZ105" s="8">
        <f t="shared" si="71"/>
        <v>10.1377956</v>
      </c>
      <c r="BA105" s="116">
        <f t="shared" si="72"/>
        <v>2610.6840000000002</v>
      </c>
      <c r="BB105" s="217">
        <f t="shared" si="73"/>
        <v>0.15753161513409469</v>
      </c>
      <c r="BC105" s="207">
        <f t="shared" si="74"/>
        <v>3.3846428310187586</v>
      </c>
      <c r="BD105" s="144">
        <f t="shared" si="75"/>
        <v>11048.889176789797</v>
      </c>
      <c r="BE105" s="138">
        <f t="shared" si="76"/>
        <v>0.25</v>
      </c>
      <c r="BF105" s="116">
        <f t="shared" si="77"/>
        <v>2175570</v>
      </c>
      <c r="BG105" s="2">
        <f t="shared" si="78"/>
        <v>1.5748031496062995E-2</v>
      </c>
      <c r="BH105" s="8">
        <f t="shared" si="79"/>
        <v>10.1377956</v>
      </c>
      <c r="BI105" s="116">
        <f t="shared" si="80"/>
        <v>2610.6840000000002</v>
      </c>
      <c r="BJ105" s="217">
        <f t="shared" si="81"/>
        <v>0.15753161513409469</v>
      </c>
      <c r="BK105" s="207">
        <f t="shared" si="82"/>
        <v>3.3846428310187586</v>
      </c>
      <c r="BL105" s="144">
        <f t="shared" si="83"/>
        <v>11048.889176789797</v>
      </c>
      <c r="BM105" s="216">
        <f t="shared" si="84"/>
        <v>0.25</v>
      </c>
      <c r="BN105" s="216">
        <f t="shared" si="85"/>
        <v>2.3622047244094495E-2</v>
      </c>
      <c r="BO105" s="238">
        <f t="shared" si="86"/>
        <v>1.5748031496062995E-2</v>
      </c>
      <c r="BP105" s="216">
        <f t="shared" si="87"/>
        <v>0</v>
      </c>
      <c r="BQ105" s="138">
        <f t="shared" si="88"/>
        <v>0.25</v>
      </c>
      <c r="BR105" s="138">
        <f t="shared" si="89"/>
        <v>0</v>
      </c>
      <c r="BS105" s="238">
        <f t="shared" si="90"/>
        <v>0</v>
      </c>
      <c r="BT105" s="138">
        <f t="shared" si="91"/>
        <v>0</v>
      </c>
      <c r="BU105" s="138">
        <f t="shared" si="92"/>
        <v>0.25</v>
      </c>
      <c r="BV105" s="138">
        <f t="shared" si="93"/>
        <v>0</v>
      </c>
      <c r="BW105" s="238">
        <f t="shared" si="94"/>
        <v>0</v>
      </c>
      <c r="BX105" s="216">
        <f t="shared" si="95"/>
        <v>0</v>
      </c>
      <c r="BY105" s="138">
        <f t="shared" si="96"/>
        <v>2.3622047244094495E-2</v>
      </c>
      <c r="BZ105" s="138">
        <f t="shared" si="97"/>
        <v>0</v>
      </c>
      <c r="CA105" s="238">
        <f t="shared" si="98"/>
        <v>0</v>
      </c>
      <c r="CB105" s="138">
        <f t="shared" si="99"/>
        <v>0</v>
      </c>
      <c r="CC105" s="138">
        <f t="shared" si="100"/>
        <v>2.3622047244094495E-2</v>
      </c>
      <c r="CD105" s="138">
        <f t="shared" si="101"/>
        <v>0</v>
      </c>
      <c r="CE105" s="238">
        <f t="shared" si="102"/>
        <v>0</v>
      </c>
      <c r="CF105" s="216">
        <f t="shared" si="103"/>
        <v>0</v>
      </c>
      <c r="CG105" s="138">
        <f t="shared" si="104"/>
        <v>1.5748031496062995E-2</v>
      </c>
      <c r="CH105" s="138">
        <f t="shared" si="105"/>
        <v>0</v>
      </c>
      <c r="CI105" s="238">
        <f t="shared" si="106"/>
        <v>0</v>
      </c>
      <c r="CJ105" s="138">
        <f t="shared" si="107"/>
        <v>0</v>
      </c>
      <c r="CK105" s="138">
        <f t="shared" si="108"/>
        <v>1.5748031496062995E-2</v>
      </c>
      <c r="CL105" s="138">
        <f t="shared" si="109"/>
        <v>0</v>
      </c>
      <c r="CM105" s="238">
        <f t="shared" si="110"/>
        <v>0</v>
      </c>
      <c r="CN105" s="17">
        <f t="shared" si="111"/>
        <v>0.25</v>
      </c>
      <c r="CO105" s="17">
        <f t="shared" si="112"/>
        <v>2.3622047244094495E-2</v>
      </c>
      <c r="CP105" s="17">
        <f t="shared" si="113"/>
        <v>1.5748031496062995E-2</v>
      </c>
      <c r="CQ105" s="17">
        <f>$U105-IF('Inputs-Imperial'!$E$13,0,2)*($CO105+$CN105+$CP105)</f>
        <v>3.6496064160000001</v>
      </c>
      <c r="CR105" s="116">
        <f t="shared" si="114"/>
        <v>4473.3926280121259</v>
      </c>
      <c r="CS105" s="8">
        <f t="shared" si="10"/>
        <v>0.11566087752896118</v>
      </c>
      <c r="CT105" s="8">
        <f t="shared" si="115"/>
        <v>0.34008951399442056</v>
      </c>
      <c r="CU105" s="8">
        <f t="shared" si="272"/>
        <v>0.11566087752896118</v>
      </c>
      <c r="CV105" s="8">
        <f t="shared" si="116"/>
        <v>0.34008951399442056</v>
      </c>
      <c r="CW105" s="216">
        <f t="shared" si="117"/>
        <v>3.3095169020055799</v>
      </c>
      <c r="CX105" s="116">
        <f t="shared" si="118"/>
        <v>4933.0832625711819</v>
      </c>
      <c r="CY105" s="8">
        <f t="shared" si="119"/>
        <v>0.12754631361878907</v>
      </c>
      <c r="CZ105" s="8">
        <f t="shared" si="120"/>
        <v>0.35713626757694195</v>
      </c>
      <c r="DA105" s="8">
        <f t="shared" si="121"/>
        <v>0.12754631361878907</v>
      </c>
      <c r="DB105" s="8">
        <f t="shared" si="122"/>
        <v>0.35713626757694195</v>
      </c>
      <c r="DC105" s="216">
        <f t="shared" si="123"/>
        <v>3.2924701484230585</v>
      </c>
      <c r="DD105" s="116">
        <f t="shared" si="124"/>
        <v>4958.6242852648538</v>
      </c>
      <c r="DE105" s="8">
        <f t="shared" si="125"/>
        <v>0.12820668424649539</v>
      </c>
      <c r="DF105" s="8">
        <f t="shared" si="126"/>
        <v>0.35805960990664026</v>
      </c>
      <c r="DG105" s="8">
        <f t="shared" si="127"/>
        <v>0.12820668424649539</v>
      </c>
      <c r="DH105" s="8">
        <f t="shared" si="128"/>
        <v>0.35805960990664026</v>
      </c>
      <c r="DI105" s="216">
        <f t="shared" si="129"/>
        <v>3.2915468060933595</v>
      </c>
      <c r="DJ105" s="116">
        <f t="shared" si="130"/>
        <v>4960.0152749634308</v>
      </c>
      <c r="DK105" s="8">
        <f t="shared" si="131"/>
        <v>0.12824264869284507</v>
      </c>
      <c r="DL105" s="8">
        <f t="shared" si="132"/>
        <v>0.35810982769653932</v>
      </c>
      <c r="DM105" s="8">
        <f t="shared" si="133"/>
        <v>0.12824264869284507</v>
      </c>
      <c r="DN105" s="8">
        <f t="shared" si="134"/>
        <v>0.35810982769653932</v>
      </c>
      <c r="DO105" s="216">
        <f t="shared" si="135"/>
        <v>3.2914965883034606</v>
      </c>
      <c r="DP105" s="116">
        <f t="shared" si="136"/>
        <v>4960.0909490521899</v>
      </c>
      <c r="DQ105" s="170">
        <f t="shared" si="137"/>
        <v>0.12824460526858969</v>
      </c>
      <c r="DR105" s="8">
        <f t="shared" si="138"/>
        <v>0.35811255949573967</v>
      </c>
      <c r="DS105" s="8">
        <f t="shared" si="139"/>
        <v>0.12824460526858969</v>
      </c>
      <c r="DT105" s="134">
        <f t="shared" si="140"/>
        <v>0.35811255949573967</v>
      </c>
      <c r="DU105" s="170">
        <f t="shared" si="304"/>
        <v>0.15260733333097529</v>
      </c>
      <c r="DV105" s="170">
        <f t="shared" si="304"/>
        <v>0.39064988587093596</v>
      </c>
      <c r="DW105" s="170">
        <f t="shared" si="304"/>
        <v>0.15260733333097529</v>
      </c>
      <c r="DX105" s="272">
        <f t="shared" si="304"/>
        <v>0.39064988587093596</v>
      </c>
      <c r="DY105" s="272">
        <f t="shared" si="142"/>
        <v>2.8683066442581282</v>
      </c>
      <c r="DZ105" s="22">
        <f t="shared" si="273"/>
        <v>153.19387132446906</v>
      </c>
      <c r="EA105" s="216">
        <f t="shared" si="274"/>
        <v>1.0036624575401927E-2</v>
      </c>
      <c r="EB105" s="12">
        <f t="shared" si="143"/>
        <v>2</v>
      </c>
      <c r="EC105" s="7">
        <f>ROUND(MAX(DV105,DX105)/'Inputs-Imperial'!$E$21,0)</f>
        <v>3</v>
      </c>
      <c r="ED105" s="12">
        <f t="shared" si="144"/>
        <v>3</v>
      </c>
      <c r="EE105" s="2">
        <f t="shared" si="145"/>
        <v>2</v>
      </c>
      <c r="EF105" s="127">
        <f t="shared" si="146"/>
        <v>2</v>
      </c>
      <c r="EG105" s="2">
        <f t="shared" si="147"/>
        <v>1.5748031496062995E-2</v>
      </c>
      <c r="EH105" s="8">
        <f t="shared" si="275"/>
        <v>0.10562326516117779</v>
      </c>
      <c r="EI105" s="138">
        <f t="shared" si="148"/>
        <v>0.25</v>
      </c>
      <c r="EJ105" s="12">
        <f t="shared" si="276"/>
        <v>8755.0297461934042</v>
      </c>
      <c r="EK105" s="138">
        <f t="shared" si="149"/>
        <v>0.25</v>
      </c>
      <c r="EL105" s="116">
        <f t="shared" si="150"/>
        <v>2175570</v>
      </c>
      <c r="EM105" s="2">
        <f t="shared" si="277"/>
        <v>1.5748031496062995E-2</v>
      </c>
      <c r="EN105" s="8">
        <f t="shared" si="151"/>
        <v>3.6496064160000001</v>
      </c>
      <c r="EO105" s="116">
        <f t="shared" si="152"/>
        <v>2610.6840000000002</v>
      </c>
      <c r="EP105" s="217">
        <f t="shared" si="153"/>
        <v>1.2155217217136935</v>
      </c>
      <c r="EQ105" s="207">
        <f t="shared" si="154"/>
        <v>2</v>
      </c>
      <c r="ER105" s="144">
        <f t="shared" si="155"/>
        <v>50376.821879669973</v>
      </c>
      <c r="ES105" s="138">
        <f t="shared" si="278"/>
        <v>0.25</v>
      </c>
      <c r="ET105" s="116">
        <f t="shared" si="156"/>
        <v>2175570</v>
      </c>
      <c r="EU105" s="2">
        <f t="shared" si="279"/>
        <v>1.5748031496062995E-2</v>
      </c>
      <c r="EV105" s="8">
        <f t="shared" si="157"/>
        <v>3.6496064160000001</v>
      </c>
      <c r="EW105" s="116">
        <f t="shared" si="158"/>
        <v>2610.6840000000002</v>
      </c>
      <c r="EX105" s="217">
        <f t="shared" si="159"/>
        <v>1.2155217217136935</v>
      </c>
      <c r="EY105" s="207">
        <f t="shared" si="160"/>
        <v>2</v>
      </c>
      <c r="EZ105" s="144">
        <f t="shared" si="161"/>
        <v>50376.821879669973</v>
      </c>
      <c r="FA105" s="138">
        <f t="shared" si="280"/>
        <v>0.25</v>
      </c>
      <c r="FB105" s="116">
        <f t="shared" si="162"/>
        <v>2175570</v>
      </c>
      <c r="FC105" s="2">
        <f t="shared" si="281"/>
        <v>1.5748031496062995E-2</v>
      </c>
      <c r="FD105" s="8">
        <f t="shared" si="163"/>
        <v>3.6496064160000001</v>
      </c>
      <c r="FE105" s="116">
        <f t="shared" si="164"/>
        <v>2610.6840000000002</v>
      </c>
      <c r="FF105" s="217">
        <f t="shared" si="165"/>
        <v>1.2155217217136935</v>
      </c>
      <c r="FG105" s="207">
        <f t="shared" si="166"/>
        <v>2</v>
      </c>
      <c r="FH105" s="144">
        <f t="shared" si="167"/>
        <v>50376.821879669973</v>
      </c>
      <c r="FI105" s="128">
        <f t="shared" si="168"/>
        <v>0.25</v>
      </c>
      <c r="FJ105" s="2">
        <f t="shared" si="169"/>
        <v>1.5748031496062995E-2</v>
      </c>
      <c r="FK105" s="127">
        <f t="shared" si="170"/>
        <v>1.5748031496062995E-2</v>
      </c>
      <c r="FL105" s="216">
        <f t="shared" si="171"/>
        <v>0</v>
      </c>
      <c r="FM105" s="138">
        <f t="shared" si="172"/>
        <v>0.25</v>
      </c>
      <c r="FN105" s="138">
        <f t="shared" si="173"/>
        <v>0</v>
      </c>
      <c r="FO105" s="238">
        <f t="shared" si="174"/>
        <v>0</v>
      </c>
      <c r="FP105" s="216">
        <f t="shared" si="282"/>
        <v>0</v>
      </c>
      <c r="FQ105" s="138">
        <f t="shared" si="283"/>
        <v>0.25</v>
      </c>
      <c r="FR105" s="138">
        <f t="shared" si="284"/>
        <v>0</v>
      </c>
      <c r="FS105" s="238">
        <f t="shared" si="285"/>
        <v>0</v>
      </c>
      <c r="FT105" s="216">
        <f t="shared" si="175"/>
        <v>0</v>
      </c>
      <c r="FU105" s="138">
        <f t="shared" si="176"/>
        <v>1.5748031496062995E-2</v>
      </c>
      <c r="FV105" s="138">
        <f t="shared" si="177"/>
        <v>0</v>
      </c>
      <c r="FW105" s="238">
        <f t="shared" si="178"/>
        <v>0</v>
      </c>
      <c r="FX105" s="216">
        <f t="shared" si="286"/>
        <v>0</v>
      </c>
      <c r="FY105" s="138">
        <f t="shared" si="287"/>
        <v>1.5748031496062995E-2</v>
      </c>
      <c r="FZ105" s="138">
        <f t="shared" si="288"/>
        <v>0</v>
      </c>
      <c r="GA105" s="238">
        <f t="shared" si="289"/>
        <v>0</v>
      </c>
      <c r="GB105" s="216">
        <f t="shared" si="179"/>
        <v>0</v>
      </c>
      <c r="GC105" s="138">
        <f t="shared" si="180"/>
        <v>1.5748031496062995E-2</v>
      </c>
      <c r="GD105" s="138">
        <f t="shared" si="181"/>
        <v>0</v>
      </c>
      <c r="GE105" s="238">
        <f t="shared" si="182"/>
        <v>0</v>
      </c>
      <c r="GF105" s="216">
        <f t="shared" si="290"/>
        <v>0</v>
      </c>
      <c r="GG105" s="138">
        <f t="shared" si="291"/>
        <v>1.5748031496062995E-2</v>
      </c>
      <c r="GH105" s="138">
        <f t="shared" si="292"/>
        <v>0</v>
      </c>
      <c r="GI105" s="238">
        <f t="shared" si="293"/>
        <v>0</v>
      </c>
      <c r="GJ105" s="216">
        <f t="shared" si="183"/>
        <v>0.25</v>
      </c>
      <c r="GK105" s="216">
        <f t="shared" si="184"/>
        <v>1.5748031496062995E-2</v>
      </c>
      <c r="GL105" s="17">
        <f t="shared" si="185"/>
        <v>1.5748031496062995E-2</v>
      </c>
      <c r="GM105" s="216">
        <f t="shared" si="294"/>
        <v>5.2781639180438456E-3</v>
      </c>
      <c r="GN105" s="2">
        <f t="shared" si="187"/>
        <v>1</v>
      </c>
      <c r="GO105" s="2">
        <f t="shared" si="188"/>
        <v>2</v>
      </c>
      <c r="GP105" s="142">
        <f t="shared" si="189"/>
        <v>2</v>
      </c>
      <c r="GQ105" s="2">
        <f t="shared" si="190"/>
        <v>1.5748031496062995E-2</v>
      </c>
      <c r="GR105" s="8">
        <f t="shared" si="295"/>
        <v>5.5546254907853893E-2</v>
      </c>
      <c r="GS105" s="138">
        <f t="shared" si="191"/>
        <v>0.25</v>
      </c>
      <c r="GT105" s="12">
        <f t="shared" si="296"/>
        <v>4604.1855765944156</v>
      </c>
      <c r="GU105" s="138">
        <f t="shared" si="192"/>
        <v>0.25</v>
      </c>
      <c r="GV105" s="116">
        <f t="shared" si="193"/>
        <v>2175570</v>
      </c>
      <c r="GW105" s="2">
        <f t="shared" si="297"/>
        <v>1.5748031496062995E-2</v>
      </c>
      <c r="GX105" s="8">
        <f t="shared" si="298"/>
        <v>1.8248032080000001</v>
      </c>
      <c r="GY105" s="116">
        <f t="shared" si="194"/>
        <v>2610.6840000000002</v>
      </c>
      <c r="GZ105" s="217">
        <f t="shared" si="195"/>
        <v>4.8620868868547742</v>
      </c>
      <c r="HA105" s="207">
        <f t="shared" si="196"/>
        <v>2</v>
      </c>
      <c r="HB105" s="144">
        <f t="shared" si="197"/>
        <v>201507.28751867989</v>
      </c>
      <c r="HC105" s="138">
        <f t="shared" si="299"/>
        <v>0.25</v>
      </c>
      <c r="HD105" s="116">
        <f t="shared" si="198"/>
        <v>2175570</v>
      </c>
      <c r="HE105" s="2">
        <f t="shared" si="300"/>
        <v>1.5748031496062995E-2</v>
      </c>
      <c r="HF105" s="8">
        <f t="shared" si="199"/>
        <v>1.8248032080000001</v>
      </c>
      <c r="HG105" s="116">
        <f t="shared" si="200"/>
        <v>2610.6840000000002</v>
      </c>
      <c r="HH105" s="217">
        <f t="shared" si="201"/>
        <v>4.8620868868547742</v>
      </c>
      <c r="HI105" s="207">
        <f t="shared" si="202"/>
        <v>2</v>
      </c>
      <c r="HJ105" s="144">
        <f t="shared" si="203"/>
        <v>201507.28751867989</v>
      </c>
      <c r="HK105" s="138">
        <f t="shared" si="301"/>
        <v>0.25</v>
      </c>
      <c r="HL105" s="116">
        <f t="shared" si="204"/>
        <v>2175570</v>
      </c>
      <c r="HM105" s="2">
        <f t="shared" si="302"/>
        <v>1.5748031496062995E-2</v>
      </c>
      <c r="HN105" s="8">
        <f t="shared" si="205"/>
        <v>1.8248032080000001</v>
      </c>
      <c r="HO105" s="116">
        <f t="shared" si="206"/>
        <v>2610.6840000000002</v>
      </c>
      <c r="HP105" s="217">
        <f t="shared" si="207"/>
        <v>4.8620868868547742</v>
      </c>
      <c r="HQ105" s="207">
        <f t="shared" si="208"/>
        <v>2</v>
      </c>
      <c r="HR105" s="144">
        <f t="shared" si="209"/>
        <v>201507.28751867989</v>
      </c>
      <c r="HS105" s="128">
        <f t="shared" si="210"/>
        <v>0.25</v>
      </c>
      <c r="HT105" s="2">
        <f t="shared" si="211"/>
        <v>1.5748031496062995E-2</v>
      </c>
      <c r="HU105" s="127">
        <f t="shared" si="212"/>
        <v>1.5748031496062995E-2</v>
      </c>
      <c r="HV105" s="216">
        <f t="shared" si="213"/>
        <v>0</v>
      </c>
      <c r="HW105" s="138">
        <f t="shared" si="214"/>
        <v>0.25</v>
      </c>
      <c r="HX105" s="138">
        <f t="shared" si="215"/>
        <v>0</v>
      </c>
      <c r="HY105" s="238">
        <f t="shared" si="216"/>
        <v>0</v>
      </c>
      <c r="HZ105" s="138">
        <f t="shared" si="217"/>
        <v>0</v>
      </c>
      <c r="IA105" s="138">
        <f t="shared" si="218"/>
        <v>0.25</v>
      </c>
      <c r="IB105" s="138">
        <f t="shared" si="219"/>
        <v>0</v>
      </c>
      <c r="IC105" s="138">
        <f t="shared" si="220"/>
        <v>0</v>
      </c>
      <c r="ID105" s="216">
        <f t="shared" si="221"/>
        <v>0</v>
      </c>
      <c r="IE105" s="138">
        <f t="shared" si="222"/>
        <v>1.5748031496062995E-2</v>
      </c>
      <c r="IF105" s="138">
        <f t="shared" si="223"/>
        <v>0</v>
      </c>
      <c r="IG105" s="238">
        <f t="shared" si="224"/>
        <v>0</v>
      </c>
      <c r="IH105" s="138">
        <f t="shared" si="225"/>
        <v>0</v>
      </c>
      <c r="II105" s="138">
        <f t="shared" si="226"/>
        <v>1.5748031496062995E-2</v>
      </c>
      <c r="IJ105" s="138">
        <f t="shared" si="227"/>
        <v>0</v>
      </c>
      <c r="IK105" s="138">
        <f t="shared" si="228"/>
        <v>0</v>
      </c>
      <c r="IL105" s="216">
        <f t="shared" si="229"/>
        <v>0</v>
      </c>
      <c r="IM105" s="138">
        <f t="shared" si="230"/>
        <v>1.5748031496062995E-2</v>
      </c>
      <c r="IN105" s="138">
        <f t="shared" si="231"/>
        <v>0</v>
      </c>
      <c r="IO105" s="238">
        <f t="shared" si="232"/>
        <v>0</v>
      </c>
      <c r="IP105" s="138">
        <f t="shared" si="233"/>
        <v>0</v>
      </c>
      <c r="IQ105" s="138">
        <f t="shared" si="234"/>
        <v>1.5748031496062995E-2</v>
      </c>
      <c r="IR105" s="138">
        <f t="shared" si="235"/>
        <v>0</v>
      </c>
      <c r="IS105" s="138">
        <f t="shared" si="236"/>
        <v>0</v>
      </c>
      <c r="IT105" s="17">
        <f t="shared" si="237"/>
        <v>0.25</v>
      </c>
      <c r="IU105" s="17">
        <f t="shared" si="238"/>
        <v>1.5748031496062995E-2</v>
      </c>
      <c r="IV105" s="17">
        <f t="shared" si="239"/>
        <v>1.5748031496062995E-2</v>
      </c>
      <c r="IW105" s="253">
        <f t="shared" si="240"/>
        <v>10.1377956</v>
      </c>
      <c r="IX105" s="116">
        <f t="shared" si="303"/>
        <v>161.0421346084365</v>
      </c>
      <c r="IY105" s="8">
        <f t="shared" si="242"/>
        <v>4.1637915910426012E-3</v>
      </c>
      <c r="IZ105" s="8">
        <f t="shared" si="243"/>
        <v>4.1637915910426012E-3</v>
      </c>
      <c r="JA105" s="8">
        <f t="shared" si="244"/>
        <v>2.0818957955213006E-3</v>
      </c>
      <c r="JB105" s="134">
        <f t="shared" si="245"/>
        <v>4.5627796303583421E-2</v>
      </c>
      <c r="JC105" s="170">
        <f t="shared" si="305"/>
        <v>2.4612277601232125E-3</v>
      </c>
      <c r="JD105" s="272">
        <f t="shared" si="306"/>
        <v>4.9610762543254791E-2</v>
      </c>
      <c r="JE105" s="8"/>
      <c r="JF105" s="8"/>
    </row>
    <row r="106" spans="1:266" x14ac:dyDescent="0.25">
      <c r="A106" s="186">
        <v>46</v>
      </c>
      <c r="B106" s="187">
        <f>A106/100*'Inputs-Imperial'!$E$5</f>
        <v>4.5275592000000007</v>
      </c>
      <c r="C106" s="188">
        <f>'Inputs-Imperial'!$E$10+('Inputs-Imperial'!$E$9-'Inputs-Imperial'!$E$10)*(100-A106)/100</f>
        <v>1.6797900800000001</v>
      </c>
      <c r="D106" s="187">
        <f t="shared" si="248"/>
        <v>9.8425200000000324E-2</v>
      </c>
      <c r="E106" s="188">
        <f t="shared" si="249"/>
        <v>0.16581805058176854</v>
      </c>
      <c r="F106" s="423">
        <f>Loads!P66</f>
        <v>54.600002302314621</v>
      </c>
      <c r="G106" s="423">
        <f>Loads!M66</f>
        <v>546.00002302314601</v>
      </c>
      <c r="H106" s="423">
        <f>Loads!N66</f>
        <v>1305.480935956472</v>
      </c>
      <c r="I106" s="423">
        <f>Loads!V66</f>
        <v>-426.22242432834167</v>
      </c>
      <c r="J106" s="423">
        <f>Loads!Q66</f>
        <v>130.5480935956472</v>
      </c>
      <c r="K106" s="2">
        <v>46</v>
      </c>
      <c r="L106" s="12">
        <f t="shared" si="41"/>
        <v>54.330710400000008</v>
      </c>
      <c r="M106" s="11">
        <f t="shared" si="42"/>
        <v>20.157480960000001</v>
      </c>
      <c r="N106" s="11">
        <f t="shared" si="43"/>
        <v>1.1811024000000039</v>
      </c>
      <c r="O106" s="152">
        <f t="shared" si="44"/>
        <v>23.877799283774671</v>
      </c>
      <c r="P106" s="151">
        <f t="shared" si="45"/>
        <v>54.600002302314621</v>
      </c>
      <c r="Q106" s="12">
        <f t="shared" si="46"/>
        <v>546.00002302314601</v>
      </c>
      <c r="R106" s="12">
        <f t="shared" si="47"/>
        <v>15665.771231477664</v>
      </c>
      <c r="S106" s="12">
        <f t="shared" si="48"/>
        <v>-5114.6690919400999</v>
      </c>
      <c r="T106" s="152">
        <f t="shared" si="49"/>
        <v>1566.5771231477665</v>
      </c>
      <c r="U106" s="8">
        <f t="shared" si="261"/>
        <v>3.6283465727999999</v>
      </c>
      <c r="V106" s="8">
        <f t="shared" si="262"/>
        <v>3.6283465727999999</v>
      </c>
      <c r="W106" s="134">
        <f t="shared" si="263"/>
        <v>1.8141732864</v>
      </c>
      <c r="X106" s="311">
        <f t="shared" si="264"/>
        <v>5.0393702400000002</v>
      </c>
      <c r="Y106" s="11">
        <f t="shared" si="265"/>
        <v>15.118110720000001</v>
      </c>
      <c r="Z106" s="11">
        <f t="shared" si="266"/>
        <v>10.07874048</v>
      </c>
      <c r="AA106" s="316">
        <f t="shared" si="50"/>
        <v>15.118110720000001</v>
      </c>
      <c r="AB106" s="170">
        <f t="shared" si="51"/>
        <v>2.7212599296</v>
      </c>
      <c r="AC106" s="11">
        <f t="shared" si="52"/>
        <v>15.118110720000001</v>
      </c>
      <c r="AD106" s="152">
        <f t="shared" si="53"/>
        <v>32.311523062338992</v>
      </c>
      <c r="AE106" s="151">
        <f t="shared" si="267"/>
        <v>3.6115625367185178</v>
      </c>
      <c r="AF106" s="12">
        <f t="shared" si="268"/>
        <v>79.146208646251523</v>
      </c>
      <c r="AG106" s="216">
        <f t="shared" si="269"/>
        <v>5.421944578326069E-3</v>
      </c>
      <c r="AH106" s="2">
        <f t="shared" si="55"/>
        <v>1</v>
      </c>
      <c r="AI106" s="2">
        <f t="shared" si="56"/>
        <v>3</v>
      </c>
      <c r="AJ106" s="127">
        <f t="shared" si="57"/>
        <v>2</v>
      </c>
      <c r="AK106" s="2">
        <f t="shared" si="58"/>
        <v>1.5748031496062995E-2</v>
      </c>
      <c r="AL106" s="8">
        <f t="shared" si="270"/>
        <v>5.7059371463319991E-2</v>
      </c>
      <c r="AM106" s="138">
        <f t="shared" si="59"/>
        <v>0.25</v>
      </c>
      <c r="AN106" s="12">
        <f t="shared" si="271"/>
        <v>4729.6066231067371</v>
      </c>
      <c r="AO106" s="138">
        <f t="shared" si="60"/>
        <v>0.25</v>
      </c>
      <c r="AP106" s="116">
        <f t="shared" si="61"/>
        <v>2175570</v>
      </c>
      <c r="AQ106" s="2">
        <f t="shared" si="62"/>
        <v>1.5748031496062995E-2</v>
      </c>
      <c r="AR106" s="8">
        <f t="shared" si="63"/>
        <v>10.07874048</v>
      </c>
      <c r="AS106" s="116">
        <f t="shared" si="64"/>
        <v>2610.6840000000002</v>
      </c>
      <c r="AT106" s="217">
        <f t="shared" si="65"/>
        <v>0.15938309716774088</v>
      </c>
      <c r="AU106" s="207">
        <f t="shared" si="66"/>
        <v>3.3708213612532711</v>
      </c>
      <c r="AV106" s="144">
        <f t="shared" si="67"/>
        <v>11133.098336877112</v>
      </c>
      <c r="AW106" s="138">
        <f t="shared" si="68"/>
        <v>0.25</v>
      </c>
      <c r="AX106" s="116">
        <f t="shared" si="69"/>
        <v>2175570</v>
      </c>
      <c r="AY106" s="2">
        <f t="shared" si="70"/>
        <v>1.5748031496062995E-2</v>
      </c>
      <c r="AZ106" s="8">
        <f t="shared" si="71"/>
        <v>10.07874048</v>
      </c>
      <c r="BA106" s="116">
        <f t="shared" si="72"/>
        <v>2610.6840000000002</v>
      </c>
      <c r="BB106" s="217">
        <f t="shared" si="73"/>
        <v>0.15938309716774088</v>
      </c>
      <c r="BC106" s="207">
        <f t="shared" si="74"/>
        <v>3.3708213612532711</v>
      </c>
      <c r="BD106" s="144">
        <f t="shared" si="75"/>
        <v>11133.098336877112</v>
      </c>
      <c r="BE106" s="138">
        <f t="shared" si="76"/>
        <v>0.25</v>
      </c>
      <c r="BF106" s="116">
        <f t="shared" si="77"/>
        <v>2175570</v>
      </c>
      <c r="BG106" s="2">
        <f t="shared" si="78"/>
        <v>1.5748031496062995E-2</v>
      </c>
      <c r="BH106" s="8">
        <f t="shared" si="79"/>
        <v>10.07874048</v>
      </c>
      <c r="BI106" s="116">
        <f t="shared" si="80"/>
        <v>2610.6840000000002</v>
      </c>
      <c r="BJ106" s="217">
        <f t="shared" si="81"/>
        <v>0.15938309716774088</v>
      </c>
      <c r="BK106" s="207">
        <f t="shared" si="82"/>
        <v>3.3708213612532711</v>
      </c>
      <c r="BL106" s="144">
        <f t="shared" si="83"/>
        <v>11133.098336877112</v>
      </c>
      <c r="BM106" s="216">
        <f t="shared" si="84"/>
        <v>0.25</v>
      </c>
      <c r="BN106" s="216">
        <f t="shared" si="85"/>
        <v>2.3622047244094495E-2</v>
      </c>
      <c r="BO106" s="238">
        <f t="shared" si="86"/>
        <v>1.5748031496062995E-2</v>
      </c>
      <c r="BP106" s="216">
        <f t="shared" si="87"/>
        <v>0</v>
      </c>
      <c r="BQ106" s="138">
        <f t="shared" si="88"/>
        <v>0.25</v>
      </c>
      <c r="BR106" s="138">
        <f t="shared" si="89"/>
        <v>0</v>
      </c>
      <c r="BS106" s="238">
        <f t="shared" si="90"/>
        <v>0</v>
      </c>
      <c r="BT106" s="138">
        <f t="shared" si="91"/>
        <v>0</v>
      </c>
      <c r="BU106" s="138">
        <f t="shared" si="92"/>
        <v>0.25</v>
      </c>
      <c r="BV106" s="138">
        <f t="shared" si="93"/>
        <v>0</v>
      </c>
      <c r="BW106" s="238">
        <f t="shared" si="94"/>
        <v>0</v>
      </c>
      <c r="BX106" s="216">
        <f t="shared" si="95"/>
        <v>0</v>
      </c>
      <c r="BY106" s="138">
        <f t="shared" si="96"/>
        <v>2.3622047244094495E-2</v>
      </c>
      <c r="BZ106" s="138">
        <f t="shared" si="97"/>
        <v>0</v>
      </c>
      <c r="CA106" s="238">
        <f t="shared" si="98"/>
        <v>0</v>
      </c>
      <c r="CB106" s="138">
        <f t="shared" si="99"/>
        <v>0</v>
      </c>
      <c r="CC106" s="138">
        <f t="shared" si="100"/>
        <v>2.3622047244094495E-2</v>
      </c>
      <c r="CD106" s="138">
        <f t="shared" si="101"/>
        <v>0</v>
      </c>
      <c r="CE106" s="238">
        <f t="shared" si="102"/>
        <v>0</v>
      </c>
      <c r="CF106" s="216">
        <f t="shared" si="103"/>
        <v>0</v>
      </c>
      <c r="CG106" s="138">
        <f t="shared" si="104"/>
        <v>1.5748031496062995E-2</v>
      </c>
      <c r="CH106" s="138">
        <f t="shared" si="105"/>
        <v>0</v>
      </c>
      <c r="CI106" s="238">
        <f t="shared" si="106"/>
        <v>0</v>
      </c>
      <c r="CJ106" s="138">
        <f t="shared" si="107"/>
        <v>0</v>
      </c>
      <c r="CK106" s="138">
        <f t="shared" si="108"/>
        <v>1.5748031496062995E-2</v>
      </c>
      <c r="CL106" s="138">
        <f t="shared" si="109"/>
        <v>0</v>
      </c>
      <c r="CM106" s="238">
        <f t="shared" si="110"/>
        <v>0</v>
      </c>
      <c r="CN106" s="17">
        <f t="shared" si="111"/>
        <v>0.25</v>
      </c>
      <c r="CO106" s="17">
        <f t="shared" si="112"/>
        <v>2.3622047244094495E-2</v>
      </c>
      <c r="CP106" s="17">
        <f t="shared" si="113"/>
        <v>1.5748031496062995E-2</v>
      </c>
      <c r="CQ106" s="17">
        <f>$U106-IF('Inputs-Imperial'!$E$13,0,2)*($CO106+$CN106+$CP106)</f>
        <v>3.6283465727999999</v>
      </c>
      <c r="CR106" s="116">
        <f t="shared" si="114"/>
        <v>4317.6060823176458</v>
      </c>
      <c r="CS106" s="8">
        <f t="shared" si="10"/>
        <v>0.11163297072967891</v>
      </c>
      <c r="CT106" s="8">
        <f t="shared" si="115"/>
        <v>0.33411520577441384</v>
      </c>
      <c r="CU106" s="8">
        <f t="shared" si="272"/>
        <v>0.11163297072967891</v>
      </c>
      <c r="CV106" s="8">
        <f t="shared" si="116"/>
        <v>0.33411520577441384</v>
      </c>
      <c r="CW106" s="216">
        <f t="shared" si="117"/>
        <v>3.2942313670255858</v>
      </c>
      <c r="CX106" s="116">
        <f t="shared" si="118"/>
        <v>4755.5163818449519</v>
      </c>
      <c r="CY106" s="8">
        <f t="shared" si="119"/>
        <v>0.12295526987354051</v>
      </c>
      <c r="CZ106" s="8">
        <f t="shared" si="120"/>
        <v>0.35064978236630989</v>
      </c>
      <c r="DA106" s="8">
        <f t="shared" si="121"/>
        <v>0.12295526987354051</v>
      </c>
      <c r="DB106" s="8">
        <f t="shared" si="122"/>
        <v>0.35064978236630989</v>
      </c>
      <c r="DC106" s="216">
        <f t="shared" si="123"/>
        <v>3.2776967904336898</v>
      </c>
      <c r="DD106" s="116">
        <f t="shared" si="124"/>
        <v>4779.5059253802547</v>
      </c>
      <c r="DE106" s="8">
        <f t="shared" si="125"/>
        <v>0.12357552655287547</v>
      </c>
      <c r="DF106" s="8">
        <f t="shared" si="126"/>
        <v>0.35153310875773203</v>
      </c>
      <c r="DG106" s="8">
        <f t="shared" si="127"/>
        <v>0.12357552655287547</v>
      </c>
      <c r="DH106" s="8">
        <f t="shared" si="128"/>
        <v>0.35153310875773203</v>
      </c>
      <c r="DI106" s="216">
        <f t="shared" si="129"/>
        <v>3.2768134640422684</v>
      </c>
      <c r="DJ106" s="116">
        <f t="shared" si="130"/>
        <v>4780.7943306459711</v>
      </c>
      <c r="DK106" s="8">
        <f t="shared" si="131"/>
        <v>0.1236088386486465</v>
      </c>
      <c r="DL106" s="8">
        <f t="shared" si="132"/>
        <v>0.35158048672906533</v>
      </c>
      <c r="DM106" s="8">
        <f t="shared" si="133"/>
        <v>0.1236088386486465</v>
      </c>
      <c r="DN106" s="8">
        <f t="shared" si="134"/>
        <v>0.35158048672906533</v>
      </c>
      <c r="DO106" s="216">
        <f t="shared" si="135"/>
        <v>3.2767660860709347</v>
      </c>
      <c r="DP106" s="116">
        <f t="shared" si="136"/>
        <v>4780.863454999313</v>
      </c>
      <c r="DQ106" s="170">
        <f t="shared" si="137"/>
        <v>0.1236106258790622</v>
      </c>
      <c r="DR106" s="8">
        <f t="shared" si="138"/>
        <v>0.35158302842865186</v>
      </c>
      <c r="DS106" s="8">
        <f t="shared" si="139"/>
        <v>0.1236106258790622</v>
      </c>
      <c r="DT106" s="134">
        <f t="shared" si="140"/>
        <v>0.35158302842865186</v>
      </c>
      <c r="DU106" s="170">
        <f t="shared" si="304"/>
        <v>0.15260733333097529</v>
      </c>
      <c r="DV106" s="170">
        <f t="shared" si="304"/>
        <v>0.39064988587093596</v>
      </c>
      <c r="DW106" s="170">
        <f t="shared" si="304"/>
        <v>0.15260733333097529</v>
      </c>
      <c r="DX106" s="272">
        <f t="shared" si="304"/>
        <v>0.39064988587093596</v>
      </c>
      <c r="DY106" s="272">
        <f t="shared" si="142"/>
        <v>2.847046801058128</v>
      </c>
      <c r="DZ106" s="22">
        <f t="shared" si="273"/>
        <v>150.48177236327155</v>
      </c>
      <c r="EA106" s="216">
        <f t="shared" si="274"/>
        <v>9.858939144192844E-3</v>
      </c>
      <c r="EB106" s="12">
        <f t="shared" si="143"/>
        <v>2</v>
      </c>
      <c r="EC106" s="7">
        <f>ROUND(MAX(DV106,DX106)/'Inputs-Imperial'!$E$21,0)</f>
        <v>3</v>
      </c>
      <c r="ED106" s="12">
        <f t="shared" si="144"/>
        <v>3</v>
      </c>
      <c r="EE106" s="2">
        <f t="shared" si="145"/>
        <v>2</v>
      </c>
      <c r="EF106" s="127">
        <f t="shared" si="146"/>
        <v>2</v>
      </c>
      <c r="EG106" s="2">
        <f t="shared" si="147"/>
        <v>1.5748031496062995E-2</v>
      </c>
      <c r="EH106" s="8">
        <f t="shared" si="275"/>
        <v>0.10375334213328337</v>
      </c>
      <c r="EI106" s="138">
        <f t="shared" si="148"/>
        <v>0.25</v>
      </c>
      <c r="EJ106" s="12">
        <f t="shared" si="276"/>
        <v>8600.0332905609666</v>
      </c>
      <c r="EK106" s="138">
        <f t="shared" si="149"/>
        <v>0.25</v>
      </c>
      <c r="EL106" s="116">
        <f t="shared" si="150"/>
        <v>2175570</v>
      </c>
      <c r="EM106" s="2">
        <f t="shared" si="277"/>
        <v>1.5748031496062995E-2</v>
      </c>
      <c r="EN106" s="8">
        <f t="shared" si="151"/>
        <v>3.6283465727999999</v>
      </c>
      <c r="EO106" s="116">
        <f t="shared" si="152"/>
        <v>2610.6840000000002</v>
      </c>
      <c r="EP106" s="217">
        <f t="shared" si="153"/>
        <v>1.2298078485165194</v>
      </c>
      <c r="EQ106" s="207">
        <f t="shared" si="154"/>
        <v>2</v>
      </c>
      <c r="ER106" s="144">
        <f t="shared" si="155"/>
        <v>50968.904811994435</v>
      </c>
      <c r="ES106" s="138">
        <f t="shared" si="278"/>
        <v>0.25</v>
      </c>
      <c r="ET106" s="116">
        <f t="shared" si="156"/>
        <v>2175570</v>
      </c>
      <c r="EU106" s="2">
        <f t="shared" si="279"/>
        <v>1.5748031496062995E-2</v>
      </c>
      <c r="EV106" s="8">
        <f t="shared" si="157"/>
        <v>3.6283465727999999</v>
      </c>
      <c r="EW106" s="116">
        <f t="shared" si="158"/>
        <v>2610.6840000000002</v>
      </c>
      <c r="EX106" s="217">
        <f t="shared" si="159"/>
        <v>1.2298078485165194</v>
      </c>
      <c r="EY106" s="207">
        <f t="shared" si="160"/>
        <v>2</v>
      </c>
      <c r="EZ106" s="144">
        <f t="shared" si="161"/>
        <v>50968.904811994435</v>
      </c>
      <c r="FA106" s="138">
        <f t="shared" si="280"/>
        <v>0.25</v>
      </c>
      <c r="FB106" s="116">
        <f t="shared" si="162"/>
        <v>2175570</v>
      </c>
      <c r="FC106" s="2">
        <f t="shared" si="281"/>
        <v>1.5748031496062995E-2</v>
      </c>
      <c r="FD106" s="8">
        <f t="shared" si="163"/>
        <v>3.6283465727999999</v>
      </c>
      <c r="FE106" s="116">
        <f t="shared" si="164"/>
        <v>2610.6840000000002</v>
      </c>
      <c r="FF106" s="217">
        <f t="shared" si="165"/>
        <v>1.2298078485165194</v>
      </c>
      <c r="FG106" s="207">
        <f t="shared" si="166"/>
        <v>2</v>
      </c>
      <c r="FH106" s="144">
        <f t="shared" si="167"/>
        <v>50968.904811994435</v>
      </c>
      <c r="FI106" s="128">
        <f t="shared" si="168"/>
        <v>0.25</v>
      </c>
      <c r="FJ106" s="2">
        <f t="shared" si="169"/>
        <v>1.5748031496062995E-2</v>
      </c>
      <c r="FK106" s="127">
        <f t="shared" si="170"/>
        <v>1.5748031496062995E-2</v>
      </c>
      <c r="FL106" s="216">
        <f t="shared" si="171"/>
        <v>0</v>
      </c>
      <c r="FM106" s="138">
        <f t="shared" si="172"/>
        <v>0.25</v>
      </c>
      <c r="FN106" s="138">
        <f t="shared" si="173"/>
        <v>0</v>
      </c>
      <c r="FO106" s="238">
        <f t="shared" si="174"/>
        <v>0</v>
      </c>
      <c r="FP106" s="216">
        <f t="shared" si="282"/>
        <v>0</v>
      </c>
      <c r="FQ106" s="138">
        <f t="shared" si="283"/>
        <v>0.25</v>
      </c>
      <c r="FR106" s="138">
        <f t="shared" si="284"/>
        <v>0</v>
      </c>
      <c r="FS106" s="238">
        <f t="shared" si="285"/>
        <v>0</v>
      </c>
      <c r="FT106" s="216">
        <f t="shared" si="175"/>
        <v>0</v>
      </c>
      <c r="FU106" s="138">
        <f t="shared" si="176"/>
        <v>1.5748031496062995E-2</v>
      </c>
      <c r="FV106" s="138">
        <f t="shared" si="177"/>
        <v>0</v>
      </c>
      <c r="FW106" s="238">
        <f t="shared" si="178"/>
        <v>0</v>
      </c>
      <c r="FX106" s="216">
        <f t="shared" si="286"/>
        <v>0</v>
      </c>
      <c r="FY106" s="138">
        <f t="shared" si="287"/>
        <v>1.5748031496062995E-2</v>
      </c>
      <c r="FZ106" s="138">
        <f t="shared" si="288"/>
        <v>0</v>
      </c>
      <c r="GA106" s="238">
        <f t="shared" si="289"/>
        <v>0</v>
      </c>
      <c r="GB106" s="216">
        <f t="shared" si="179"/>
        <v>0</v>
      </c>
      <c r="GC106" s="138">
        <f t="shared" si="180"/>
        <v>1.5748031496062995E-2</v>
      </c>
      <c r="GD106" s="138">
        <f t="shared" si="181"/>
        <v>0</v>
      </c>
      <c r="GE106" s="238">
        <f t="shared" si="182"/>
        <v>0</v>
      </c>
      <c r="GF106" s="216">
        <f t="shared" si="290"/>
        <v>0</v>
      </c>
      <c r="GG106" s="138">
        <f t="shared" si="291"/>
        <v>1.5748031496062995E-2</v>
      </c>
      <c r="GH106" s="138">
        <f t="shared" si="292"/>
        <v>0</v>
      </c>
      <c r="GI106" s="238">
        <f t="shared" si="293"/>
        <v>0</v>
      </c>
      <c r="GJ106" s="216">
        <f t="shared" si="183"/>
        <v>0.25</v>
      </c>
      <c r="GK106" s="216">
        <f t="shared" si="184"/>
        <v>1.5748031496062995E-2</v>
      </c>
      <c r="GL106" s="17">
        <f t="shared" si="185"/>
        <v>1.5748031496062995E-2</v>
      </c>
      <c r="GM106" s="216">
        <f t="shared" si="294"/>
        <v>5.1853300388654405E-3</v>
      </c>
      <c r="GN106" s="2">
        <f t="shared" si="187"/>
        <v>1</v>
      </c>
      <c r="GO106" s="2">
        <f t="shared" si="188"/>
        <v>2</v>
      </c>
      <c r="GP106" s="142">
        <f t="shared" si="189"/>
        <v>2</v>
      </c>
      <c r="GQ106" s="2">
        <f t="shared" si="190"/>
        <v>1.5748031496062995E-2</v>
      </c>
      <c r="GR106" s="8">
        <f t="shared" si="295"/>
        <v>5.4569291252121184E-2</v>
      </c>
      <c r="GS106" s="138">
        <f t="shared" si="191"/>
        <v>0.25</v>
      </c>
      <c r="GT106" s="12">
        <f t="shared" si="296"/>
        <v>4523.2058241332734</v>
      </c>
      <c r="GU106" s="138">
        <f t="shared" si="192"/>
        <v>0.25</v>
      </c>
      <c r="GV106" s="116">
        <f t="shared" si="193"/>
        <v>2175570</v>
      </c>
      <c r="GW106" s="2">
        <f t="shared" si="297"/>
        <v>1.5748031496062995E-2</v>
      </c>
      <c r="GX106" s="8">
        <f t="shared" si="298"/>
        <v>1.8141732864</v>
      </c>
      <c r="GY106" s="116">
        <f t="shared" si="194"/>
        <v>2610.6840000000002</v>
      </c>
      <c r="GZ106" s="217">
        <f t="shared" si="195"/>
        <v>4.9192313940660775</v>
      </c>
      <c r="HA106" s="207">
        <f t="shared" si="196"/>
        <v>2</v>
      </c>
      <c r="HB106" s="144">
        <f t="shared" si="197"/>
        <v>203875.61924797774</v>
      </c>
      <c r="HC106" s="138">
        <f t="shared" si="299"/>
        <v>0.25</v>
      </c>
      <c r="HD106" s="116">
        <f t="shared" si="198"/>
        <v>2175570</v>
      </c>
      <c r="HE106" s="2">
        <f t="shared" si="300"/>
        <v>1.5748031496062995E-2</v>
      </c>
      <c r="HF106" s="8">
        <f t="shared" si="199"/>
        <v>1.8141732864</v>
      </c>
      <c r="HG106" s="116">
        <f t="shared" si="200"/>
        <v>2610.6840000000002</v>
      </c>
      <c r="HH106" s="217">
        <f t="shared" si="201"/>
        <v>4.9192313940660775</v>
      </c>
      <c r="HI106" s="207">
        <f t="shared" si="202"/>
        <v>2</v>
      </c>
      <c r="HJ106" s="144">
        <f t="shared" si="203"/>
        <v>203875.61924797774</v>
      </c>
      <c r="HK106" s="138">
        <f t="shared" si="301"/>
        <v>0.25</v>
      </c>
      <c r="HL106" s="116">
        <f t="shared" si="204"/>
        <v>2175570</v>
      </c>
      <c r="HM106" s="2">
        <f t="shared" si="302"/>
        <v>1.5748031496062995E-2</v>
      </c>
      <c r="HN106" s="8">
        <f t="shared" si="205"/>
        <v>1.8141732864</v>
      </c>
      <c r="HO106" s="116">
        <f t="shared" si="206"/>
        <v>2610.6840000000002</v>
      </c>
      <c r="HP106" s="217">
        <f t="shared" si="207"/>
        <v>4.9192313940660775</v>
      </c>
      <c r="HQ106" s="207">
        <f t="shared" si="208"/>
        <v>2</v>
      </c>
      <c r="HR106" s="144">
        <f t="shared" si="209"/>
        <v>203875.61924797774</v>
      </c>
      <c r="HS106" s="128">
        <f t="shared" si="210"/>
        <v>0.25</v>
      </c>
      <c r="HT106" s="2">
        <f t="shared" si="211"/>
        <v>1.5748031496062995E-2</v>
      </c>
      <c r="HU106" s="127">
        <f t="shared" si="212"/>
        <v>1.5748031496062995E-2</v>
      </c>
      <c r="HV106" s="216">
        <f t="shared" si="213"/>
        <v>0</v>
      </c>
      <c r="HW106" s="138">
        <f t="shared" si="214"/>
        <v>0.25</v>
      </c>
      <c r="HX106" s="138">
        <f t="shared" si="215"/>
        <v>0</v>
      </c>
      <c r="HY106" s="238">
        <f t="shared" si="216"/>
        <v>0</v>
      </c>
      <c r="HZ106" s="138">
        <f t="shared" si="217"/>
        <v>0</v>
      </c>
      <c r="IA106" s="138">
        <f t="shared" si="218"/>
        <v>0.25</v>
      </c>
      <c r="IB106" s="138">
        <f t="shared" si="219"/>
        <v>0</v>
      </c>
      <c r="IC106" s="138">
        <f t="shared" si="220"/>
        <v>0</v>
      </c>
      <c r="ID106" s="216">
        <f t="shared" si="221"/>
        <v>0</v>
      </c>
      <c r="IE106" s="138">
        <f t="shared" si="222"/>
        <v>1.5748031496062995E-2</v>
      </c>
      <c r="IF106" s="138">
        <f t="shared" si="223"/>
        <v>0</v>
      </c>
      <c r="IG106" s="238">
        <f t="shared" si="224"/>
        <v>0</v>
      </c>
      <c r="IH106" s="138">
        <f t="shared" si="225"/>
        <v>0</v>
      </c>
      <c r="II106" s="138">
        <f t="shared" si="226"/>
        <v>1.5748031496062995E-2</v>
      </c>
      <c r="IJ106" s="138">
        <f t="shared" si="227"/>
        <v>0</v>
      </c>
      <c r="IK106" s="138">
        <f t="shared" si="228"/>
        <v>0</v>
      </c>
      <c r="IL106" s="216">
        <f t="shared" si="229"/>
        <v>0</v>
      </c>
      <c r="IM106" s="138">
        <f t="shared" si="230"/>
        <v>1.5748031496062995E-2</v>
      </c>
      <c r="IN106" s="138">
        <f t="shared" si="231"/>
        <v>0</v>
      </c>
      <c r="IO106" s="238">
        <f t="shared" si="232"/>
        <v>0</v>
      </c>
      <c r="IP106" s="138">
        <f t="shared" si="233"/>
        <v>0</v>
      </c>
      <c r="IQ106" s="138">
        <f t="shared" si="234"/>
        <v>1.5748031496062995E-2</v>
      </c>
      <c r="IR106" s="138">
        <f t="shared" si="235"/>
        <v>0</v>
      </c>
      <c r="IS106" s="138">
        <f t="shared" si="236"/>
        <v>0</v>
      </c>
      <c r="IT106" s="17">
        <f t="shared" si="237"/>
        <v>0.25</v>
      </c>
      <c r="IU106" s="17">
        <f t="shared" si="238"/>
        <v>1.5748031496062995E-2</v>
      </c>
      <c r="IV106" s="17">
        <f t="shared" si="239"/>
        <v>1.5748031496062995E-2</v>
      </c>
      <c r="IW106" s="253">
        <f t="shared" si="240"/>
        <v>10.07874048</v>
      </c>
      <c r="IX106" s="116">
        <f t="shared" si="303"/>
        <v>155.43381896343524</v>
      </c>
      <c r="IY106" s="8">
        <f t="shared" si="242"/>
        <v>4.0187869462684411E-3</v>
      </c>
      <c r="IZ106" s="8">
        <f t="shared" si="243"/>
        <v>4.0187869462684411E-3</v>
      </c>
      <c r="JA106" s="8">
        <f t="shared" si="244"/>
        <v>2.0093934731342205E-3</v>
      </c>
      <c r="JB106" s="134">
        <f t="shared" si="245"/>
        <v>4.4826258745675182E-2</v>
      </c>
      <c r="JC106" s="170">
        <f t="shared" si="305"/>
        <v>2.4612277601232125E-3</v>
      </c>
      <c r="JD106" s="272">
        <f t="shared" si="306"/>
        <v>4.9610762543254791E-2</v>
      </c>
      <c r="JE106" s="8"/>
      <c r="JF106" s="8"/>
    </row>
    <row r="107" spans="1:266" x14ac:dyDescent="0.25">
      <c r="A107" s="186">
        <v>47</v>
      </c>
      <c r="B107" s="187">
        <f>A107/100*'Inputs-Imperial'!$E$5</f>
        <v>4.6259844000000001</v>
      </c>
      <c r="C107" s="188">
        <f>'Inputs-Imperial'!$E$10+('Inputs-Imperial'!$E$9-'Inputs-Imperial'!$E$10)*(100-A107)/100</f>
        <v>1.66994756</v>
      </c>
      <c r="D107" s="187">
        <f t="shared" si="248"/>
        <v>9.8425199999999435E-2</v>
      </c>
      <c r="E107" s="188">
        <f t="shared" si="249"/>
        <v>0.16484929858226305</v>
      </c>
      <c r="F107" s="423">
        <f>Loads!P67</f>
        <v>53.297906381424134</v>
      </c>
      <c r="G107" s="423">
        <f>Loads!M67</f>
        <v>532.97906381424116</v>
      </c>
      <c r="H107" s="423">
        <f>Loads!N67</f>
        <v>1251.7407744904144</v>
      </c>
      <c r="I107" s="423">
        <f>Loads!V67</f>
        <v>-413.64131531044177</v>
      </c>
      <c r="J107" s="423">
        <f>Loads!Q67</f>
        <v>125.17407744904145</v>
      </c>
      <c r="K107" s="2">
        <v>47</v>
      </c>
      <c r="L107" s="12">
        <f t="shared" si="41"/>
        <v>55.511812800000001</v>
      </c>
      <c r="M107" s="11">
        <f t="shared" si="42"/>
        <v>20.039370720000001</v>
      </c>
      <c r="N107" s="11">
        <f t="shared" si="43"/>
        <v>1.1811023999999932</v>
      </c>
      <c r="O107" s="152">
        <f t="shared" si="44"/>
        <v>23.738298995845881</v>
      </c>
      <c r="P107" s="151">
        <f t="shared" si="45"/>
        <v>53.297906381424134</v>
      </c>
      <c r="Q107" s="12">
        <f t="shared" si="46"/>
        <v>532.97906381424116</v>
      </c>
      <c r="R107" s="12">
        <f t="shared" si="47"/>
        <v>15020.889293884973</v>
      </c>
      <c r="S107" s="12">
        <f t="shared" si="48"/>
        <v>-4963.6957837253012</v>
      </c>
      <c r="T107" s="152">
        <f t="shared" si="49"/>
        <v>1502.0889293884975</v>
      </c>
      <c r="U107" s="8">
        <f t="shared" si="261"/>
        <v>3.6070867296000002</v>
      </c>
      <c r="V107" s="8">
        <f t="shared" si="262"/>
        <v>3.6070867296000002</v>
      </c>
      <c r="W107" s="134">
        <f t="shared" si="263"/>
        <v>1.8035433648000001</v>
      </c>
      <c r="X107" s="311">
        <f t="shared" si="264"/>
        <v>5.0098426800000002</v>
      </c>
      <c r="Y107" s="11">
        <f t="shared" si="265"/>
        <v>15.029528040000001</v>
      </c>
      <c r="Z107" s="11">
        <f t="shared" si="266"/>
        <v>10.01968536</v>
      </c>
      <c r="AA107" s="316">
        <f t="shared" si="50"/>
        <v>15.029528040000001</v>
      </c>
      <c r="AB107" s="170">
        <f t="shared" si="51"/>
        <v>2.7053150472</v>
      </c>
      <c r="AC107" s="11">
        <f t="shared" si="52"/>
        <v>15.029528040000001</v>
      </c>
      <c r="AD107" s="152">
        <f t="shared" si="53"/>
        <v>31.933981729560269</v>
      </c>
      <c r="AE107" s="151">
        <f t="shared" si="267"/>
        <v>3.5462129109826748</v>
      </c>
      <c r="AF107" s="12">
        <f t="shared" si="268"/>
        <v>77.718084543315285</v>
      </c>
      <c r="AG107" s="216">
        <f t="shared" si="269"/>
        <v>5.3240983981994545E-3</v>
      </c>
      <c r="AH107" s="2">
        <f t="shared" si="55"/>
        <v>1</v>
      </c>
      <c r="AI107" s="2">
        <f t="shared" si="56"/>
        <v>3</v>
      </c>
      <c r="AJ107" s="127">
        <f t="shared" si="57"/>
        <v>2</v>
      </c>
      <c r="AK107" s="2">
        <f t="shared" si="58"/>
        <v>1.5748031496062995E-2</v>
      </c>
      <c r="AL107" s="8">
        <f t="shared" si="270"/>
        <v>5.6029659437042682E-2</v>
      </c>
      <c r="AM107" s="138">
        <f t="shared" si="59"/>
        <v>0.25</v>
      </c>
      <c r="AN107" s="12">
        <f t="shared" si="271"/>
        <v>4644.2545995131277</v>
      </c>
      <c r="AO107" s="138">
        <f t="shared" si="60"/>
        <v>0.25</v>
      </c>
      <c r="AP107" s="116">
        <f t="shared" si="61"/>
        <v>2175570</v>
      </c>
      <c r="AQ107" s="2">
        <f t="shared" si="62"/>
        <v>1.5748031496062995E-2</v>
      </c>
      <c r="AR107" s="8">
        <f t="shared" si="63"/>
        <v>10.01968536</v>
      </c>
      <c r="AS107" s="116">
        <f t="shared" si="64"/>
        <v>2610.6840000000002</v>
      </c>
      <c r="AT107" s="217">
        <f t="shared" si="65"/>
        <v>0.16126741298644157</v>
      </c>
      <c r="AU107" s="207">
        <f t="shared" si="66"/>
        <v>3.3569038802096531</v>
      </c>
      <c r="AV107" s="144">
        <f t="shared" si="67"/>
        <v>11218.210142229917</v>
      </c>
      <c r="AW107" s="138">
        <f t="shared" si="68"/>
        <v>0.25</v>
      </c>
      <c r="AX107" s="116">
        <f t="shared" si="69"/>
        <v>2175570</v>
      </c>
      <c r="AY107" s="2">
        <f t="shared" si="70"/>
        <v>1.5748031496062995E-2</v>
      </c>
      <c r="AZ107" s="8">
        <f t="shared" si="71"/>
        <v>10.01968536</v>
      </c>
      <c r="BA107" s="116">
        <f t="shared" si="72"/>
        <v>2610.6840000000002</v>
      </c>
      <c r="BB107" s="217">
        <f t="shared" si="73"/>
        <v>0.16126741298644157</v>
      </c>
      <c r="BC107" s="207">
        <f t="shared" si="74"/>
        <v>3.3569038802096531</v>
      </c>
      <c r="BD107" s="144">
        <f t="shared" si="75"/>
        <v>11218.210142229917</v>
      </c>
      <c r="BE107" s="138">
        <f t="shared" si="76"/>
        <v>0.25</v>
      </c>
      <c r="BF107" s="116">
        <f t="shared" si="77"/>
        <v>2175570</v>
      </c>
      <c r="BG107" s="2">
        <f t="shared" si="78"/>
        <v>1.5748031496062995E-2</v>
      </c>
      <c r="BH107" s="8">
        <f t="shared" si="79"/>
        <v>10.01968536</v>
      </c>
      <c r="BI107" s="116">
        <f t="shared" si="80"/>
        <v>2610.6840000000002</v>
      </c>
      <c r="BJ107" s="217">
        <f t="shared" si="81"/>
        <v>0.16126741298644157</v>
      </c>
      <c r="BK107" s="207">
        <f t="shared" si="82"/>
        <v>3.3569038802096531</v>
      </c>
      <c r="BL107" s="144">
        <f t="shared" si="83"/>
        <v>11218.210142229917</v>
      </c>
      <c r="BM107" s="216">
        <f t="shared" si="84"/>
        <v>0.25</v>
      </c>
      <c r="BN107" s="216">
        <f t="shared" si="85"/>
        <v>2.3622047244094495E-2</v>
      </c>
      <c r="BO107" s="238">
        <f t="shared" si="86"/>
        <v>1.5748031496062995E-2</v>
      </c>
      <c r="BP107" s="216">
        <f t="shared" si="87"/>
        <v>0</v>
      </c>
      <c r="BQ107" s="138">
        <f t="shared" si="88"/>
        <v>0.25</v>
      </c>
      <c r="BR107" s="138">
        <f t="shared" si="89"/>
        <v>0</v>
      </c>
      <c r="BS107" s="238">
        <f t="shared" si="90"/>
        <v>0</v>
      </c>
      <c r="BT107" s="138">
        <f t="shared" si="91"/>
        <v>0</v>
      </c>
      <c r="BU107" s="138">
        <f t="shared" si="92"/>
        <v>0.25</v>
      </c>
      <c r="BV107" s="138">
        <f t="shared" si="93"/>
        <v>0</v>
      </c>
      <c r="BW107" s="238">
        <f t="shared" si="94"/>
        <v>0</v>
      </c>
      <c r="BX107" s="216">
        <f t="shared" si="95"/>
        <v>0</v>
      </c>
      <c r="BY107" s="138">
        <f t="shared" si="96"/>
        <v>2.3622047244094495E-2</v>
      </c>
      <c r="BZ107" s="138">
        <f t="shared" si="97"/>
        <v>0</v>
      </c>
      <c r="CA107" s="238">
        <f t="shared" si="98"/>
        <v>0</v>
      </c>
      <c r="CB107" s="138">
        <f t="shared" si="99"/>
        <v>0</v>
      </c>
      <c r="CC107" s="138">
        <f t="shared" si="100"/>
        <v>2.3622047244094495E-2</v>
      </c>
      <c r="CD107" s="138">
        <f t="shared" si="101"/>
        <v>0</v>
      </c>
      <c r="CE107" s="238">
        <f t="shared" si="102"/>
        <v>0</v>
      </c>
      <c r="CF107" s="216">
        <f t="shared" si="103"/>
        <v>0</v>
      </c>
      <c r="CG107" s="138">
        <f t="shared" si="104"/>
        <v>1.5748031496062995E-2</v>
      </c>
      <c r="CH107" s="138">
        <f t="shared" si="105"/>
        <v>0</v>
      </c>
      <c r="CI107" s="238">
        <f t="shared" si="106"/>
        <v>0</v>
      </c>
      <c r="CJ107" s="138">
        <f t="shared" si="107"/>
        <v>0</v>
      </c>
      <c r="CK107" s="138">
        <f t="shared" si="108"/>
        <v>1.5748031496062995E-2</v>
      </c>
      <c r="CL107" s="138">
        <f t="shared" si="109"/>
        <v>0</v>
      </c>
      <c r="CM107" s="238">
        <f t="shared" si="110"/>
        <v>0</v>
      </c>
      <c r="CN107" s="17">
        <f t="shared" si="111"/>
        <v>0.25</v>
      </c>
      <c r="CO107" s="17">
        <f t="shared" si="112"/>
        <v>2.3622047244094495E-2</v>
      </c>
      <c r="CP107" s="17">
        <f t="shared" si="113"/>
        <v>1.5748031496062995E-2</v>
      </c>
      <c r="CQ107" s="17">
        <f>$U107-IF('Inputs-Imperial'!$E$13,0,2)*($CO107+$CN107+$CP107)</f>
        <v>3.6070867296000002</v>
      </c>
      <c r="CR107" s="116">
        <f t="shared" si="114"/>
        <v>4164.2717294881013</v>
      </c>
      <c r="CS107" s="8">
        <f t="shared" si="10"/>
        <v>0.10766846609564651</v>
      </c>
      <c r="CT107" s="8">
        <f t="shared" si="115"/>
        <v>0.32812873402926251</v>
      </c>
      <c r="CU107" s="8">
        <f t="shared" si="272"/>
        <v>0.10766846609564651</v>
      </c>
      <c r="CV107" s="8">
        <f t="shared" si="116"/>
        <v>0.32812873402926251</v>
      </c>
      <c r="CW107" s="216">
        <f t="shared" si="117"/>
        <v>3.2789579955707375</v>
      </c>
      <c r="CX107" s="116">
        <f t="shared" si="118"/>
        <v>4580.9947288667317</v>
      </c>
      <c r="CY107" s="8">
        <f t="shared" si="119"/>
        <v>0.1184429613842596</v>
      </c>
      <c r="CZ107" s="8">
        <f t="shared" si="120"/>
        <v>0.34415543201329774</v>
      </c>
      <c r="DA107" s="8">
        <f t="shared" si="121"/>
        <v>0.1184429613842596</v>
      </c>
      <c r="DB107" s="8">
        <f t="shared" si="122"/>
        <v>0.34415543201329774</v>
      </c>
      <c r="DC107" s="216">
        <f t="shared" si="123"/>
        <v>3.2629312975867024</v>
      </c>
      <c r="DD107" s="116">
        <f t="shared" si="124"/>
        <v>4603.4954229635723</v>
      </c>
      <c r="DE107" s="8">
        <f t="shared" si="125"/>
        <v>0.1190247234249879</v>
      </c>
      <c r="DF107" s="8">
        <f t="shared" si="126"/>
        <v>0.34499959916641626</v>
      </c>
      <c r="DG107" s="8">
        <f t="shared" si="127"/>
        <v>0.1190247234249879</v>
      </c>
      <c r="DH107" s="8">
        <f t="shared" si="128"/>
        <v>0.34499959916641626</v>
      </c>
      <c r="DI107" s="216">
        <f t="shared" si="129"/>
        <v>3.2620871304335837</v>
      </c>
      <c r="DJ107" s="116">
        <f t="shared" si="130"/>
        <v>4604.6867215004331</v>
      </c>
      <c r="DK107" s="8">
        <f t="shared" si="131"/>
        <v>0.1190555247978228</v>
      </c>
      <c r="DL107" s="8">
        <f t="shared" si="132"/>
        <v>0.34504423600144779</v>
      </c>
      <c r="DM107" s="8">
        <f t="shared" si="133"/>
        <v>0.1190555247978228</v>
      </c>
      <c r="DN107" s="8">
        <f t="shared" si="134"/>
        <v>0.34504423600144779</v>
      </c>
      <c r="DO107" s="216">
        <f t="shared" si="135"/>
        <v>3.2620424935985528</v>
      </c>
      <c r="DP107" s="116">
        <f t="shared" si="136"/>
        <v>4604.7497306862297</v>
      </c>
      <c r="DQ107" s="170">
        <f t="shared" si="137"/>
        <v>0.11905715391878928</v>
      </c>
      <c r="DR107" s="8">
        <f t="shared" si="138"/>
        <v>0.34504659673555582</v>
      </c>
      <c r="DS107" s="8">
        <f t="shared" si="139"/>
        <v>0.11905715391878928</v>
      </c>
      <c r="DT107" s="134">
        <f t="shared" si="140"/>
        <v>0.34504659673555582</v>
      </c>
      <c r="DU107" s="170">
        <f t="shared" si="304"/>
        <v>0.15260733333097529</v>
      </c>
      <c r="DV107" s="170">
        <f t="shared" si="304"/>
        <v>0.39064988587093596</v>
      </c>
      <c r="DW107" s="170">
        <f t="shared" si="304"/>
        <v>0.15260733333097529</v>
      </c>
      <c r="DX107" s="272">
        <f t="shared" si="304"/>
        <v>0.39064988587093596</v>
      </c>
      <c r="DY107" s="272">
        <f t="shared" si="142"/>
        <v>2.8257869578581283</v>
      </c>
      <c r="DZ107" s="22">
        <f t="shared" si="273"/>
        <v>147.75887129094471</v>
      </c>
      <c r="EA107" s="216">
        <f t="shared" si="274"/>
        <v>9.6805460036407612E-3</v>
      </c>
      <c r="EB107" s="12">
        <f t="shared" si="143"/>
        <v>2</v>
      </c>
      <c r="EC107" s="7">
        <f>ROUND(MAX(DV107,DX107)/'Inputs-Imperial'!$E$21,0)</f>
        <v>3</v>
      </c>
      <c r="ED107" s="12">
        <f t="shared" si="144"/>
        <v>3</v>
      </c>
      <c r="EE107" s="2">
        <f t="shared" si="145"/>
        <v>2</v>
      </c>
      <c r="EF107" s="127">
        <f t="shared" si="146"/>
        <v>2</v>
      </c>
      <c r="EG107" s="2">
        <f t="shared" si="147"/>
        <v>1.5748031496062995E-2</v>
      </c>
      <c r="EH107" s="8">
        <f t="shared" si="275"/>
        <v>0.10187597132540763</v>
      </c>
      <c r="EI107" s="138">
        <f t="shared" si="148"/>
        <v>0.25</v>
      </c>
      <c r="EJ107" s="12">
        <f t="shared" si="276"/>
        <v>8444.4194942774902</v>
      </c>
      <c r="EK107" s="138">
        <f t="shared" si="149"/>
        <v>0.25</v>
      </c>
      <c r="EL107" s="116">
        <f t="shared" si="150"/>
        <v>2175570</v>
      </c>
      <c r="EM107" s="2">
        <f t="shared" si="277"/>
        <v>1.5748031496062995E-2</v>
      </c>
      <c r="EN107" s="8">
        <f t="shared" si="151"/>
        <v>3.6070867296000002</v>
      </c>
      <c r="EO107" s="116">
        <f t="shared" si="152"/>
        <v>2610.6840000000002</v>
      </c>
      <c r="EP107" s="217">
        <f t="shared" si="153"/>
        <v>1.2443473224262465</v>
      </c>
      <c r="EQ107" s="207">
        <f t="shared" si="154"/>
        <v>2</v>
      </c>
      <c r="ER107" s="144">
        <f t="shared" si="155"/>
        <v>51571.487615979044</v>
      </c>
      <c r="ES107" s="138">
        <f t="shared" si="278"/>
        <v>0.25</v>
      </c>
      <c r="ET107" s="116">
        <f t="shared" si="156"/>
        <v>2175570</v>
      </c>
      <c r="EU107" s="2">
        <f t="shared" si="279"/>
        <v>1.5748031496062995E-2</v>
      </c>
      <c r="EV107" s="8">
        <f t="shared" si="157"/>
        <v>3.6070867296000002</v>
      </c>
      <c r="EW107" s="116">
        <f t="shared" si="158"/>
        <v>2610.6840000000002</v>
      </c>
      <c r="EX107" s="217">
        <f t="shared" si="159"/>
        <v>1.2443473224262465</v>
      </c>
      <c r="EY107" s="207">
        <f t="shared" si="160"/>
        <v>2</v>
      </c>
      <c r="EZ107" s="144">
        <f t="shared" si="161"/>
        <v>51571.487615979044</v>
      </c>
      <c r="FA107" s="138">
        <f t="shared" si="280"/>
        <v>0.25</v>
      </c>
      <c r="FB107" s="116">
        <f t="shared" si="162"/>
        <v>2175570</v>
      </c>
      <c r="FC107" s="2">
        <f t="shared" si="281"/>
        <v>1.5748031496062995E-2</v>
      </c>
      <c r="FD107" s="8">
        <f t="shared" si="163"/>
        <v>3.6070867296000002</v>
      </c>
      <c r="FE107" s="116">
        <f t="shared" si="164"/>
        <v>2610.6840000000002</v>
      </c>
      <c r="FF107" s="217">
        <f t="shared" si="165"/>
        <v>1.2443473224262465</v>
      </c>
      <c r="FG107" s="207">
        <f t="shared" si="166"/>
        <v>2</v>
      </c>
      <c r="FH107" s="144">
        <f t="shared" si="167"/>
        <v>51571.487615979044</v>
      </c>
      <c r="FI107" s="128">
        <f t="shared" si="168"/>
        <v>0.25</v>
      </c>
      <c r="FJ107" s="2">
        <f t="shared" si="169"/>
        <v>1.5748031496062995E-2</v>
      </c>
      <c r="FK107" s="127">
        <f t="shared" si="170"/>
        <v>1.5748031496062995E-2</v>
      </c>
      <c r="FL107" s="216">
        <f t="shared" si="171"/>
        <v>0</v>
      </c>
      <c r="FM107" s="138">
        <f t="shared" si="172"/>
        <v>0.25</v>
      </c>
      <c r="FN107" s="138">
        <f t="shared" si="173"/>
        <v>0</v>
      </c>
      <c r="FO107" s="238">
        <f t="shared" si="174"/>
        <v>0</v>
      </c>
      <c r="FP107" s="216">
        <f t="shared" si="282"/>
        <v>0</v>
      </c>
      <c r="FQ107" s="138">
        <f t="shared" si="283"/>
        <v>0.25</v>
      </c>
      <c r="FR107" s="138">
        <f t="shared" si="284"/>
        <v>0</v>
      </c>
      <c r="FS107" s="238">
        <f t="shared" si="285"/>
        <v>0</v>
      </c>
      <c r="FT107" s="216">
        <f t="shared" si="175"/>
        <v>0</v>
      </c>
      <c r="FU107" s="138">
        <f t="shared" si="176"/>
        <v>1.5748031496062995E-2</v>
      </c>
      <c r="FV107" s="138">
        <f t="shared" si="177"/>
        <v>0</v>
      </c>
      <c r="FW107" s="238">
        <f t="shared" si="178"/>
        <v>0</v>
      </c>
      <c r="FX107" s="216">
        <f t="shared" si="286"/>
        <v>0</v>
      </c>
      <c r="FY107" s="138">
        <f t="shared" si="287"/>
        <v>1.5748031496062995E-2</v>
      </c>
      <c r="FZ107" s="138">
        <f t="shared" si="288"/>
        <v>0</v>
      </c>
      <c r="GA107" s="238">
        <f t="shared" si="289"/>
        <v>0</v>
      </c>
      <c r="GB107" s="216">
        <f t="shared" si="179"/>
        <v>0</v>
      </c>
      <c r="GC107" s="138">
        <f t="shared" si="180"/>
        <v>1.5748031496062995E-2</v>
      </c>
      <c r="GD107" s="138">
        <f t="shared" si="181"/>
        <v>0</v>
      </c>
      <c r="GE107" s="238">
        <f t="shared" si="182"/>
        <v>0</v>
      </c>
      <c r="GF107" s="216">
        <f t="shared" si="290"/>
        <v>0</v>
      </c>
      <c r="GG107" s="138">
        <f t="shared" si="291"/>
        <v>1.5748031496062995E-2</v>
      </c>
      <c r="GH107" s="138">
        <f t="shared" si="292"/>
        <v>0</v>
      </c>
      <c r="GI107" s="238">
        <f t="shared" si="293"/>
        <v>0</v>
      </c>
      <c r="GJ107" s="216">
        <f t="shared" si="183"/>
        <v>0.25</v>
      </c>
      <c r="GK107" s="216">
        <f t="shared" si="184"/>
        <v>1.5748031496062995E-2</v>
      </c>
      <c r="GL107" s="17">
        <f t="shared" si="185"/>
        <v>1.5748031496062995E-2</v>
      </c>
      <c r="GM107" s="216">
        <f t="shared" si="294"/>
        <v>5.0917652941120765E-3</v>
      </c>
      <c r="GN107" s="2">
        <f t="shared" si="187"/>
        <v>1</v>
      </c>
      <c r="GO107" s="2">
        <f t="shared" si="188"/>
        <v>2</v>
      </c>
      <c r="GP107" s="142">
        <f t="shared" si="189"/>
        <v>2</v>
      </c>
      <c r="GQ107" s="2">
        <f t="shared" si="190"/>
        <v>1.5748031496062995E-2</v>
      </c>
      <c r="GR107" s="8">
        <f t="shared" si="295"/>
        <v>5.3584636125232898E-2</v>
      </c>
      <c r="GS107" s="138">
        <f t="shared" si="191"/>
        <v>0.25</v>
      </c>
      <c r="GT107" s="12">
        <f t="shared" si="296"/>
        <v>4441.5885316504682</v>
      </c>
      <c r="GU107" s="138">
        <f t="shared" si="192"/>
        <v>0.25</v>
      </c>
      <c r="GV107" s="116">
        <f t="shared" si="193"/>
        <v>2175570</v>
      </c>
      <c r="GW107" s="2">
        <f t="shared" si="297"/>
        <v>1.5748031496062995E-2</v>
      </c>
      <c r="GX107" s="8">
        <f t="shared" si="298"/>
        <v>1.8035433648000001</v>
      </c>
      <c r="GY107" s="116">
        <f t="shared" si="194"/>
        <v>2610.6840000000002</v>
      </c>
      <c r="GZ107" s="217">
        <f t="shared" si="195"/>
        <v>4.9773892897049858</v>
      </c>
      <c r="HA107" s="207">
        <f t="shared" si="196"/>
        <v>2</v>
      </c>
      <c r="HB107" s="144">
        <f t="shared" si="197"/>
        <v>206285.95046391618</v>
      </c>
      <c r="HC107" s="138">
        <f t="shared" si="299"/>
        <v>0.25</v>
      </c>
      <c r="HD107" s="116">
        <f t="shared" si="198"/>
        <v>2175570</v>
      </c>
      <c r="HE107" s="2">
        <f t="shared" si="300"/>
        <v>1.5748031496062995E-2</v>
      </c>
      <c r="HF107" s="8">
        <f t="shared" si="199"/>
        <v>1.8035433648000001</v>
      </c>
      <c r="HG107" s="116">
        <f t="shared" si="200"/>
        <v>2610.6840000000002</v>
      </c>
      <c r="HH107" s="217">
        <f t="shared" si="201"/>
        <v>4.9773892897049858</v>
      </c>
      <c r="HI107" s="207">
        <f t="shared" si="202"/>
        <v>2</v>
      </c>
      <c r="HJ107" s="144">
        <f t="shared" si="203"/>
        <v>206285.95046391618</v>
      </c>
      <c r="HK107" s="138">
        <f t="shared" si="301"/>
        <v>0.25</v>
      </c>
      <c r="HL107" s="116">
        <f t="shared" si="204"/>
        <v>2175570</v>
      </c>
      <c r="HM107" s="2">
        <f t="shared" si="302"/>
        <v>1.5748031496062995E-2</v>
      </c>
      <c r="HN107" s="8">
        <f t="shared" si="205"/>
        <v>1.8035433648000001</v>
      </c>
      <c r="HO107" s="116">
        <f t="shared" si="206"/>
        <v>2610.6840000000002</v>
      </c>
      <c r="HP107" s="217">
        <f t="shared" si="207"/>
        <v>4.9773892897049858</v>
      </c>
      <c r="HQ107" s="207">
        <f t="shared" si="208"/>
        <v>2</v>
      </c>
      <c r="HR107" s="144">
        <f t="shared" si="209"/>
        <v>206285.95046391618</v>
      </c>
      <c r="HS107" s="128">
        <f t="shared" si="210"/>
        <v>0.25</v>
      </c>
      <c r="HT107" s="2">
        <f t="shared" si="211"/>
        <v>1.5748031496062995E-2</v>
      </c>
      <c r="HU107" s="127">
        <f t="shared" si="212"/>
        <v>1.5748031496062995E-2</v>
      </c>
      <c r="HV107" s="216">
        <f t="shared" si="213"/>
        <v>0</v>
      </c>
      <c r="HW107" s="138">
        <f t="shared" si="214"/>
        <v>0.25</v>
      </c>
      <c r="HX107" s="138">
        <f t="shared" si="215"/>
        <v>0</v>
      </c>
      <c r="HY107" s="238">
        <f t="shared" si="216"/>
        <v>0</v>
      </c>
      <c r="HZ107" s="138">
        <f t="shared" si="217"/>
        <v>0</v>
      </c>
      <c r="IA107" s="138">
        <f t="shared" si="218"/>
        <v>0.25</v>
      </c>
      <c r="IB107" s="138">
        <f t="shared" si="219"/>
        <v>0</v>
      </c>
      <c r="IC107" s="138">
        <f t="shared" si="220"/>
        <v>0</v>
      </c>
      <c r="ID107" s="216">
        <f t="shared" si="221"/>
        <v>0</v>
      </c>
      <c r="IE107" s="138">
        <f t="shared" si="222"/>
        <v>1.5748031496062995E-2</v>
      </c>
      <c r="IF107" s="138">
        <f t="shared" si="223"/>
        <v>0</v>
      </c>
      <c r="IG107" s="238">
        <f t="shared" si="224"/>
        <v>0</v>
      </c>
      <c r="IH107" s="138">
        <f t="shared" si="225"/>
        <v>0</v>
      </c>
      <c r="II107" s="138">
        <f t="shared" si="226"/>
        <v>1.5748031496062995E-2</v>
      </c>
      <c r="IJ107" s="138">
        <f t="shared" si="227"/>
        <v>0</v>
      </c>
      <c r="IK107" s="138">
        <f t="shared" si="228"/>
        <v>0</v>
      </c>
      <c r="IL107" s="216">
        <f t="shared" si="229"/>
        <v>0</v>
      </c>
      <c r="IM107" s="138">
        <f t="shared" si="230"/>
        <v>1.5748031496062995E-2</v>
      </c>
      <c r="IN107" s="138">
        <f t="shared" si="231"/>
        <v>0</v>
      </c>
      <c r="IO107" s="238">
        <f t="shared" si="232"/>
        <v>0</v>
      </c>
      <c r="IP107" s="138">
        <f t="shared" si="233"/>
        <v>0</v>
      </c>
      <c r="IQ107" s="138">
        <f t="shared" si="234"/>
        <v>1.5748031496062995E-2</v>
      </c>
      <c r="IR107" s="138">
        <f t="shared" si="235"/>
        <v>0</v>
      </c>
      <c r="IS107" s="138">
        <f t="shared" si="236"/>
        <v>0</v>
      </c>
      <c r="IT107" s="17">
        <f t="shared" si="237"/>
        <v>0.25</v>
      </c>
      <c r="IU107" s="17">
        <f t="shared" si="238"/>
        <v>1.5748031496062995E-2</v>
      </c>
      <c r="IV107" s="17">
        <f t="shared" si="239"/>
        <v>1.5748031496062995E-2</v>
      </c>
      <c r="IW107" s="253">
        <f t="shared" si="240"/>
        <v>10.01968536</v>
      </c>
      <c r="IX107" s="116">
        <f t="shared" si="303"/>
        <v>149.91378226157167</v>
      </c>
      <c r="IY107" s="8">
        <f t="shared" si="242"/>
        <v>3.8760647794432749E-3</v>
      </c>
      <c r="IZ107" s="8">
        <f t="shared" si="243"/>
        <v>3.8760647794432749E-3</v>
      </c>
      <c r="JA107" s="8">
        <f t="shared" si="244"/>
        <v>1.9380323897216375E-3</v>
      </c>
      <c r="JB107" s="134">
        <f t="shared" si="245"/>
        <v>4.4023089279622771E-2</v>
      </c>
      <c r="JC107" s="170">
        <f t="shared" si="305"/>
        <v>2.4612277601232125E-3</v>
      </c>
      <c r="JD107" s="272">
        <f t="shared" si="306"/>
        <v>4.9610762543254791E-2</v>
      </c>
      <c r="JE107" s="8"/>
      <c r="JF107" s="8"/>
    </row>
    <row r="108" spans="1:266" x14ac:dyDescent="0.25">
      <c r="A108" s="186">
        <v>48</v>
      </c>
      <c r="B108" s="187">
        <f>A108/100*'Inputs-Imperial'!$E$5</f>
        <v>4.7244096000000004</v>
      </c>
      <c r="C108" s="188">
        <f>'Inputs-Imperial'!$E$10+('Inputs-Imperial'!$E$9-'Inputs-Imperial'!$E$10)*(100-A108)/100</f>
        <v>1.6601050399999999</v>
      </c>
      <c r="D108" s="187">
        <f t="shared" si="248"/>
        <v>9.8425200000000324E-2</v>
      </c>
      <c r="E108" s="188">
        <f t="shared" si="249"/>
        <v>0.16388054658276055</v>
      </c>
      <c r="F108" s="423">
        <f>Loads!P68</f>
        <v>52.003557048890023</v>
      </c>
      <c r="G108" s="423">
        <f>Loads!M68</f>
        <v>520.03557048890002</v>
      </c>
      <c r="H108" s="423">
        <f>Loads!N68</f>
        <v>1199.2822035386848</v>
      </c>
      <c r="I108" s="423">
        <f>Loads!V68</f>
        <v>-401.21022009485955</v>
      </c>
      <c r="J108" s="423">
        <f>Loads!Q68</f>
        <v>119.92822035386848</v>
      </c>
      <c r="K108" s="2">
        <v>48</v>
      </c>
      <c r="L108" s="12">
        <f t="shared" si="41"/>
        <v>56.692915200000002</v>
      </c>
      <c r="M108" s="11">
        <f t="shared" si="42"/>
        <v>19.921260480000001</v>
      </c>
      <c r="N108" s="11">
        <f t="shared" si="43"/>
        <v>1.1811024000000039</v>
      </c>
      <c r="O108" s="152">
        <f t="shared" si="44"/>
        <v>23.598798707917521</v>
      </c>
      <c r="P108" s="151">
        <f t="shared" si="45"/>
        <v>52.003557048890023</v>
      </c>
      <c r="Q108" s="12">
        <f t="shared" si="46"/>
        <v>520.03557048890002</v>
      </c>
      <c r="R108" s="12">
        <f t="shared" si="47"/>
        <v>14391.386442464218</v>
      </c>
      <c r="S108" s="12">
        <f t="shared" si="48"/>
        <v>-4814.5226411383146</v>
      </c>
      <c r="T108" s="152">
        <f t="shared" si="49"/>
        <v>1439.1386442464218</v>
      </c>
      <c r="U108" s="8">
        <f t="shared" si="261"/>
        <v>3.5858268864</v>
      </c>
      <c r="V108" s="8">
        <f t="shared" si="262"/>
        <v>3.5858268864</v>
      </c>
      <c r="W108" s="134">
        <f t="shared" si="263"/>
        <v>1.7929134432</v>
      </c>
      <c r="X108" s="311">
        <f t="shared" si="264"/>
        <v>4.9803151200000002</v>
      </c>
      <c r="Y108" s="11">
        <f t="shared" si="265"/>
        <v>14.940945360000001</v>
      </c>
      <c r="Z108" s="11">
        <f t="shared" si="266"/>
        <v>9.9606302400000004</v>
      </c>
      <c r="AA108" s="316">
        <f t="shared" si="50"/>
        <v>14.940945360000001</v>
      </c>
      <c r="AB108" s="170">
        <f t="shared" si="51"/>
        <v>2.6893701648000001</v>
      </c>
      <c r="AC108" s="11">
        <f t="shared" si="52"/>
        <v>14.940945360000001</v>
      </c>
      <c r="AD108" s="152">
        <f t="shared" si="53"/>
        <v>31.558659052997687</v>
      </c>
      <c r="AE108" s="151">
        <f t="shared" si="267"/>
        <v>3.4806068689678966</v>
      </c>
      <c r="AF108" s="12">
        <f t="shared" si="268"/>
        <v>76.278948244491303</v>
      </c>
      <c r="AG108" s="216">
        <f t="shared" si="269"/>
        <v>5.2255139455243049E-3</v>
      </c>
      <c r="AH108" s="2">
        <f t="shared" si="55"/>
        <v>1</v>
      </c>
      <c r="AI108" s="2">
        <f t="shared" si="56"/>
        <v>3</v>
      </c>
      <c r="AJ108" s="127">
        <f t="shared" si="57"/>
        <v>2</v>
      </c>
      <c r="AK108" s="2">
        <f t="shared" si="58"/>
        <v>1.5748031496062995E-2</v>
      </c>
      <c r="AL108" s="8">
        <f t="shared" si="270"/>
        <v>5.4992177990222699E-2</v>
      </c>
      <c r="AM108" s="138">
        <f t="shared" si="59"/>
        <v>0.25</v>
      </c>
      <c r="AN108" s="12">
        <f t="shared" si="271"/>
        <v>4558.2585747341927</v>
      </c>
      <c r="AO108" s="138">
        <f t="shared" si="60"/>
        <v>0.25</v>
      </c>
      <c r="AP108" s="116">
        <f t="shared" si="61"/>
        <v>2175570</v>
      </c>
      <c r="AQ108" s="2">
        <f t="shared" si="62"/>
        <v>1.5748031496062995E-2</v>
      </c>
      <c r="AR108" s="8">
        <f t="shared" si="63"/>
        <v>9.9606302400000004</v>
      </c>
      <c r="AS108" s="116">
        <f t="shared" si="64"/>
        <v>2610.6840000000002</v>
      </c>
      <c r="AT108" s="217">
        <f t="shared" si="65"/>
        <v>0.16318534356082842</v>
      </c>
      <c r="AU108" s="207">
        <f t="shared" si="66"/>
        <v>3.3428904741550807</v>
      </c>
      <c r="AV108" s="144">
        <f t="shared" si="67"/>
        <v>11304.239329293205</v>
      </c>
      <c r="AW108" s="138">
        <f t="shared" si="68"/>
        <v>0.25</v>
      </c>
      <c r="AX108" s="116">
        <f t="shared" si="69"/>
        <v>2175570</v>
      </c>
      <c r="AY108" s="2">
        <f t="shared" si="70"/>
        <v>1.5748031496062995E-2</v>
      </c>
      <c r="AZ108" s="8">
        <f t="shared" si="71"/>
        <v>9.9606302400000004</v>
      </c>
      <c r="BA108" s="116">
        <f t="shared" si="72"/>
        <v>2610.6840000000002</v>
      </c>
      <c r="BB108" s="217">
        <f t="shared" si="73"/>
        <v>0.16318534356082842</v>
      </c>
      <c r="BC108" s="207">
        <f t="shared" si="74"/>
        <v>3.3428904741550807</v>
      </c>
      <c r="BD108" s="144">
        <f t="shared" si="75"/>
        <v>11304.239329293205</v>
      </c>
      <c r="BE108" s="138">
        <f t="shared" si="76"/>
        <v>0.25</v>
      </c>
      <c r="BF108" s="116">
        <f t="shared" si="77"/>
        <v>2175570</v>
      </c>
      <c r="BG108" s="2">
        <f t="shared" si="78"/>
        <v>1.5748031496062995E-2</v>
      </c>
      <c r="BH108" s="8">
        <f t="shared" si="79"/>
        <v>9.9606302400000004</v>
      </c>
      <c r="BI108" s="116">
        <f t="shared" si="80"/>
        <v>2610.6840000000002</v>
      </c>
      <c r="BJ108" s="217">
        <f t="shared" si="81"/>
        <v>0.16318534356082842</v>
      </c>
      <c r="BK108" s="207">
        <f t="shared" si="82"/>
        <v>3.3428904741550807</v>
      </c>
      <c r="BL108" s="144">
        <f t="shared" si="83"/>
        <v>11304.239329293205</v>
      </c>
      <c r="BM108" s="216">
        <f t="shared" si="84"/>
        <v>0.25</v>
      </c>
      <c r="BN108" s="216">
        <f t="shared" si="85"/>
        <v>2.3622047244094495E-2</v>
      </c>
      <c r="BO108" s="238">
        <f t="shared" si="86"/>
        <v>1.5748031496062995E-2</v>
      </c>
      <c r="BP108" s="216">
        <f t="shared" si="87"/>
        <v>0</v>
      </c>
      <c r="BQ108" s="138">
        <f t="shared" si="88"/>
        <v>0.25</v>
      </c>
      <c r="BR108" s="138">
        <f t="shared" si="89"/>
        <v>0</v>
      </c>
      <c r="BS108" s="238">
        <f t="shared" si="90"/>
        <v>0</v>
      </c>
      <c r="BT108" s="138">
        <f t="shared" si="91"/>
        <v>0</v>
      </c>
      <c r="BU108" s="138">
        <f t="shared" si="92"/>
        <v>0.25</v>
      </c>
      <c r="BV108" s="138">
        <f t="shared" si="93"/>
        <v>0</v>
      </c>
      <c r="BW108" s="238">
        <f t="shared" si="94"/>
        <v>0</v>
      </c>
      <c r="BX108" s="216">
        <f t="shared" si="95"/>
        <v>0</v>
      </c>
      <c r="BY108" s="138">
        <f t="shared" si="96"/>
        <v>2.3622047244094495E-2</v>
      </c>
      <c r="BZ108" s="138">
        <f t="shared" si="97"/>
        <v>0</v>
      </c>
      <c r="CA108" s="238">
        <f t="shared" si="98"/>
        <v>0</v>
      </c>
      <c r="CB108" s="138">
        <f t="shared" si="99"/>
        <v>0</v>
      </c>
      <c r="CC108" s="138">
        <f t="shared" si="100"/>
        <v>2.3622047244094495E-2</v>
      </c>
      <c r="CD108" s="138">
        <f t="shared" si="101"/>
        <v>0</v>
      </c>
      <c r="CE108" s="238">
        <f t="shared" si="102"/>
        <v>0</v>
      </c>
      <c r="CF108" s="216">
        <f t="shared" si="103"/>
        <v>0</v>
      </c>
      <c r="CG108" s="138">
        <f t="shared" si="104"/>
        <v>1.5748031496062995E-2</v>
      </c>
      <c r="CH108" s="138">
        <f t="shared" si="105"/>
        <v>0</v>
      </c>
      <c r="CI108" s="238">
        <f t="shared" si="106"/>
        <v>0</v>
      </c>
      <c r="CJ108" s="138">
        <f t="shared" si="107"/>
        <v>0</v>
      </c>
      <c r="CK108" s="138">
        <f t="shared" si="108"/>
        <v>1.5748031496062995E-2</v>
      </c>
      <c r="CL108" s="138">
        <f t="shared" si="109"/>
        <v>0</v>
      </c>
      <c r="CM108" s="238">
        <f t="shared" si="110"/>
        <v>0</v>
      </c>
      <c r="CN108" s="17">
        <f t="shared" si="111"/>
        <v>0.25</v>
      </c>
      <c r="CO108" s="17">
        <f t="shared" si="112"/>
        <v>2.3622047244094495E-2</v>
      </c>
      <c r="CP108" s="17">
        <f t="shared" si="113"/>
        <v>1.5748031496062995E-2</v>
      </c>
      <c r="CQ108" s="17">
        <f>$U108-IF('Inputs-Imperial'!$E$13,0,2)*($CO108+$CN108+$CP108)</f>
        <v>3.5858268864</v>
      </c>
      <c r="CR108" s="116">
        <f t="shared" si="114"/>
        <v>4013.4080362458562</v>
      </c>
      <c r="CS108" s="8">
        <f t="shared" si="10"/>
        <v>0.10376784108938319</v>
      </c>
      <c r="CT108" s="8">
        <f t="shared" si="115"/>
        <v>0.32213016171942543</v>
      </c>
      <c r="CU108" s="8">
        <f t="shared" si="272"/>
        <v>0.10376784108938319</v>
      </c>
      <c r="CV108" s="8">
        <f t="shared" si="116"/>
        <v>0.32213016171942543</v>
      </c>
      <c r="CW108" s="216">
        <f t="shared" si="117"/>
        <v>3.2636967246805746</v>
      </c>
      <c r="CX108" s="116">
        <f t="shared" si="118"/>
        <v>4409.5354613173304</v>
      </c>
      <c r="CY108" s="8">
        <f t="shared" si="119"/>
        <v>0.11400983176781249</v>
      </c>
      <c r="CZ108" s="8">
        <f t="shared" si="120"/>
        <v>0.33765341960035367</v>
      </c>
      <c r="DA108" s="8">
        <f t="shared" si="121"/>
        <v>0.11400983176781249</v>
      </c>
      <c r="DB108" s="8">
        <f t="shared" si="122"/>
        <v>0.33765341960035367</v>
      </c>
      <c r="DC108" s="216">
        <f t="shared" si="123"/>
        <v>3.248173466799646</v>
      </c>
      <c r="DD108" s="116">
        <f t="shared" si="124"/>
        <v>4430.6089528659732</v>
      </c>
      <c r="DE108" s="8">
        <f t="shared" si="125"/>
        <v>0.11455469306835035</v>
      </c>
      <c r="DF108" s="8">
        <f t="shared" si="126"/>
        <v>0.33845929307429329</v>
      </c>
      <c r="DG108" s="8">
        <f t="shared" si="127"/>
        <v>0.11455469306835035</v>
      </c>
      <c r="DH108" s="8">
        <f t="shared" si="128"/>
        <v>0.33845929307429329</v>
      </c>
      <c r="DI108" s="216">
        <f t="shared" si="129"/>
        <v>3.2473675933257069</v>
      </c>
      <c r="DJ108" s="116">
        <f t="shared" si="130"/>
        <v>4431.7084619686229</v>
      </c>
      <c r="DK108" s="8">
        <f t="shared" si="131"/>
        <v>0.11458312119846065</v>
      </c>
      <c r="DL108" s="8">
        <f t="shared" si="132"/>
        <v>0.33850128684904679</v>
      </c>
      <c r="DM108" s="8">
        <f t="shared" si="133"/>
        <v>0.11458312119846065</v>
      </c>
      <c r="DN108" s="8">
        <f t="shared" si="134"/>
        <v>0.33850128684904679</v>
      </c>
      <c r="DO108" s="216">
        <f t="shared" si="135"/>
        <v>3.2473255995509533</v>
      </c>
      <c r="DP108" s="116">
        <f t="shared" si="136"/>
        <v>4431.7657719491654</v>
      </c>
      <c r="DQ108" s="170">
        <f t="shared" si="137"/>
        <v>0.11458460296480487</v>
      </c>
      <c r="DR108" s="8">
        <f t="shared" si="138"/>
        <v>0.33850347555793997</v>
      </c>
      <c r="DS108" s="8">
        <f t="shared" si="139"/>
        <v>0.11458460296480487</v>
      </c>
      <c r="DT108" s="134">
        <f t="shared" si="140"/>
        <v>0.33850347555793997</v>
      </c>
      <c r="DU108" s="170">
        <f t="shared" si="304"/>
        <v>0.15260733333097529</v>
      </c>
      <c r="DV108" s="170">
        <f t="shared" si="304"/>
        <v>0.39064988587093596</v>
      </c>
      <c r="DW108" s="170">
        <f t="shared" si="304"/>
        <v>0.15260733333097529</v>
      </c>
      <c r="DX108" s="272">
        <f t="shared" si="304"/>
        <v>0.39064988587093596</v>
      </c>
      <c r="DY108" s="272">
        <f t="shared" si="142"/>
        <v>2.8045271146581281</v>
      </c>
      <c r="DZ108" s="22">
        <f t="shared" si="273"/>
        <v>145.02528620699564</v>
      </c>
      <c r="EA108" s="216">
        <f t="shared" si="274"/>
        <v>9.5014528911336344E-3</v>
      </c>
      <c r="EB108" s="12">
        <f t="shared" si="143"/>
        <v>2</v>
      </c>
      <c r="EC108" s="7">
        <f>ROUND(MAX(DV108,DX108)/'Inputs-Imperial'!$E$21,0)</f>
        <v>3</v>
      </c>
      <c r="ED108" s="12">
        <f t="shared" si="144"/>
        <v>3</v>
      </c>
      <c r="EE108" s="2">
        <f t="shared" si="145"/>
        <v>2</v>
      </c>
      <c r="EF108" s="127">
        <f t="shared" si="146"/>
        <v>2</v>
      </c>
      <c r="EG108" s="2">
        <f t="shared" si="147"/>
        <v>1.5748031496062995E-2</v>
      </c>
      <c r="EH108" s="8">
        <f t="shared" si="275"/>
        <v>9.9991234164147069E-2</v>
      </c>
      <c r="EI108" s="138">
        <f t="shared" si="148"/>
        <v>0.25</v>
      </c>
      <c r="EJ108" s="12">
        <f t="shared" si="276"/>
        <v>8288.1951067297996</v>
      </c>
      <c r="EK108" s="138">
        <f t="shared" si="149"/>
        <v>0.25</v>
      </c>
      <c r="EL108" s="116">
        <f t="shared" si="150"/>
        <v>2175570</v>
      </c>
      <c r="EM108" s="2">
        <f t="shared" si="277"/>
        <v>1.5748031496062995E-2</v>
      </c>
      <c r="EN108" s="8">
        <f t="shared" si="151"/>
        <v>3.5858268864</v>
      </c>
      <c r="EO108" s="116">
        <f t="shared" si="152"/>
        <v>2610.6840000000002</v>
      </c>
      <c r="EP108" s="217">
        <f t="shared" si="153"/>
        <v>1.2591461694508366</v>
      </c>
      <c r="EQ108" s="207">
        <f t="shared" si="154"/>
        <v>2</v>
      </c>
      <c r="ER108" s="144">
        <f t="shared" si="155"/>
        <v>52184.820037164573</v>
      </c>
      <c r="ES108" s="138">
        <f t="shared" si="278"/>
        <v>0.25</v>
      </c>
      <c r="ET108" s="116">
        <f t="shared" si="156"/>
        <v>2175570</v>
      </c>
      <c r="EU108" s="2">
        <f t="shared" si="279"/>
        <v>1.5748031496062995E-2</v>
      </c>
      <c r="EV108" s="8">
        <f t="shared" si="157"/>
        <v>3.5858268864</v>
      </c>
      <c r="EW108" s="116">
        <f t="shared" si="158"/>
        <v>2610.6840000000002</v>
      </c>
      <c r="EX108" s="217">
        <f t="shared" si="159"/>
        <v>1.2591461694508366</v>
      </c>
      <c r="EY108" s="207">
        <f t="shared" si="160"/>
        <v>2</v>
      </c>
      <c r="EZ108" s="144">
        <f t="shared" si="161"/>
        <v>52184.820037164573</v>
      </c>
      <c r="FA108" s="138">
        <f t="shared" si="280"/>
        <v>0.25</v>
      </c>
      <c r="FB108" s="116">
        <f t="shared" si="162"/>
        <v>2175570</v>
      </c>
      <c r="FC108" s="2">
        <f t="shared" si="281"/>
        <v>1.5748031496062995E-2</v>
      </c>
      <c r="FD108" s="8">
        <f t="shared" si="163"/>
        <v>3.5858268864</v>
      </c>
      <c r="FE108" s="116">
        <f t="shared" si="164"/>
        <v>2610.6840000000002</v>
      </c>
      <c r="FF108" s="217">
        <f t="shared" si="165"/>
        <v>1.2591461694508366</v>
      </c>
      <c r="FG108" s="207">
        <f t="shared" si="166"/>
        <v>2</v>
      </c>
      <c r="FH108" s="144">
        <f t="shared" si="167"/>
        <v>52184.820037164573</v>
      </c>
      <c r="FI108" s="128">
        <f t="shared" si="168"/>
        <v>0.25</v>
      </c>
      <c r="FJ108" s="2">
        <f t="shared" si="169"/>
        <v>1.5748031496062995E-2</v>
      </c>
      <c r="FK108" s="127">
        <f t="shared" si="170"/>
        <v>1.5748031496062995E-2</v>
      </c>
      <c r="FL108" s="216">
        <f t="shared" si="171"/>
        <v>0</v>
      </c>
      <c r="FM108" s="138">
        <f t="shared" si="172"/>
        <v>0.25</v>
      </c>
      <c r="FN108" s="138">
        <f t="shared" si="173"/>
        <v>0</v>
      </c>
      <c r="FO108" s="238">
        <f t="shared" si="174"/>
        <v>0</v>
      </c>
      <c r="FP108" s="216">
        <f t="shared" si="282"/>
        <v>0</v>
      </c>
      <c r="FQ108" s="138">
        <f t="shared" si="283"/>
        <v>0.25</v>
      </c>
      <c r="FR108" s="138">
        <f t="shared" si="284"/>
        <v>0</v>
      </c>
      <c r="FS108" s="238">
        <f t="shared" si="285"/>
        <v>0</v>
      </c>
      <c r="FT108" s="216">
        <f t="shared" si="175"/>
        <v>0</v>
      </c>
      <c r="FU108" s="138">
        <f t="shared" si="176"/>
        <v>1.5748031496062995E-2</v>
      </c>
      <c r="FV108" s="138">
        <f t="shared" si="177"/>
        <v>0</v>
      </c>
      <c r="FW108" s="238">
        <f t="shared" si="178"/>
        <v>0</v>
      </c>
      <c r="FX108" s="216">
        <f t="shared" si="286"/>
        <v>0</v>
      </c>
      <c r="FY108" s="138">
        <f t="shared" si="287"/>
        <v>1.5748031496062995E-2</v>
      </c>
      <c r="FZ108" s="138">
        <f t="shared" si="288"/>
        <v>0</v>
      </c>
      <c r="GA108" s="238">
        <f t="shared" si="289"/>
        <v>0</v>
      </c>
      <c r="GB108" s="216">
        <f t="shared" si="179"/>
        <v>0</v>
      </c>
      <c r="GC108" s="138">
        <f t="shared" si="180"/>
        <v>1.5748031496062995E-2</v>
      </c>
      <c r="GD108" s="138">
        <f t="shared" si="181"/>
        <v>0</v>
      </c>
      <c r="GE108" s="238">
        <f t="shared" si="182"/>
        <v>0</v>
      </c>
      <c r="GF108" s="216">
        <f t="shared" si="290"/>
        <v>0</v>
      </c>
      <c r="GG108" s="138">
        <f t="shared" si="291"/>
        <v>1.5748031496062995E-2</v>
      </c>
      <c r="GH108" s="138">
        <f t="shared" si="292"/>
        <v>0</v>
      </c>
      <c r="GI108" s="238">
        <f t="shared" si="293"/>
        <v>0</v>
      </c>
      <c r="GJ108" s="216">
        <f t="shared" si="183"/>
        <v>0.25</v>
      </c>
      <c r="GK108" s="216">
        <f t="shared" si="184"/>
        <v>1.5748031496062995E-2</v>
      </c>
      <c r="GL108" s="17">
        <f t="shared" si="185"/>
        <v>1.5748031496062995E-2</v>
      </c>
      <c r="GM108" s="216">
        <f t="shared" si="294"/>
        <v>4.9974790761370975E-3</v>
      </c>
      <c r="GN108" s="2">
        <f t="shared" si="187"/>
        <v>1</v>
      </c>
      <c r="GO108" s="2">
        <f t="shared" si="188"/>
        <v>2</v>
      </c>
      <c r="GP108" s="142">
        <f t="shared" si="189"/>
        <v>2</v>
      </c>
      <c r="GQ108" s="2">
        <f t="shared" si="190"/>
        <v>1.5748031496062995E-2</v>
      </c>
      <c r="GR108" s="8">
        <f t="shared" si="295"/>
        <v>5.2592388370283169E-2</v>
      </c>
      <c r="GS108" s="138">
        <f t="shared" si="191"/>
        <v>0.25</v>
      </c>
      <c r="GT108" s="12">
        <f t="shared" si="296"/>
        <v>4359.341892172677</v>
      </c>
      <c r="GU108" s="138">
        <f t="shared" si="192"/>
        <v>0.25</v>
      </c>
      <c r="GV108" s="116">
        <f t="shared" si="193"/>
        <v>2175570</v>
      </c>
      <c r="GW108" s="2">
        <f t="shared" si="297"/>
        <v>1.5748031496062995E-2</v>
      </c>
      <c r="GX108" s="8">
        <f t="shared" si="298"/>
        <v>1.7929134432</v>
      </c>
      <c r="GY108" s="116">
        <f t="shared" si="194"/>
        <v>2610.6840000000002</v>
      </c>
      <c r="GZ108" s="217">
        <f t="shared" si="195"/>
        <v>5.0365846778033463</v>
      </c>
      <c r="HA108" s="207">
        <f t="shared" si="196"/>
        <v>2</v>
      </c>
      <c r="HB108" s="144">
        <f t="shared" si="197"/>
        <v>208739.28014865829</v>
      </c>
      <c r="HC108" s="138">
        <f t="shared" si="299"/>
        <v>0.25</v>
      </c>
      <c r="HD108" s="116">
        <f t="shared" si="198"/>
        <v>2175570</v>
      </c>
      <c r="HE108" s="2">
        <f t="shared" si="300"/>
        <v>1.5748031496062995E-2</v>
      </c>
      <c r="HF108" s="8">
        <f t="shared" si="199"/>
        <v>1.7929134432</v>
      </c>
      <c r="HG108" s="116">
        <f t="shared" si="200"/>
        <v>2610.6840000000002</v>
      </c>
      <c r="HH108" s="217">
        <f t="shared" si="201"/>
        <v>5.0365846778033463</v>
      </c>
      <c r="HI108" s="207">
        <f t="shared" si="202"/>
        <v>2</v>
      </c>
      <c r="HJ108" s="144">
        <f t="shared" si="203"/>
        <v>208739.28014865829</v>
      </c>
      <c r="HK108" s="138">
        <f t="shared" si="301"/>
        <v>0.25</v>
      </c>
      <c r="HL108" s="116">
        <f t="shared" si="204"/>
        <v>2175570</v>
      </c>
      <c r="HM108" s="2">
        <f t="shared" si="302"/>
        <v>1.5748031496062995E-2</v>
      </c>
      <c r="HN108" s="8">
        <f t="shared" si="205"/>
        <v>1.7929134432</v>
      </c>
      <c r="HO108" s="116">
        <f t="shared" si="206"/>
        <v>2610.6840000000002</v>
      </c>
      <c r="HP108" s="217">
        <f t="shared" si="207"/>
        <v>5.0365846778033463</v>
      </c>
      <c r="HQ108" s="207">
        <f t="shared" si="208"/>
        <v>2</v>
      </c>
      <c r="HR108" s="144">
        <f t="shared" si="209"/>
        <v>208739.28014865829</v>
      </c>
      <c r="HS108" s="128">
        <f t="shared" si="210"/>
        <v>0.25</v>
      </c>
      <c r="HT108" s="2">
        <f t="shared" si="211"/>
        <v>1.5748031496062995E-2</v>
      </c>
      <c r="HU108" s="127">
        <f t="shared" si="212"/>
        <v>1.5748031496062995E-2</v>
      </c>
      <c r="HV108" s="216">
        <f t="shared" si="213"/>
        <v>0</v>
      </c>
      <c r="HW108" s="138">
        <f t="shared" si="214"/>
        <v>0.25</v>
      </c>
      <c r="HX108" s="138">
        <f t="shared" si="215"/>
        <v>0</v>
      </c>
      <c r="HY108" s="238">
        <f t="shared" si="216"/>
        <v>0</v>
      </c>
      <c r="HZ108" s="138">
        <f t="shared" si="217"/>
        <v>0</v>
      </c>
      <c r="IA108" s="138">
        <f t="shared" si="218"/>
        <v>0.25</v>
      </c>
      <c r="IB108" s="138">
        <f t="shared" si="219"/>
        <v>0</v>
      </c>
      <c r="IC108" s="138">
        <f t="shared" si="220"/>
        <v>0</v>
      </c>
      <c r="ID108" s="216">
        <f t="shared" si="221"/>
        <v>0</v>
      </c>
      <c r="IE108" s="138">
        <f t="shared" si="222"/>
        <v>1.5748031496062995E-2</v>
      </c>
      <c r="IF108" s="138">
        <f t="shared" si="223"/>
        <v>0</v>
      </c>
      <c r="IG108" s="238">
        <f t="shared" si="224"/>
        <v>0</v>
      </c>
      <c r="IH108" s="138">
        <f t="shared" si="225"/>
        <v>0</v>
      </c>
      <c r="II108" s="138">
        <f t="shared" si="226"/>
        <v>1.5748031496062995E-2</v>
      </c>
      <c r="IJ108" s="138">
        <f t="shared" si="227"/>
        <v>0</v>
      </c>
      <c r="IK108" s="138">
        <f t="shared" si="228"/>
        <v>0</v>
      </c>
      <c r="IL108" s="216">
        <f t="shared" si="229"/>
        <v>0</v>
      </c>
      <c r="IM108" s="138">
        <f t="shared" si="230"/>
        <v>1.5748031496062995E-2</v>
      </c>
      <c r="IN108" s="138">
        <f t="shared" si="231"/>
        <v>0</v>
      </c>
      <c r="IO108" s="238">
        <f t="shared" si="232"/>
        <v>0</v>
      </c>
      <c r="IP108" s="138">
        <f t="shared" si="233"/>
        <v>0</v>
      </c>
      <c r="IQ108" s="138">
        <f t="shared" si="234"/>
        <v>1.5748031496062995E-2</v>
      </c>
      <c r="IR108" s="138">
        <f t="shared" si="235"/>
        <v>0</v>
      </c>
      <c r="IS108" s="138">
        <f t="shared" si="236"/>
        <v>0</v>
      </c>
      <c r="IT108" s="17">
        <f t="shared" si="237"/>
        <v>0.25</v>
      </c>
      <c r="IU108" s="17">
        <f t="shared" si="238"/>
        <v>1.5748031496062995E-2</v>
      </c>
      <c r="IV108" s="17">
        <f t="shared" si="239"/>
        <v>1.5748031496062995E-2</v>
      </c>
      <c r="IW108" s="253">
        <f t="shared" si="240"/>
        <v>9.9606302400000004</v>
      </c>
      <c r="IX108" s="116">
        <f t="shared" si="303"/>
        <v>144.48268930485082</v>
      </c>
      <c r="IY108" s="8">
        <f t="shared" si="242"/>
        <v>3.7356422792177951E-3</v>
      </c>
      <c r="IZ108" s="8">
        <f t="shared" si="243"/>
        <v>3.7356422792177951E-3</v>
      </c>
      <c r="JA108" s="8">
        <f t="shared" si="244"/>
        <v>1.8678211396088976E-3</v>
      </c>
      <c r="JB108" s="134">
        <f t="shared" si="245"/>
        <v>4.3218296352458149E-2</v>
      </c>
      <c r="JC108" s="170">
        <f t="shared" si="305"/>
        <v>2.4612277601232125E-3</v>
      </c>
      <c r="JD108" s="272">
        <f t="shared" si="306"/>
        <v>4.9610762543254791E-2</v>
      </c>
      <c r="JE108" s="8"/>
      <c r="JF108" s="8"/>
    </row>
    <row r="109" spans="1:266" x14ac:dyDescent="0.25">
      <c r="A109" s="186">
        <v>49</v>
      </c>
      <c r="B109" s="187">
        <f>A109/100*'Inputs-Imperial'!$E$5</f>
        <v>4.8228347999999999</v>
      </c>
      <c r="C109" s="188">
        <f>'Inputs-Imperial'!$E$10+('Inputs-Imperial'!$E$9-'Inputs-Imperial'!$E$10)*(100-A109)/100</f>
        <v>1.6502625200000001</v>
      </c>
      <c r="D109" s="187">
        <f t="shared" si="248"/>
        <v>9.8425199999999435E-2</v>
      </c>
      <c r="E109" s="188">
        <f t="shared" si="249"/>
        <v>0.16291179458325505</v>
      </c>
      <c r="F109" s="423">
        <f>Loads!P69</f>
        <v>50.717067581164642</v>
      </c>
      <c r="G109" s="423">
        <f>Loads!M69</f>
        <v>507.17067581164622</v>
      </c>
      <c r="H109" s="423">
        <f>Loads!N69</f>
        <v>1148.0975985062009</v>
      </c>
      <c r="I109" s="423">
        <f>Loads!V69</f>
        <v>-388.93041487928474</v>
      </c>
      <c r="J109" s="423">
        <f>Loads!Q69</f>
        <v>114.8097598506201</v>
      </c>
      <c r="K109" s="2">
        <v>49</v>
      </c>
      <c r="L109" s="12">
        <f t="shared" si="41"/>
        <v>57.874017600000002</v>
      </c>
      <c r="M109" s="11">
        <f t="shared" si="42"/>
        <v>19.803150240000001</v>
      </c>
      <c r="N109" s="11">
        <f t="shared" si="43"/>
        <v>1.1811023999999932</v>
      </c>
      <c r="O109" s="152">
        <f t="shared" si="44"/>
        <v>23.459298419988727</v>
      </c>
      <c r="P109" s="151">
        <f t="shared" si="45"/>
        <v>50.717067581164642</v>
      </c>
      <c r="Q109" s="12">
        <f t="shared" si="46"/>
        <v>507.17067581164622</v>
      </c>
      <c r="R109" s="12">
        <f t="shared" si="47"/>
        <v>13777.171182074411</v>
      </c>
      <c r="S109" s="12">
        <f t="shared" si="48"/>
        <v>-4667.1649785514164</v>
      </c>
      <c r="T109" s="152">
        <f t="shared" si="49"/>
        <v>1377.7171182074412</v>
      </c>
      <c r="U109" s="8">
        <f t="shared" si="261"/>
        <v>3.5645670431999998</v>
      </c>
      <c r="V109" s="8">
        <f t="shared" si="262"/>
        <v>3.5645670431999998</v>
      </c>
      <c r="W109" s="134">
        <f t="shared" si="263"/>
        <v>1.7822835215999999</v>
      </c>
      <c r="X109" s="311">
        <f t="shared" si="264"/>
        <v>4.9507875600000002</v>
      </c>
      <c r="Y109" s="11">
        <f t="shared" si="265"/>
        <v>14.852362680000001</v>
      </c>
      <c r="Z109" s="11">
        <f t="shared" si="266"/>
        <v>9.9015751200000004</v>
      </c>
      <c r="AA109" s="316">
        <f t="shared" si="50"/>
        <v>14.852362680000001</v>
      </c>
      <c r="AB109" s="170">
        <f t="shared" si="51"/>
        <v>2.6734252823999998</v>
      </c>
      <c r="AC109" s="11">
        <f t="shared" si="52"/>
        <v>14.852362680000001</v>
      </c>
      <c r="AD109" s="152">
        <f t="shared" si="53"/>
        <v>31.185555032651234</v>
      </c>
      <c r="AE109" s="151">
        <f t="shared" si="267"/>
        <v>3.4147474495394317</v>
      </c>
      <c r="AF109" s="12">
        <f t="shared" si="268"/>
        <v>74.828954842472754</v>
      </c>
      <c r="AG109" s="216">
        <f t="shared" si="269"/>
        <v>5.1262015804218941E-3</v>
      </c>
      <c r="AH109" s="2">
        <f t="shared" si="55"/>
        <v>1</v>
      </c>
      <c r="AI109" s="2">
        <f t="shared" si="56"/>
        <v>3</v>
      </c>
      <c r="AJ109" s="127">
        <f t="shared" si="57"/>
        <v>2</v>
      </c>
      <c r="AK109" s="2">
        <f t="shared" si="58"/>
        <v>1.5748031496062995E-2</v>
      </c>
      <c r="AL109" s="8">
        <f t="shared" si="270"/>
        <v>5.3947036150534464E-2</v>
      </c>
      <c r="AM109" s="138">
        <f t="shared" si="59"/>
        <v>0.25</v>
      </c>
      <c r="AN109" s="12">
        <f t="shared" si="271"/>
        <v>4471.6275859884954</v>
      </c>
      <c r="AO109" s="138">
        <f t="shared" si="60"/>
        <v>0.25</v>
      </c>
      <c r="AP109" s="116">
        <f t="shared" si="61"/>
        <v>2175570</v>
      </c>
      <c r="AQ109" s="2">
        <f t="shared" si="62"/>
        <v>1.5748031496062995E-2</v>
      </c>
      <c r="AR109" s="8">
        <f t="shared" si="63"/>
        <v>9.9015751200000004</v>
      </c>
      <c r="AS109" s="116">
        <f t="shared" si="64"/>
        <v>2610.6840000000002</v>
      </c>
      <c r="AT109" s="217">
        <f t="shared" si="65"/>
        <v>0.1651376932201632</v>
      </c>
      <c r="AU109" s="207">
        <f t="shared" si="66"/>
        <v>3.328781228134436</v>
      </c>
      <c r="AV109" s="144">
        <f t="shared" si="67"/>
        <v>11391.20095025141</v>
      </c>
      <c r="AW109" s="138">
        <f t="shared" si="68"/>
        <v>0.25</v>
      </c>
      <c r="AX109" s="116">
        <f t="shared" si="69"/>
        <v>2175570</v>
      </c>
      <c r="AY109" s="2">
        <f t="shared" si="70"/>
        <v>1.5748031496062995E-2</v>
      </c>
      <c r="AZ109" s="8">
        <f t="shared" si="71"/>
        <v>9.9015751200000004</v>
      </c>
      <c r="BA109" s="116">
        <f t="shared" si="72"/>
        <v>2610.6840000000002</v>
      </c>
      <c r="BB109" s="217">
        <f t="shared" si="73"/>
        <v>0.1651376932201632</v>
      </c>
      <c r="BC109" s="207">
        <f t="shared" si="74"/>
        <v>3.328781228134436</v>
      </c>
      <c r="BD109" s="144">
        <f t="shared" si="75"/>
        <v>11391.20095025141</v>
      </c>
      <c r="BE109" s="138">
        <f t="shared" si="76"/>
        <v>0.25</v>
      </c>
      <c r="BF109" s="116">
        <f t="shared" si="77"/>
        <v>2175570</v>
      </c>
      <c r="BG109" s="2">
        <f t="shared" si="78"/>
        <v>1.5748031496062995E-2</v>
      </c>
      <c r="BH109" s="8">
        <f t="shared" si="79"/>
        <v>9.9015751200000004</v>
      </c>
      <c r="BI109" s="116">
        <f t="shared" si="80"/>
        <v>2610.6840000000002</v>
      </c>
      <c r="BJ109" s="217">
        <f t="shared" si="81"/>
        <v>0.1651376932201632</v>
      </c>
      <c r="BK109" s="207">
        <f t="shared" si="82"/>
        <v>3.328781228134436</v>
      </c>
      <c r="BL109" s="144">
        <f t="shared" si="83"/>
        <v>11391.20095025141</v>
      </c>
      <c r="BM109" s="216">
        <f t="shared" si="84"/>
        <v>0.25</v>
      </c>
      <c r="BN109" s="216">
        <f t="shared" si="85"/>
        <v>2.3622047244094495E-2</v>
      </c>
      <c r="BO109" s="238">
        <f t="shared" si="86"/>
        <v>1.5748031496062995E-2</v>
      </c>
      <c r="BP109" s="216">
        <f t="shared" si="87"/>
        <v>0</v>
      </c>
      <c r="BQ109" s="138">
        <f t="shared" si="88"/>
        <v>0.25</v>
      </c>
      <c r="BR109" s="138">
        <f t="shared" si="89"/>
        <v>0</v>
      </c>
      <c r="BS109" s="238">
        <f t="shared" si="90"/>
        <v>0</v>
      </c>
      <c r="BT109" s="138">
        <f t="shared" si="91"/>
        <v>0</v>
      </c>
      <c r="BU109" s="138">
        <f t="shared" si="92"/>
        <v>0.25</v>
      </c>
      <c r="BV109" s="138">
        <f t="shared" si="93"/>
        <v>0</v>
      </c>
      <c r="BW109" s="238">
        <f t="shared" si="94"/>
        <v>0</v>
      </c>
      <c r="BX109" s="216">
        <f t="shared" si="95"/>
        <v>0</v>
      </c>
      <c r="BY109" s="138">
        <f t="shared" si="96"/>
        <v>2.3622047244094495E-2</v>
      </c>
      <c r="BZ109" s="138">
        <f t="shared" si="97"/>
        <v>0</v>
      </c>
      <c r="CA109" s="238">
        <f t="shared" si="98"/>
        <v>0</v>
      </c>
      <c r="CB109" s="138">
        <f t="shared" si="99"/>
        <v>0</v>
      </c>
      <c r="CC109" s="138">
        <f t="shared" si="100"/>
        <v>2.3622047244094495E-2</v>
      </c>
      <c r="CD109" s="138">
        <f t="shared" si="101"/>
        <v>0</v>
      </c>
      <c r="CE109" s="238">
        <f t="shared" si="102"/>
        <v>0</v>
      </c>
      <c r="CF109" s="216">
        <f t="shared" si="103"/>
        <v>0</v>
      </c>
      <c r="CG109" s="138">
        <f t="shared" si="104"/>
        <v>1.5748031496062995E-2</v>
      </c>
      <c r="CH109" s="138">
        <f t="shared" si="105"/>
        <v>0</v>
      </c>
      <c r="CI109" s="238">
        <f t="shared" si="106"/>
        <v>0</v>
      </c>
      <c r="CJ109" s="138">
        <f t="shared" si="107"/>
        <v>0</v>
      </c>
      <c r="CK109" s="138">
        <f t="shared" si="108"/>
        <v>1.5748031496062995E-2</v>
      </c>
      <c r="CL109" s="138">
        <f t="shared" si="109"/>
        <v>0</v>
      </c>
      <c r="CM109" s="238">
        <f t="shared" si="110"/>
        <v>0</v>
      </c>
      <c r="CN109" s="17">
        <f t="shared" si="111"/>
        <v>0.25</v>
      </c>
      <c r="CO109" s="17">
        <f t="shared" si="112"/>
        <v>2.3622047244094495E-2</v>
      </c>
      <c r="CP109" s="17">
        <f t="shared" si="113"/>
        <v>1.5748031496062995E-2</v>
      </c>
      <c r="CQ109" s="17">
        <f>$U109-IF('Inputs-Imperial'!$E$13,0,2)*($CO109+$CN109+$CP109)</f>
        <v>3.5645670431999998</v>
      </c>
      <c r="CR109" s="116">
        <f t="shared" si="114"/>
        <v>3865.0335412702198</v>
      </c>
      <c r="CS109" s="8">
        <f t="shared" si="10"/>
        <v>9.9931575033876105E-2</v>
      </c>
      <c r="CT109" s="8">
        <f t="shared" si="115"/>
        <v>0.31611955813248271</v>
      </c>
      <c r="CU109" s="8">
        <f t="shared" si="272"/>
        <v>9.9931575033876105E-2</v>
      </c>
      <c r="CV109" s="8">
        <f t="shared" si="116"/>
        <v>0.31611955813248271</v>
      </c>
      <c r="CW109" s="216">
        <f t="shared" si="117"/>
        <v>3.2484474850675169</v>
      </c>
      <c r="CX109" s="116">
        <f t="shared" si="118"/>
        <v>4241.1555813678369</v>
      </c>
      <c r="CY109" s="8">
        <f t="shared" si="119"/>
        <v>0.10965632062031597</v>
      </c>
      <c r="CZ109" s="8">
        <f t="shared" si="120"/>
        <v>0.3311439575476442</v>
      </c>
      <c r="DA109" s="8">
        <f t="shared" si="121"/>
        <v>0.10965632062031597</v>
      </c>
      <c r="DB109" s="8">
        <f t="shared" si="122"/>
        <v>0.3311439575476442</v>
      </c>
      <c r="DC109" s="216">
        <f t="shared" si="123"/>
        <v>3.233423085652356</v>
      </c>
      <c r="DD109" s="116">
        <f t="shared" si="124"/>
        <v>4260.8625030258954</v>
      </c>
      <c r="DE109" s="8">
        <f t="shared" si="125"/>
        <v>0.11016584885579715</v>
      </c>
      <c r="DF109" s="8">
        <f t="shared" si="126"/>
        <v>0.33191241142174416</v>
      </c>
      <c r="DG109" s="8">
        <f t="shared" si="127"/>
        <v>0.11016584885579715</v>
      </c>
      <c r="DH109" s="8">
        <f t="shared" si="128"/>
        <v>0.33191241142174416</v>
      </c>
      <c r="DI109" s="216">
        <f t="shared" si="129"/>
        <v>3.2326546317782561</v>
      </c>
      <c r="DJ109" s="116">
        <f t="shared" si="130"/>
        <v>4261.8753784086439</v>
      </c>
      <c r="DK109" s="8">
        <f t="shared" si="131"/>
        <v>0.11019203704568743</v>
      </c>
      <c r="DL109" s="8">
        <f t="shared" si="132"/>
        <v>0.33195185953039552</v>
      </c>
      <c r="DM109" s="8">
        <f t="shared" si="133"/>
        <v>0.11019203704568743</v>
      </c>
      <c r="DN109" s="8">
        <f t="shared" si="134"/>
        <v>0.33195185953039552</v>
      </c>
      <c r="DO109" s="216">
        <f t="shared" si="135"/>
        <v>3.2326151836696044</v>
      </c>
      <c r="DP109" s="116">
        <f t="shared" si="136"/>
        <v>4261.9273867404236</v>
      </c>
      <c r="DQ109" s="170">
        <f t="shared" si="137"/>
        <v>0.110193381736349</v>
      </c>
      <c r="DR109" s="8">
        <f t="shared" si="138"/>
        <v>0.33195388495444517</v>
      </c>
      <c r="DS109" s="8">
        <f t="shared" si="139"/>
        <v>0.110193381736349</v>
      </c>
      <c r="DT109" s="134">
        <f t="shared" si="140"/>
        <v>0.33195388495444517</v>
      </c>
      <c r="DU109" s="170">
        <f t="shared" si="304"/>
        <v>0.15260733333097529</v>
      </c>
      <c r="DV109" s="170">
        <f t="shared" si="304"/>
        <v>0.39064988587093596</v>
      </c>
      <c r="DW109" s="170">
        <f t="shared" si="304"/>
        <v>0.15260733333097529</v>
      </c>
      <c r="DX109" s="272">
        <f t="shared" si="304"/>
        <v>0.39064988587093596</v>
      </c>
      <c r="DY109" s="272">
        <f t="shared" si="142"/>
        <v>2.7832672714581279</v>
      </c>
      <c r="DZ109" s="22">
        <f t="shared" si="273"/>
        <v>142.28114373080962</v>
      </c>
      <c r="EA109" s="216">
        <f t="shared" si="274"/>
        <v>9.3216681022463659E-3</v>
      </c>
      <c r="EB109" s="12">
        <f t="shared" si="143"/>
        <v>2</v>
      </c>
      <c r="EC109" s="7">
        <f>ROUND(MAX(DV109,DX109)/'Inputs-Imperial'!$E$21,0)</f>
        <v>3</v>
      </c>
      <c r="ED109" s="12">
        <f t="shared" si="144"/>
        <v>3</v>
      </c>
      <c r="EE109" s="2">
        <f t="shared" si="145"/>
        <v>2</v>
      </c>
      <c r="EF109" s="127">
        <f t="shared" si="146"/>
        <v>2</v>
      </c>
      <c r="EG109" s="2">
        <f t="shared" si="147"/>
        <v>1.5748031496062995E-2</v>
      </c>
      <c r="EH109" s="8">
        <f t="shared" si="275"/>
        <v>9.8099217950336881E-2</v>
      </c>
      <c r="EI109" s="138">
        <f t="shared" si="148"/>
        <v>0.25</v>
      </c>
      <c r="EJ109" s="12">
        <f t="shared" si="276"/>
        <v>8131.3673642157682</v>
      </c>
      <c r="EK109" s="138">
        <f t="shared" si="149"/>
        <v>0.25</v>
      </c>
      <c r="EL109" s="116">
        <f t="shared" si="150"/>
        <v>2175570</v>
      </c>
      <c r="EM109" s="2">
        <f t="shared" si="277"/>
        <v>1.5748031496062995E-2</v>
      </c>
      <c r="EN109" s="8">
        <f t="shared" si="151"/>
        <v>3.5645670431999998</v>
      </c>
      <c r="EO109" s="116">
        <f t="shared" si="152"/>
        <v>2610.6840000000002</v>
      </c>
      <c r="EP109" s="217">
        <f t="shared" si="153"/>
        <v>1.2742105958345926</v>
      </c>
      <c r="EQ109" s="207">
        <f t="shared" si="154"/>
        <v>2</v>
      </c>
      <c r="ER109" s="144">
        <f t="shared" si="155"/>
        <v>52809.159290916417</v>
      </c>
      <c r="ES109" s="138">
        <f t="shared" si="278"/>
        <v>0.25</v>
      </c>
      <c r="ET109" s="116">
        <f t="shared" si="156"/>
        <v>2175570</v>
      </c>
      <c r="EU109" s="2">
        <f t="shared" si="279"/>
        <v>1.5748031496062995E-2</v>
      </c>
      <c r="EV109" s="8">
        <f t="shared" si="157"/>
        <v>3.5645670431999998</v>
      </c>
      <c r="EW109" s="116">
        <f t="shared" si="158"/>
        <v>2610.6840000000002</v>
      </c>
      <c r="EX109" s="217">
        <f t="shared" si="159"/>
        <v>1.2742105958345926</v>
      </c>
      <c r="EY109" s="207">
        <f t="shared" si="160"/>
        <v>2</v>
      </c>
      <c r="EZ109" s="144">
        <f t="shared" si="161"/>
        <v>52809.159290916417</v>
      </c>
      <c r="FA109" s="138">
        <f t="shared" si="280"/>
        <v>0.25</v>
      </c>
      <c r="FB109" s="116">
        <f t="shared" si="162"/>
        <v>2175570</v>
      </c>
      <c r="FC109" s="2">
        <f t="shared" si="281"/>
        <v>1.5748031496062995E-2</v>
      </c>
      <c r="FD109" s="8">
        <f t="shared" si="163"/>
        <v>3.5645670431999998</v>
      </c>
      <c r="FE109" s="116">
        <f t="shared" si="164"/>
        <v>2610.6840000000002</v>
      </c>
      <c r="FF109" s="217">
        <f t="shared" si="165"/>
        <v>1.2742105958345926</v>
      </c>
      <c r="FG109" s="207">
        <f t="shared" si="166"/>
        <v>2</v>
      </c>
      <c r="FH109" s="144">
        <f t="shared" si="167"/>
        <v>52809.159290916417</v>
      </c>
      <c r="FI109" s="128">
        <f t="shared" si="168"/>
        <v>0.25</v>
      </c>
      <c r="FJ109" s="2">
        <f t="shared" si="169"/>
        <v>1.5748031496062995E-2</v>
      </c>
      <c r="FK109" s="127">
        <f t="shared" si="170"/>
        <v>1.5748031496062995E-2</v>
      </c>
      <c r="FL109" s="216">
        <f t="shared" si="171"/>
        <v>0</v>
      </c>
      <c r="FM109" s="138">
        <f t="shared" si="172"/>
        <v>0.25</v>
      </c>
      <c r="FN109" s="138">
        <f t="shared" si="173"/>
        <v>0</v>
      </c>
      <c r="FO109" s="238">
        <f t="shared" si="174"/>
        <v>0</v>
      </c>
      <c r="FP109" s="216">
        <f t="shared" si="282"/>
        <v>0</v>
      </c>
      <c r="FQ109" s="138">
        <f t="shared" si="283"/>
        <v>0.25</v>
      </c>
      <c r="FR109" s="138">
        <f t="shared" si="284"/>
        <v>0</v>
      </c>
      <c r="FS109" s="238">
        <f t="shared" si="285"/>
        <v>0</v>
      </c>
      <c r="FT109" s="216">
        <f t="shared" si="175"/>
        <v>0</v>
      </c>
      <c r="FU109" s="138">
        <f t="shared" si="176"/>
        <v>1.5748031496062995E-2</v>
      </c>
      <c r="FV109" s="138">
        <f t="shared" si="177"/>
        <v>0</v>
      </c>
      <c r="FW109" s="238">
        <f t="shared" si="178"/>
        <v>0</v>
      </c>
      <c r="FX109" s="216">
        <f t="shared" si="286"/>
        <v>0</v>
      </c>
      <c r="FY109" s="138">
        <f t="shared" si="287"/>
        <v>1.5748031496062995E-2</v>
      </c>
      <c r="FZ109" s="138">
        <f t="shared" si="288"/>
        <v>0</v>
      </c>
      <c r="GA109" s="238">
        <f t="shared" si="289"/>
        <v>0</v>
      </c>
      <c r="GB109" s="216">
        <f t="shared" si="179"/>
        <v>0</v>
      </c>
      <c r="GC109" s="138">
        <f t="shared" si="180"/>
        <v>1.5748031496062995E-2</v>
      </c>
      <c r="GD109" s="138">
        <f t="shared" si="181"/>
        <v>0</v>
      </c>
      <c r="GE109" s="238">
        <f t="shared" si="182"/>
        <v>0</v>
      </c>
      <c r="GF109" s="216">
        <f t="shared" si="290"/>
        <v>0</v>
      </c>
      <c r="GG109" s="138">
        <f t="shared" si="291"/>
        <v>1.5748031496062995E-2</v>
      </c>
      <c r="GH109" s="138">
        <f t="shared" si="292"/>
        <v>0</v>
      </c>
      <c r="GI109" s="238">
        <f t="shared" si="293"/>
        <v>0</v>
      </c>
      <c r="GJ109" s="216">
        <f t="shared" si="183"/>
        <v>0.25</v>
      </c>
      <c r="GK109" s="216">
        <f t="shared" si="184"/>
        <v>1.5748031496062995E-2</v>
      </c>
      <c r="GL109" s="17">
        <f t="shared" si="185"/>
        <v>1.5748031496062995E-2</v>
      </c>
      <c r="GM109" s="216">
        <f t="shared" si="294"/>
        <v>4.9024815459679811E-3</v>
      </c>
      <c r="GN109" s="2">
        <f t="shared" si="187"/>
        <v>1</v>
      </c>
      <c r="GO109" s="2">
        <f t="shared" si="188"/>
        <v>2</v>
      </c>
      <c r="GP109" s="142">
        <f t="shared" si="189"/>
        <v>2</v>
      </c>
      <c r="GQ109" s="2">
        <f t="shared" si="190"/>
        <v>1.5748031496062995E-2</v>
      </c>
      <c r="GR109" s="8">
        <f t="shared" si="295"/>
        <v>5.159265491972638E-2</v>
      </c>
      <c r="GS109" s="138">
        <f t="shared" si="191"/>
        <v>0.25</v>
      </c>
      <c r="GT109" s="12">
        <f t="shared" si="296"/>
        <v>4276.4747692473165</v>
      </c>
      <c r="GU109" s="138">
        <f t="shared" si="192"/>
        <v>0.25</v>
      </c>
      <c r="GV109" s="116">
        <f t="shared" si="193"/>
        <v>2175570</v>
      </c>
      <c r="GW109" s="2">
        <f t="shared" si="297"/>
        <v>1.5748031496062995E-2</v>
      </c>
      <c r="GX109" s="8">
        <f t="shared" si="298"/>
        <v>1.7822835215999999</v>
      </c>
      <c r="GY109" s="116">
        <f t="shared" si="194"/>
        <v>2610.6840000000002</v>
      </c>
      <c r="GZ109" s="217">
        <f t="shared" si="195"/>
        <v>5.0968423833383705</v>
      </c>
      <c r="HA109" s="207">
        <f t="shared" si="196"/>
        <v>2</v>
      </c>
      <c r="HB109" s="144">
        <f t="shared" si="197"/>
        <v>211236.63716366567</v>
      </c>
      <c r="HC109" s="138">
        <f t="shared" si="299"/>
        <v>0.25</v>
      </c>
      <c r="HD109" s="116">
        <f t="shared" si="198"/>
        <v>2175570</v>
      </c>
      <c r="HE109" s="2">
        <f t="shared" si="300"/>
        <v>1.5748031496062995E-2</v>
      </c>
      <c r="HF109" s="8">
        <f t="shared" si="199"/>
        <v>1.7822835215999999</v>
      </c>
      <c r="HG109" s="116">
        <f t="shared" si="200"/>
        <v>2610.6840000000002</v>
      </c>
      <c r="HH109" s="217">
        <f t="shared" si="201"/>
        <v>5.0968423833383705</v>
      </c>
      <c r="HI109" s="207">
        <f t="shared" si="202"/>
        <v>2</v>
      </c>
      <c r="HJ109" s="144">
        <f t="shared" si="203"/>
        <v>211236.63716366567</v>
      </c>
      <c r="HK109" s="138">
        <f t="shared" si="301"/>
        <v>0.25</v>
      </c>
      <c r="HL109" s="116">
        <f t="shared" si="204"/>
        <v>2175570</v>
      </c>
      <c r="HM109" s="2">
        <f t="shared" si="302"/>
        <v>1.5748031496062995E-2</v>
      </c>
      <c r="HN109" s="8">
        <f t="shared" si="205"/>
        <v>1.7822835215999999</v>
      </c>
      <c r="HO109" s="116">
        <f t="shared" si="206"/>
        <v>2610.6840000000002</v>
      </c>
      <c r="HP109" s="217">
        <f t="shared" si="207"/>
        <v>5.0968423833383705</v>
      </c>
      <c r="HQ109" s="207">
        <f t="shared" si="208"/>
        <v>2</v>
      </c>
      <c r="HR109" s="144">
        <f t="shared" si="209"/>
        <v>211236.63716366567</v>
      </c>
      <c r="HS109" s="128">
        <f t="shared" si="210"/>
        <v>0.25</v>
      </c>
      <c r="HT109" s="2">
        <f t="shared" si="211"/>
        <v>1.5748031496062995E-2</v>
      </c>
      <c r="HU109" s="127">
        <f t="shared" si="212"/>
        <v>1.5748031496062995E-2</v>
      </c>
      <c r="HV109" s="216">
        <f t="shared" si="213"/>
        <v>0</v>
      </c>
      <c r="HW109" s="138">
        <f t="shared" si="214"/>
        <v>0.25</v>
      </c>
      <c r="HX109" s="138">
        <f t="shared" si="215"/>
        <v>0</v>
      </c>
      <c r="HY109" s="238">
        <f t="shared" si="216"/>
        <v>0</v>
      </c>
      <c r="HZ109" s="138">
        <f t="shared" si="217"/>
        <v>0</v>
      </c>
      <c r="IA109" s="138">
        <f t="shared" si="218"/>
        <v>0.25</v>
      </c>
      <c r="IB109" s="138">
        <f t="shared" si="219"/>
        <v>0</v>
      </c>
      <c r="IC109" s="138">
        <f t="shared" si="220"/>
        <v>0</v>
      </c>
      <c r="ID109" s="216">
        <f t="shared" si="221"/>
        <v>0</v>
      </c>
      <c r="IE109" s="138">
        <f t="shared" si="222"/>
        <v>1.5748031496062995E-2</v>
      </c>
      <c r="IF109" s="138">
        <f t="shared" si="223"/>
        <v>0</v>
      </c>
      <c r="IG109" s="238">
        <f t="shared" si="224"/>
        <v>0</v>
      </c>
      <c r="IH109" s="138">
        <f t="shared" si="225"/>
        <v>0</v>
      </c>
      <c r="II109" s="138">
        <f t="shared" si="226"/>
        <v>1.5748031496062995E-2</v>
      </c>
      <c r="IJ109" s="138">
        <f t="shared" si="227"/>
        <v>0</v>
      </c>
      <c r="IK109" s="138">
        <f t="shared" si="228"/>
        <v>0</v>
      </c>
      <c r="IL109" s="216">
        <f t="shared" si="229"/>
        <v>0</v>
      </c>
      <c r="IM109" s="138">
        <f t="shared" si="230"/>
        <v>1.5748031496062995E-2</v>
      </c>
      <c r="IN109" s="138">
        <f t="shared" si="231"/>
        <v>0</v>
      </c>
      <c r="IO109" s="238">
        <f t="shared" si="232"/>
        <v>0</v>
      </c>
      <c r="IP109" s="138">
        <f t="shared" si="233"/>
        <v>0</v>
      </c>
      <c r="IQ109" s="138">
        <f t="shared" si="234"/>
        <v>1.5748031496062995E-2</v>
      </c>
      <c r="IR109" s="138">
        <f t="shared" si="235"/>
        <v>0</v>
      </c>
      <c r="IS109" s="138">
        <f t="shared" si="236"/>
        <v>0</v>
      </c>
      <c r="IT109" s="17">
        <f t="shared" si="237"/>
        <v>0.25</v>
      </c>
      <c r="IU109" s="17">
        <f t="shared" si="238"/>
        <v>1.5748031496062995E-2</v>
      </c>
      <c r="IV109" s="17">
        <f t="shared" si="239"/>
        <v>1.5748031496062995E-2</v>
      </c>
      <c r="IW109" s="253">
        <f t="shared" si="240"/>
        <v>9.9015751200000004</v>
      </c>
      <c r="IX109" s="116">
        <f t="shared" si="303"/>
        <v>139.1412074857279</v>
      </c>
      <c r="IY109" s="8">
        <f t="shared" si="242"/>
        <v>3.5975367012195396E-3</v>
      </c>
      <c r="IZ109" s="8">
        <f t="shared" si="243"/>
        <v>3.5975367012195396E-3</v>
      </c>
      <c r="JA109" s="8">
        <f t="shared" si="244"/>
        <v>1.7987683506097698E-3</v>
      </c>
      <c r="JB109" s="134">
        <f t="shared" si="245"/>
        <v>4.2411889260085663E-2</v>
      </c>
      <c r="JC109" s="170">
        <f t="shared" si="305"/>
        <v>2.4612277601232125E-3</v>
      </c>
      <c r="JD109" s="272">
        <f t="shared" si="306"/>
        <v>4.9610762543254791E-2</v>
      </c>
      <c r="JE109" s="8"/>
      <c r="JF109" s="8"/>
    </row>
    <row r="110" spans="1:266" x14ac:dyDescent="0.25">
      <c r="A110" s="186">
        <v>50</v>
      </c>
      <c r="B110" s="187">
        <f>A110/100*'Inputs-Imperial'!$E$5</f>
        <v>4.9212600000000002</v>
      </c>
      <c r="C110" s="188">
        <f>'Inputs-Imperial'!$E$10+('Inputs-Imperial'!$E$9-'Inputs-Imperial'!$E$10)*(100-A110)/100</f>
        <v>1.64042</v>
      </c>
      <c r="D110" s="187">
        <f t="shared" si="248"/>
        <v>9.8425200000000324E-2</v>
      </c>
      <c r="E110" s="188">
        <f t="shared" si="249"/>
        <v>0.16194304258375253</v>
      </c>
      <c r="F110" s="423">
        <f>Loads!P70</f>
        <v>49.438553395322081</v>
      </c>
      <c r="G110" s="423">
        <f>Loads!M70</f>
        <v>494.38553395322066</v>
      </c>
      <c r="H110" s="423">
        <f>Loads!N70</f>
        <v>1098.1792233053043</v>
      </c>
      <c r="I110" s="423">
        <f>Loads!V70</f>
        <v>-376.80317697922789</v>
      </c>
      <c r="J110" s="423">
        <f>Loads!Q70</f>
        <v>109.81792233053044</v>
      </c>
      <c r="K110" s="2">
        <v>50</v>
      </c>
      <c r="L110" s="12">
        <f t="shared" si="41"/>
        <v>59.055120000000002</v>
      </c>
      <c r="M110" s="11">
        <f t="shared" si="42"/>
        <v>19.685040000000001</v>
      </c>
      <c r="N110" s="11">
        <f t="shared" si="43"/>
        <v>1.1811024000000039</v>
      </c>
      <c r="O110" s="152">
        <f t="shared" si="44"/>
        <v>23.319798132060363</v>
      </c>
      <c r="P110" s="151">
        <f t="shared" si="45"/>
        <v>49.438553395322081</v>
      </c>
      <c r="Q110" s="12">
        <f t="shared" si="46"/>
        <v>494.38553395322066</v>
      </c>
      <c r="R110" s="12">
        <f t="shared" si="47"/>
        <v>13178.150679663651</v>
      </c>
      <c r="S110" s="12">
        <f t="shared" si="48"/>
        <v>-4521.6381237507348</v>
      </c>
      <c r="T110" s="152">
        <f t="shared" si="49"/>
        <v>1317.8150679663652</v>
      </c>
      <c r="U110" s="8">
        <f t="shared" si="261"/>
        <v>3.5433072000000001</v>
      </c>
      <c r="V110" s="8">
        <f t="shared" si="262"/>
        <v>3.5433072000000001</v>
      </c>
      <c r="W110" s="134">
        <f t="shared" si="263"/>
        <v>1.7716536000000001</v>
      </c>
      <c r="X110" s="311">
        <f t="shared" si="264"/>
        <v>4.9212600000000002</v>
      </c>
      <c r="Y110" s="11">
        <f t="shared" si="265"/>
        <v>14.763780000000001</v>
      </c>
      <c r="Z110" s="11">
        <f t="shared" si="266"/>
        <v>9.8425200000000004</v>
      </c>
      <c r="AA110" s="316">
        <f t="shared" si="50"/>
        <v>14.763780000000001</v>
      </c>
      <c r="AB110" s="170">
        <f t="shared" si="51"/>
        <v>2.6574803999999999</v>
      </c>
      <c r="AC110" s="11">
        <f t="shared" si="52"/>
        <v>14.763780000000001</v>
      </c>
      <c r="AD110" s="152">
        <f t="shared" si="53"/>
        <v>30.814669668520917</v>
      </c>
      <c r="AE110" s="151">
        <f t="shared" si="267"/>
        <v>3.3486379094867358</v>
      </c>
      <c r="AF110" s="12">
        <f t="shared" si="268"/>
        <v>73.368271871657711</v>
      </c>
      <c r="AG110" s="216">
        <f t="shared" si="269"/>
        <v>5.0261724924196829E-3</v>
      </c>
      <c r="AH110" s="2">
        <f t="shared" si="55"/>
        <v>1</v>
      </c>
      <c r="AI110" s="2">
        <f t="shared" si="56"/>
        <v>3</v>
      </c>
      <c r="AJ110" s="127">
        <f t="shared" si="57"/>
        <v>2</v>
      </c>
      <c r="AK110" s="2">
        <f t="shared" si="58"/>
        <v>1.5748031496062995E-2</v>
      </c>
      <c r="AL110" s="8">
        <f t="shared" si="270"/>
        <v>5.2894351674143636E-2</v>
      </c>
      <c r="AM110" s="138">
        <f t="shared" si="59"/>
        <v>0.25</v>
      </c>
      <c r="AN110" s="12">
        <f t="shared" si="271"/>
        <v>4384.3713939924046</v>
      </c>
      <c r="AO110" s="138">
        <f t="shared" si="60"/>
        <v>0.25</v>
      </c>
      <c r="AP110" s="116">
        <f t="shared" si="61"/>
        <v>2175570</v>
      </c>
      <c r="AQ110" s="2">
        <f t="shared" si="62"/>
        <v>1.5748031496062995E-2</v>
      </c>
      <c r="AR110" s="8">
        <f t="shared" si="63"/>
        <v>9.8425200000000004</v>
      </c>
      <c r="AS110" s="116">
        <f t="shared" si="64"/>
        <v>2610.6840000000002</v>
      </c>
      <c r="AT110" s="217">
        <f t="shared" si="65"/>
        <v>0.16712529049576108</v>
      </c>
      <c r="AU110" s="207">
        <f t="shared" si="66"/>
        <v>3.3145762213713259</v>
      </c>
      <c r="AV110" s="144">
        <f t="shared" si="67"/>
        <v>11479.110365492081</v>
      </c>
      <c r="AW110" s="138">
        <f t="shared" si="68"/>
        <v>0.25</v>
      </c>
      <c r="AX110" s="116">
        <f t="shared" si="69"/>
        <v>2175570</v>
      </c>
      <c r="AY110" s="2">
        <f t="shared" si="70"/>
        <v>1.5748031496062995E-2</v>
      </c>
      <c r="AZ110" s="8">
        <f t="shared" si="71"/>
        <v>9.8425200000000004</v>
      </c>
      <c r="BA110" s="116">
        <f t="shared" si="72"/>
        <v>2610.6840000000002</v>
      </c>
      <c r="BB110" s="217">
        <f t="shared" si="73"/>
        <v>0.16712529049576108</v>
      </c>
      <c r="BC110" s="207">
        <f t="shared" si="74"/>
        <v>3.3145762213713259</v>
      </c>
      <c r="BD110" s="144">
        <f t="shared" si="75"/>
        <v>11479.110365492081</v>
      </c>
      <c r="BE110" s="138">
        <f t="shared" si="76"/>
        <v>0.25</v>
      </c>
      <c r="BF110" s="116">
        <f t="shared" si="77"/>
        <v>2175570</v>
      </c>
      <c r="BG110" s="2">
        <f t="shared" si="78"/>
        <v>1.5748031496062995E-2</v>
      </c>
      <c r="BH110" s="8">
        <f t="shared" si="79"/>
        <v>9.8425200000000004</v>
      </c>
      <c r="BI110" s="116">
        <f t="shared" si="80"/>
        <v>2610.6840000000002</v>
      </c>
      <c r="BJ110" s="217">
        <f t="shared" si="81"/>
        <v>0.16712529049576108</v>
      </c>
      <c r="BK110" s="207">
        <f t="shared" si="82"/>
        <v>3.3145762213713259</v>
      </c>
      <c r="BL110" s="144">
        <f t="shared" si="83"/>
        <v>11479.110365492081</v>
      </c>
      <c r="BM110" s="216">
        <f t="shared" si="84"/>
        <v>0.25</v>
      </c>
      <c r="BN110" s="216">
        <f t="shared" si="85"/>
        <v>2.3622047244094495E-2</v>
      </c>
      <c r="BO110" s="238">
        <f t="shared" si="86"/>
        <v>1.5748031496062995E-2</v>
      </c>
      <c r="BP110" s="216">
        <f t="shared" si="87"/>
        <v>0</v>
      </c>
      <c r="BQ110" s="138">
        <f t="shared" si="88"/>
        <v>0</v>
      </c>
      <c r="BR110" s="138">
        <f t="shared" si="89"/>
        <v>0.25</v>
      </c>
      <c r="BS110" s="238">
        <f t="shared" si="90"/>
        <v>0</v>
      </c>
      <c r="BT110" s="138">
        <f t="shared" si="91"/>
        <v>0</v>
      </c>
      <c r="BU110" s="138">
        <f t="shared" si="92"/>
        <v>0</v>
      </c>
      <c r="BV110" s="138">
        <f t="shared" si="93"/>
        <v>0.25</v>
      </c>
      <c r="BW110" s="238">
        <f t="shared" si="94"/>
        <v>0</v>
      </c>
      <c r="BX110" s="216">
        <f t="shared" si="95"/>
        <v>0</v>
      </c>
      <c r="BY110" s="138">
        <f t="shared" si="96"/>
        <v>0</v>
      </c>
      <c r="BZ110" s="138">
        <f t="shared" si="97"/>
        <v>2.3622047244094495E-2</v>
      </c>
      <c r="CA110" s="238">
        <f t="shared" si="98"/>
        <v>0</v>
      </c>
      <c r="CB110" s="138">
        <f t="shared" si="99"/>
        <v>0</v>
      </c>
      <c r="CC110" s="138">
        <f t="shared" si="100"/>
        <v>0</v>
      </c>
      <c r="CD110" s="138">
        <f t="shared" si="101"/>
        <v>2.3622047244094495E-2</v>
      </c>
      <c r="CE110" s="238">
        <f t="shared" si="102"/>
        <v>0</v>
      </c>
      <c r="CF110" s="216">
        <f t="shared" si="103"/>
        <v>0</v>
      </c>
      <c r="CG110" s="138">
        <f t="shared" si="104"/>
        <v>0</v>
      </c>
      <c r="CH110" s="138">
        <f t="shared" si="105"/>
        <v>1.5748031496062995E-2</v>
      </c>
      <c r="CI110" s="238">
        <f t="shared" si="106"/>
        <v>0</v>
      </c>
      <c r="CJ110" s="138">
        <f t="shared" si="107"/>
        <v>0</v>
      </c>
      <c r="CK110" s="138">
        <f t="shared" si="108"/>
        <v>0</v>
      </c>
      <c r="CL110" s="138">
        <f t="shared" si="109"/>
        <v>1.5748031496062995E-2</v>
      </c>
      <c r="CM110" s="238">
        <f t="shared" si="110"/>
        <v>0</v>
      </c>
      <c r="CN110" s="17">
        <f t="shared" si="111"/>
        <v>0.25</v>
      </c>
      <c r="CO110" s="17">
        <f t="shared" si="112"/>
        <v>2.3622047244094495E-2</v>
      </c>
      <c r="CP110" s="17">
        <f t="shared" si="113"/>
        <v>1.5748031496062995E-2</v>
      </c>
      <c r="CQ110" s="17">
        <f>$U110-IF('Inputs-Imperial'!$E$13,0,2)*($CO110+$CN110+$CP110)</f>
        <v>3.5433072000000001</v>
      </c>
      <c r="CR110" s="116">
        <f t="shared" si="114"/>
        <v>3719.1668505806247</v>
      </c>
      <c r="CS110" s="8">
        <f t="shared" si="10"/>
        <v>9.6160148993211028E-2</v>
      </c>
      <c r="CT110" s="8">
        <f t="shared" si="115"/>
        <v>0.3100969993295824</v>
      </c>
      <c r="CU110" s="8">
        <f t="shared" si="272"/>
        <v>9.6160148993211028E-2</v>
      </c>
      <c r="CV110" s="8">
        <f t="shared" si="116"/>
        <v>0.3100969993295824</v>
      </c>
      <c r="CW110" s="216">
        <f t="shared" si="117"/>
        <v>3.2332102006704178</v>
      </c>
      <c r="CX110" s="116">
        <f t="shared" si="118"/>
        <v>4075.8719234929777</v>
      </c>
      <c r="CY110" s="8">
        <f t="shared" si="119"/>
        <v>0.10538286320204819</v>
      </c>
      <c r="CZ110" s="8">
        <f t="shared" si="120"/>
        <v>0.32462726811228937</v>
      </c>
      <c r="DA110" s="8">
        <f t="shared" si="121"/>
        <v>0.10538286320204819</v>
      </c>
      <c r="DB110" s="8">
        <f t="shared" si="122"/>
        <v>0.32462726811228937</v>
      </c>
      <c r="DC110" s="216">
        <f t="shared" si="123"/>
        <v>3.2186799318877108</v>
      </c>
      <c r="DD110" s="116">
        <f t="shared" si="124"/>
        <v>4094.2718625442358</v>
      </c>
      <c r="DE110" s="8">
        <f t="shared" si="125"/>
        <v>0.10585859901915969</v>
      </c>
      <c r="DF110" s="8">
        <f t="shared" si="126"/>
        <v>0.32535918462394708</v>
      </c>
      <c r="DG110" s="8">
        <f t="shared" si="127"/>
        <v>0.10585859901915969</v>
      </c>
      <c r="DH110" s="8">
        <f t="shared" si="128"/>
        <v>0.32535918462394708</v>
      </c>
      <c r="DI110" s="216">
        <f t="shared" si="129"/>
        <v>3.2179480153760531</v>
      </c>
      <c r="DJ110" s="116">
        <f t="shared" si="130"/>
        <v>4095.2030973451378</v>
      </c>
      <c r="DK110" s="8">
        <f t="shared" si="131"/>
        <v>0.10588267636787783</v>
      </c>
      <c r="DL110" s="8">
        <f t="shared" si="132"/>
        <v>0.32539618370208007</v>
      </c>
      <c r="DM110" s="8">
        <f t="shared" si="133"/>
        <v>0.10588267636787783</v>
      </c>
      <c r="DN110" s="8">
        <f t="shared" si="134"/>
        <v>0.32539618370208007</v>
      </c>
      <c r="DO110" s="216">
        <f t="shared" si="135"/>
        <v>3.2179110162979203</v>
      </c>
      <c r="DP110" s="116">
        <f t="shared" si="136"/>
        <v>4095.2501834014647</v>
      </c>
      <c r="DQ110" s="170">
        <f t="shared" si="137"/>
        <v>0.10588389379166488</v>
      </c>
      <c r="DR110" s="8">
        <f t="shared" si="138"/>
        <v>0.32539805437596714</v>
      </c>
      <c r="DS110" s="8">
        <f t="shared" si="139"/>
        <v>0.10588389379166488</v>
      </c>
      <c r="DT110" s="134">
        <f t="shared" si="140"/>
        <v>0.32539805437596714</v>
      </c>
      <c r="DU110" s="170">
        <f>MAX(DQ$110:DQ$119)</f>
        <v>0.10588389379166488</v>
      </c>
      <c r="DV110" s="170">
        <f>MAX(DR$110:DR$119)</f>
        <v>0.32539805437596714</v>
      </c>
      <c r="DW110" s="170">
        <f>MAX(DS$110:DS$119)</f>
        <v>0.10588389379166488</v>
      </c>
      <c r="DX110" s="272">
        <f>MAX(DT$110:DT$119)</f>
        <v>0.32539805437596714</v>
      </c>
      <c r="DY110" s="272">
        <f t="shared" si="142"/>
        <v>2.8925110912480658</v>
      </c>
      <c r="DZ110" s="22">
        <f t="shared" si="273"/>
        <v>139.52657956194727</v>
      </c>
      <c r="EA110" s="216">
        <f t="shared" si="274"/>
        <v>9.1412005274491403E-3</v>
      </c>
      <c r="EB110" s="12">
        <f t="shared" si="143"/>
        <v>2</v>
      </c>
      <c r="EC110" s="7">
        <f>ROUND(MAX(DV110,DX110)/'Inputs-Imperial'!$E$21,0)</f>
        <v>3</v>
      </c>
      <c r="ED110" s="12">
        <f t="shared" si="144"/>
        <v>3</v>
      </c>
      <c r="EE110" s="2">
        <f t="shared" si="145"/>
        <v>2</v>
      </c>
      <c r="EF110" s="127">
        <f t="shared" si="146"/>
        <v>2</v>
      </c>
      <c r="EG110" s="2">
        <f t="shared" si="147"/>
        <v>1.5748031496062995E-2</v>
      </c>
      <c r="EH110" s="8">
        <f t="shared" si="275"/>
        <v>9.6200016245361397E-2</v>
      </c>
      <c r="EI110" s="138">
        <f t="shared" si="148"/>
        <v>0.25</v>
      </c>
      <c r="EJ110" s="12">
        <f t="shared" si="276"/>
        <v>7973.9440219652852</v>
      </c>
      <c r="EK110" s="138">
        <f t="shared" si="149"/>
        <v>0.25</v>
      </c>
      <c r="EL110" s="116">
        <f t="shared" si="150"/>
        <v>2175570</v>
      </c>
      <c r="EM110" s="2">
        <f t="shared" si="277"/>
        <v>1.5748031496062995E-2</v>
      </c>
      <c r="EN110" s="8">
        <f t="shared" si="151"/>
        <v>3.5433072000000001</v>
      </c>
      <c r="EO110" s="116">
        <f t="shared" si="152"/>
        <v>2610.6840000000002</v>
      </c>
      <c r="EP110" s="217">
        <f t="shared" si="153"/>
        <v>1.2895469945660576</v>
      </c>
      <c r="EQ110" s="207">
        <f t="shared" si="154"/>
        <v>2</v>
      </c>
      <c r="ER110" s="144">
        <f t="shared" si="155"/>
        <v>53444.770332141874</v>
      </c>
      <c r="ES110" s="138">
        <f t="shared" si="278"/>
        <v>0.25</v>
      </c>
      <c r="ET110" s="116">
        <f t="shared" si="156"/>
        <v>2175570</v>
      </c>
      <c r="EU110" s="2">
        <f t="shared" si="279"/>
        <v>1.5748031496062995E-2</v>
      </c>
      <c r="EV110" s="8">
        <f t="shared" si="157"/>
        <v>3.5433072000000001</v>
      </c>
      <c r="EW110" s="116">
        <f t="shared" si="158"/>
        <v>2610.6840000000002</v>
      </c>
      <c r="EX110" s="217">
        <f t="shared" si="159"/>
        <v>1.2895469945660576</v>
      </c>
      <c r="EY110" s="207">
        <f t="shared" si="160"/>
        <v>2</v>
      </c>
      <c r="EZ110" s="144">
        <f t="shared" si="161"/>
        <v>53444.770332141874</v>
      </c>
      <c r="FA110" s="138">
        <f t="shared" si="280"/>
        <v>0.25</v>
      </c>
      <c r="FB110" s="116">
        <f t="shared" si="162"/>
        <v>2175570</v>
      </c>
      <c r="FC110" s="2">
        <f t="shared" si="281"/>
        <v>1.5748031496062995E-2</v>
      </c>
      <c r="FD110" s="8">
        <f t="shared" si="163"/>
        <v>3.5433072000000001</v>
      </c>
      <c r="FE110" s="116">
        <f t="shared" si="164"/>
        <v>2610.6840000000002</v>
      </c>
      <c r="FF110" s="217">
        <f t="shared" si="165"/>
        <v>1.2895469945660576</v>
      </c>
      <c r="FG110" s="207">
        <f t="shared" si="166"/>
        <v>2</v>
      </c>
      <c r="FH110" s="144">
        <f t="shared" si="167"/>
        <v>53444.770332141874</v>
      </c>
      <c r="FI110" s="128">
        <f t="shared" si="168"/>
        <v>0.25</v>
      </c>
      <c r="FJ110" s="2">
        <f t="shared" si="169"/>
        <v>1.5748031496062995E-2</v>
      </c>
      <c r="FK110" s="127">
        <f t="shared" si="170"/>
        <v>1.5748031496062995E-2</v>
      </c>
      <c r="FL110" s="216">
        <f t="shared" si="171"/>
        <v>0</v>
      </c>
      <c r="FM110" s="138">
        <f t="shared" si="172"/>
        <v>0</v>
      </c>
      <c r="FN110" s="138">
        <f t="shared" si="173"/>
        <v>0.25</v>
      </c>
      <c r="FO110" s="238">
        <f t="shared" si="174"/>
        <v>0</v>
      </c>
      <c r="FP110" s="216">
        <f t="shared" si="282"/>
        <v>0</v>
      </c>
      <c r="FQ110" s="138">
        <f t="shared" si="283"/>
        <v>0</v>
      </c>
      <c r="FR110" s="138">
        <f t="shared" si="284"/>
        <v>0.25</v>
      </c>
      <c r="FS110" s="238">
        <f t="shared" si="285"/>
        <v>0</v>
      </c>
      <c r="FT110" s="216">
        <f t="shared" si="175"/>
        <v>0</v>
      </c>
      <c r="FU110" s="138">
        <f t="shared" si="176"/>
        <v>0</v>
      </c>
      <c r="FV110" s="138">
        <f t="shared" si="177"/>
        <v>1.5748031496062995E-2</v>
      </c>
      <c r="FW110" s="238">
        <f t="shared" si="178"/>
        <v>0</v>
      </c>
      <c r="FX110" s="216">
        <f t="shared" si="286"/>
        <v>0</v>
      </c>
      <c r="FY110" s="138">
        <f t="shared" si="287"/>
        <v>0</v>
      </c>
      <c r="FZ110" s="138">
        <f t="shared" si="288"/>
        <v>1.5748031496062995E-2</v>
      </c>
      <c r="GA110" s="238">
        <f t="shared" si="289"/>
        <v>0</v>
      </c>
      <c r="GB110" s="216">
        <f t="shared" si="179"/>
        <v>0</v>
      </c>
      <c r="GC110" s="138">
        <f t="shared" si="180"/>
        <v>0</v>
      </c>
      <c r="GD110" s="138">
        <f t="shared" si="181"/>
        <v>1.5748031496062995E-2</v>
      </c>
      <c r="GE110" s="238">
        <f t="shared" si="182"/>
        <v>0</v>
      </c>
      <c r="GF110" s="216">
        <f t="shared" si="290"/>
        <v>0</v>
      </c>
      <c r="GG110" s="138">
        <f t="shared" si="291"/>
        <v>0</v>
      </c>
      <c r="GH110" s="138">
        <f t="shared" si="292"/>
        <v>1.5748031496062995E-2</v>
      </c>
      <c r="GI110" s="238">
        <f t="shared" si="293"/>
        <v>0</v>
      </c>
      <c r="GJ110" s="216">
        <f t="shared" si="183"/>
        <v>0.25</v>
      </c>
      <c r="GK110" s="216">
        <f t="shared" si="184"/>
        <v>1.5748031496062995E-2</v>
      </c>
      <c r="GL110" s="17">
        <f t="shared" si="185"/>
        <v>1.5748031496062995E-2</v>
      </c>
      <c r="GM110" s="216">
        <f t="shared" si="294"/>
        <v>4.8067836797609032E-3</v>
      </c>
      <c r="GN110" s="2">
        <f t="shared" si="187"/>
        <v>1</v>
      </c>
      <c r="GO110" s="2">
        <f t="shared" si="188"/>
        <v>2</v>
      </c>
      <c r="GP110" s="142">
        <f t="shared" si="189"/>
        <v>2</v>
      </c>
      <c r="GQ110" s="2">
        <f t="shared" si="190"/>
        <v>1.5748031496062995E-2</v>
      </c>
      <c r="GR110" s="8">
        <f t="shared" si="295"/>
        <v>5.0585551284254959E-2</v>
      </c>
      <c r="GS110" s="138">
        <f t="shared" si="191"/>
        <v>0.25</v>
      </c>
      <c r="GT110" s="12">
        <f t="shared" si="296"/>
        <v>4192.9967374652379</v>
      </c>
      <c r="GU110" s="138">
        <f t="shared" si="192"/>
        <v>0.25</v>
      </c>
      <c r="GV110" s="116">
        <f t="shared" si="193"/>
        <v>2175570</v>
      </c>
      <c r="GW110" s="2">
        <f t="shared" si="297"/>
        <v>1.5748031496062995E-2</v>
      </c>
      <c r="GX110" s="8">
        <f t="shared" si="298"/>
        <v>1.7716536000000001</v>
      </c>
      <c r="GY110" s="116">
        <f t="shared" si="194"/>
        <v>2610.6840000000002</v>
      </c>
      <c r="GZ110" s="217">
        <f t="shared" si="195"/>
        <v>5.1581879782642304</v>
      </c>
      <c r="HA110" s="207">
        <f t="shared" si="196"/>
        <v>2</v>
      </c>
      <c r="HB110" s="144">
        <f t="shared" si="197"/>
        <v>213779.0813285675</v>
      </c>
      <c r="HC110" s="138">
        <f t="shared" si="299"/>
        <v>0.25</v>
      </c>
      <c r="HD110" s="116">
        <f t="shared" si="198"/>
        <v>2175570</v>
      </c>
      <c r="HE110" s="2">
        <f t="shared" si="300"/>
        <v>1.5748031496062995E-2</v>
      </c>
      <c r="HF110" s="8">
        <f t="shared" si="199"/>
        <v>1.7716536000000001</v>
      </c>
      <c r="HG110" s="116">
        <f t="shared" si="200"/>
        <v>2610.6840000000002</v>
      </c>
      <c r="HH110" s="217">
        <f t="shared" si="201"/>
        <v>5.1581879782642304</v>
      </c>
      <c r="HI110" s="207">
        <f t="shared" si="202"/>
        <v>2</v>
      </c>
      <c r="HJ110" s="144">
        <f t="shared" si="203"/>
        <v>213779.0813285675</v>
      </c>
      <c r="HK110" s="138">
        <f t="shared" si="301"/>
        <v>0.25</v>
      </c>
      <c r="HL110" s="116">
        <f t="shared" si="204"/>
        <v>2175570</v>
      </c>
      <c r="HM110" s="2">
        <f t="shared" si="302"/>
        <v>1.5748031496062995E-2</v>
      </c>
      <c r="HN110" s="8">
        <f t="shared" si="205"/>
        <v>1.7716536000000001</v>
      </c>
      <c r="HO110" s="116">
        <f t="shared" si="206"/>
        <v>2610.6840000000002</v>
      </c>
      <c r="HP110" s="217">
        <f t="shared" si="207"/>
        <v>5.1581879782642304</v>
      </c>
      <c r="HQ110" s="207">
        <f t="shared" si="208"/>
        <v>2</v>
      </c>
      <c r="HR110" s="144">
        <f t="shared" si="209"/>
        <v>213779.0813285675</v>
      </c>
      <c r="HS110" s="128">
        <f t="shared" si="210"/>
        <v>0.25</v>
      </c>
      <c r="HT110" s="2">
        <f t="shared" si="211"/>
        <v>1.5748031496062995E-2</v>
      </c>
      <c r="HU110" s="127">
        <f t="shared" si="212"/>
        <v>1.5748031496062995E-2</v>
      </c>
      <c r="HV110" s="216">
        <f t="shared" si="213"/>
        <v>0</v>
      </c>
      <c r="HW110" s="138">
        <f t="shared" si="214"/>
        <v>0</v>
      </c>
      <c r="HX110" s="138">
        <f t="shared" si="215"/>
        <v>0.25</v>
      </c>
      <c r="HY110" s="238">
        <f t="shared" si="216"/>
        <v>0</v>
      </c>
      <c r="HZ110" s="138">
        <f t="shared" si="217"/>
        <v>0</v>
      </c>
      <c r="IA110" s="138">
        <f t="shared" si="218"/>
        <v>0</v>
      </c>
      <c r="IB110" s="138">
        <f t="shared" si="219"/>
        <v>0.25</v>
      </c>
      <c r="IC110" s="138">
        <f t="shared" si="220"/>
        <v>0</v>
      </c>
      <c r="ID110" s="216">
        <f t="shared" si="221"/>
        <v>0</v>
      </c>
      <c r="IE110" s="138">
        <f t="shared" si="222"/>
        <v>0</v>
      </c>
      <c r="IF110" s="138">
        <f t="shared" si="223"/>
        <v>1.5748031496062995E-2</v>
      </c>
      <c r="IG110" s="238">
        <f t="shared" si="224"/>
        <v>0</v>
      </c>
      <c r="IH110" s="138">
        <f t="shared" si="225"/>
        <v>0</v>
      </c>
      <c r="II110" s="138">
        <f t="shared" si="226"/>
        <v>0</v>
      </c>
      <c r="IJ110" s="138">
        <f t="shared" si="227"/>
        <v>1.5748031496062995E-2</v>
      </c>
      <c r="IK110" s="138">
        <f t="shared" si="228"/>
        <v>0</v>
      </c>
      <c r="IL110" s="216">
        <f t="shared" si="229"/>
        <v>0</v>
      </c>
      <c r="IM110" s="138">
        <f t="shared" si="230"/>
        <v>0</v>
      </c>
      <c r="IN110" s="138">
        <f t="shared" si="231"/>
        <v>1.5748031496062995E-2</v>
      </c>
      <c r="IO110" s="238">
        <f t="shared" si="232"/>
        <v>0</v>
      </c>
      <c r="IP110" s="138">
        <f t="shared" si="233"/>
        <v>0</v>
      </c>
      <c r="IQ110" s="138">
        <f t="shared" si="234"/>
        <v>0</v>
      </c>
      <c r="IR110" s="138">
        <f t="shared" si="235"/>
        <v>1.5748031496062995E-2</v>
      </c>
      <c r="IS110" s="138">
        <f t="shared" si="236"/>
        <v>0</v>
      </c>
      <c r="IT110" s="17">
        <f t="shared" si="237"/>
        <v>0.25</v>
      </c>
      <c r="IU110" s="17">
        <f t="shared" si="238"/>
        <v>1.5748031496062995E-2</v>
      </c>
      <c r="IV110" s="17">
        <f t="shared" si="239"/>
        <v>1.5748031496062995E-2</v>
      </c>
      <c r="IW110" s="253">
        <f t="shared" si="240"/>
        <v>9.8425200000000004</v>
      </c>
      <c r="IX110" s="116">
        <f t="shared" si="303"/>
        <v>133.89000662090248</v>
      </c>
      <c r="IY110" s="8">
        <f t="shared" si="242"/>
        <v>3.4617653637555972E-3</v>
      </c>
      <c r="IZ110" s="8">
        <f t="shared" si="243"/>
        <v>3.4617653637555972E-3</v>
      </c>
      <c r="JA110" s="8">
        <f t="shared" si="244"/>
        <v>1.7308826818777986E-3</v>
      </c>
      <c r="JB110" s="134">
        <f t="shared" si="245"/>
        <v>4.160387820717918E-2</v>
      </c>
      <c r="JC110" s="170">
        <f>MAX(JA$110:JA$119)</f>
        <v>1.7308826818777986E-3</v>
      </c>
      <c r="JD110" s="272">
        <f>MAX(JB$110:JB$119)</f>
        <v>4.160387820717918E-2</v>
      </c>
      <c r="JE110" s="8"/>
      <c r="JF110" s="8"/>
    </row>
    <row r="111" spans="1:266" x14ac:dyDescent="0.25">
      <c r="A111" s="186">
        <v>51</v>
      </c>
      <c r="B111" s="187">
        <f>A111/100*'Inputs-Imperial'!$E$5</f>
        <v>5.0196852000000005</v>
      </c>
      <c r="C111" s="188">
        <f>'Inputs-Imperial'!$E$10+('Inputs-Imperial'!$E$9-'Inputs-Imperial'!$E$10)*(100-A111)/100</f>
        <v>1.6305774799999999</v>
      </c>
      <c r="D111" s="187">
        <f t="shared" si="248"/>
        <v>9.8425200000000324E-2</v>
      </c>
      <c r="E111" s="188">
        <f t="shared" si="249"/>
        <v>0.16097429058424853</v>
      </c>
      <c r="F111" s="423">
        <f>Loads!P71</f>
        <v>48.168132164125474</v>
      </c>
      <c r="G111" s="423">
        <f>Loads!M71</f>
        <v>481.68132164125461</v>
      </c>
      <c r="H111" s="423">
        <f>Loads!N71</f>
        <v>1049.5192282488515</v>
      </c>
      <c r="I111" s="423">
        <f>Loads!V71</f>
        <v>-364.82978540900655</v>
      </c>
      <c r="J111" s="423">
        <f>Loads!Q71</f>
        <v>104.95192282488516</v>
      </c>
      <c r="K111" s="2">
        <v>51</v>
      </c>
      <c r="L111" s="12">
        <f t="shared" si="41"/>
        <v>60.236222400000003</v>
      </c>
      <c r="M111" s="11">
        <f t="shared" si="42"/>
        <v>19.566929760000001</v>
      </c>
      <c r="N111" s="11">
        <f t="shared" si="43"/>
        <v>1.1811024000000039</v>
      </c>
      <c r="O111" s="152">
        <f t="shared" si="44"/>
        <v>23.18029784413179</v>
      </c>
      <c r="P111" s="151">
        <f t="shared" si="45"/>
        <v>48.168132164125474</v>
      </c>
      <c r="Q111" s="12">
        <f t="shared" si="46"/>
        <v>481.68132164125461</v>
      </c>
      <c r="R111" s="12">
        <f t="shared" si="47"/>
        <v>12594.230738986218</v>
      </c>
      <c r="S111" s="12">
        <f t="shared" si="48"/>
        <v>-4377.9574249080788</v>
      </c>
      <c r="T111" s="152">
        <f t="shared" si="49"/>
        <v>1259.4230738986219</v>
      </c>
      <c r="U111" s="8">
        <f t="shared" si="261"/>
        <v>3.5220473567999999</v>
      </c>
      <c r="V111" s="8">
        <f t="shared" si="262"/>
        <v>3.5220473567999999</v>
      </c>
      <c r="W111" s="134">
        <f t="shared" si="263"/>
        <v>1.7610236784</v>
      </c>
      <c r="X111" s="311">
        <f t="shared" si="264"/>
        <v>4.8917324400000002</v>
      </c>
      <c r="Y111" s="11">
        <f t="shared" si="265"/>
        <v>14.675197320000001</v>
      </c>
      <c r="Z111" s="11">
        <f t="shared" si="266"/>
        <v>9.7834648800000004</v>
      </c>
      <c r="AA111" s="316">
        <f t="shared" si="50"/>
        <v>14.675197320000001</v>
      </c>
      <c r="AB111" s="170">
        <f t="shared" si="51"/>
        <v>2.6415355175999999</v>
      </c>
      <c r="AC111" s="11">
        <f t="shared" si="52"/>
        <v>14.675197320000001</v>
      </c>
      <c r="AD111" s="152">
        <f t="shared" si="53"/>
        <v>30.44600296060673</v>
      </c>
      <c r="AE111" s="151">
        <f t="shared" si="267"/>
        <v>3.2822817379415974</v>
      </c>
      <c r="AF111" s="12">
        <f t="shared" si="268"/>
        <v>71.89708006290023</v>
      </c>
      <c r="AG111" s="216">
        <f t="shared" si="269"/>
        <v>4.9254387508440821E-3</v>
      </c>
      <c r="AH111" s="2">
        <f t="shared" si="55"/>
        <v>1</v>
      </c>
      <c r="AI111" s="2">
        <f t="shared" si="56"/>
        <v>3</v>
      </c>
      <c r="AJ111" s="127">
        <f t="shared" si="57"/>
        <v>2</v>
      </c>
      <c r="AK111" s="2">
        <f t="shared" si="58"/>
        <v>1.5748031496062995E-2</v>
      </c>
      <c r="AL111" s="8">
        <f t="shared" si="270"/>
        <v>5.1834251576029618E-2</v>
      </c>
      <c r="AM111" s="138">
        <f t="shared" si="59"/>
        <v>0.25</v>
      </c>
      <c r="AN111" s="12">
        <f t="shared" si="271"/>
        <v>4296.5005269181102</v>
      </c>
      <c r="AO111" s="138">
        <f t="shared" si="60"/>
        <v>0.25</v>
      </c>
      <c r="AP111" s="116">
        <f t="shared" si="61"/>
        <v>2175570</v>
      </c>
      <c r="AQ111" s="2">
        <f t="shared" si="62"/>
        <v>1.5748031496062995E-2</v>
      </c>
      <c r="AR111" s="8">
        <f t="shared" si="63"/>
        <v>9.7834648800000004</v>
      </c>
      <c r="AS111" s="116">
        <f t="shared" si="64"/>
        <v>2610.6840000000002</v>
      </c>
      <c r="AT111" s="217">
        <f t="shared" si="65"/>
        <v>0.16914898900015898</v>
      </c>
      <c r="AU111" s="207">
        <f t="shared" si="66"/>
        <v>3.3002755220078255</v>
      </c>
      <c r="AV111" s="144">
        <f t="shared" si="67"/>
        <v>11567.983232858986</v>
      </c>
      <c r="AW111" s="138">
        <f t="shared" si="68"/>
        <v>0.25</v>
      </c>
      <c r="AX111" s="116">
        <f t="shared" si="69"/>
        <v>2175570</v>
      </c>
      <c r="AY111" s="2">
        <f t="shared" si="70"/>
        <v>1.5748031496062995E-2</v>
      </c>
      <c r="AZ111" s="8">
        <f t="shared" si="71"/>
        <v>9.7834648800000004</v>
      </c>
      <c r="BA111" s="116">
        <f t="shared" si="72"/>
        <v>2610.6840000000002</v>
      </c>
      <c r="BB111" s="217">
        <f t="shared" si="73"/>
        <v>0.16914898900015898</v>
      </c>
      <c r="BC111" s="207">
        <f t="shared" si="74"/>
        <v>3.3002755220078255</v>
      </c>
      <c r="BD111" s="144">
        <f t="shared" si="75"/>
        <v>11567.983232858986</v>
      </c>
      <c r="BE111" s="138">
        <f t="shared" si="76"/>
        <v>0.25</v>
      </c>
      <c r="BF111" s="116">
        <f t="shared" si="77"/>
        <v>2175570</v>
      </c>
      <c r="BG111" s="2">
        <f t="shared" si="78"/>
        <v>1.5748031496062995E-2</v>
      </c>
      <c r="BH111" s="8">
        <f t="shared" si="79"/>
        <v>9.7834648800000004</v>
      </c>
      <c r="BI111" s="116">
        <f t="shared" si="80"/>
        <v>2610.6840000000002</v>
      </c>
      <c r="BJ111" s="217">
        <f t="shared" si="81"/>
        <v>0.16914898900015898</v>
      </c>
      <c r="BK111" s="207">
        <f t="shared" si="82"/>
        <v>3.3002755220078255</v>
      </c>
      <c r="BL111" s="144">
        <f t="shared" si="83"/>
        <v>11567.983232858986</v>
      </c>
      <c r="BM111" s="216">
        <f t="shared" si="84"/>
        <v>0.25</v>
      </c>
      <c r="BN111" s="216">
        <f t="shared" si="85"/>
        <v>2.3622047244094495E-2</v>
      </c>
      <c r="BO111" s="238">
        <f t="shared" si="86"/>
        <v>1.5748031496062995E-2</v>
      </c>
      <c r="BP111" s="216">
        <f t="shared" si="87"/>
        <v>0</v>
      </c>
      <c r="BQ111" s="138">
        <f t="shared" si="88"/>
        <v>0</v>
      </c>
      <c r="BR111" s="138">
        <f t="shared" si="89"/>
        <v>0.25</v>
      </c>
      <c r="BS111" s="238">
        <f t="shared" si="90"/>
        <v>0</v>
      </c>
      <c r="BT111" s="138">
        <f t="shared" si="91"/>
        <v>0</v>
      </c>
      <c r="BU111" s="138">
        <f t="shared" si="92"/>
        <v>0</v>
      </c>
      <c r="BV111" s="138">
        <f t="shared" si="93"/>
        <v>0.25</v>
      </c>
      <c r="BW111" s="238">
        <f t="shared" si="94"/>
        <v>0</v>
      </c>
      <c r="BX111" s="216">
        <f t="shared" si="95"/>
        <v>0</v>
      </c>
      <c r="BY111" s="138">
        <f t="shared" si="96"/>
        <v>0</v>
      </c>
      <c r="BZ111" s="138">
        <f t="shared" si="97"/>
        <v>2.3622047244094495E-2</v>
      </c>
      <c r="CA111" s="238">
        <f t="shared" si="98"/>
        <v>0</v>
      </c>
      <c r="CB111" s="138">
        <f t="shared" si="99"/>
        <v>0</v>
      </c>
      <c r="CC111" s="138">
        <f t="shared" si="100"/>
        <v>0</v>
      </c>
      <c r="CD111" s="138">
        <f t="shared" si="101"/>
        <v>2.3622047244094495E-2</v>
      </c>
      <c r="CE111" s="238">
        <f t="shared" si="102"/>
        <v>0</v>
      </c>
      <c r="CF111" s="216">
        <f t="shared" si="103"/>
        <v>0</v>
      </c>
      <c r="CG111" s="138">
        <f t="shared" si="104"/>
        <v>0</v>
      </c>
      <c r="CH111" s="138">
        <f t="shared" si="105"/>
        <v>1.5748031496062995E-2</v>
      </c>
      <c r="CI111" s="238">
        <f t="shared" si="106"/>
        <v>0</v>
      </c>
      <c r="CJ111" s="138">
        <f t="shared" si="107"/>
        <v>0</v>
      </c>
      <c r="CK111" s="138">
        <f t="shared" si="108"/>
        <v>0</v>
      </c>
      <c r="CL111" s="138">
        <f t="shared" si="109"/>
        <v>1.5748031496062995E-2</v>
      </c>
      <c r="CM111" s="238">
        <f t="shared" si="110"/>
        <v>0</v>
      </c>
      <c r="CN111" s="17">
        <f t="shared" si="111"/>
        <v>0.25</v>
      </c>
      <c r="CO111" s="17">
        <f t="shared" si="112"/>
        <v>2.3622047244094495E-2</v>
      </c>
      <c r="CP111" s="17">
        <f t="shared" si="113"/>
        <v>1.5748031496062995E-2</v>
      </c>
      <c r="CQ111" s="17">
        <f>$U111-IF('Inputs-Imperial'!$E$13,0,2)*($CO111+$CN111+$CP111)</f>
        <v>3.5220473567999999</v>
      </c>
      <c r="CR111" s="116">
        <f t="shared" si="114"/>
        <v>3575.8266323905605</v>
      </c>
      <c r="CS111" s="8">
        <f t="shared" si="10"/>
        <v>9.2454045639519297E-2</v>
      </c>
      <c r="CT111" s="8">
        <f t="shared" si="115"/>
        <v>0.30406256862612879</v>
      </c>
      <c r="CU111" s="8">
        <f t="shared" si="272"/>
        <v>9.2454045639519297E-2</v>
      </c>
      <c r="CV111" s="8">
        <f t="shared" si="116"/>
        <v>0.30406256862612879</v>
      </c>
      <c r="CW111" s="216">
        <f t="shared" si="117"/>
        <v>3.2179847881738715</v>
      </c>
      <c r="CX111" s="116">
        <f t="shared" si="118"/>
        <v>3913.7011415560914</v>
      </c>
      <c r="CY111" s="8">
        <f t="shared" si="119"/>
        <v>0.10118989010352696</v>
      </c>
      <c r="CZ111" s="8">
        <f t="shared" si="120"/>
        <v>0.31810358392122362</v>
      </c>
      <c r="DA111" s="8">
        <f t="shared" si="121"/>
        <v>0.10118989010352696</v>
      </c>
      <c r="DB111" s="8">
        <f t="shared" si="122"/>
        <v>0.31810358392122362</v>
      </c>
      <c r="DC111" s="216">
        <f t="shared" si="123"/>
        <v>3.2039437728787767</v>
      </c>
      <c r="DD111" s="116">
        <f t="shared" si="124"/>
        <v>3930.8526090862611</v>
      </c>
      <c r="DE111" s="8">
        <f t="shared" si="125"/>
        <v>0.10163334632353919</v>
      </c>
      <c r="DF111" s="8">
        <f t="shared" si="126"/>
        <v>0.31879985307954456</v>
      </c>
      <c r="DG111" s="8">
        <f t="shared" si="127"/>
        <v>0.10163334632353919</v>
      </c>
      <c r="DH111" s="8">
        <f t="shared" si="128"/>
        <v>0.31879985307954456</v>
      </c>
      <c r="DI111" s="216">
        <f t="shared" si="129"/>
        <v>3.2032475037204557</v>
      </c>
      <c r="DJ111" s="116">
        <f t="shared" si="130"/>
        <v>3931.707033052699</v>
      </c>
      <c r="DK111" s="8">
        <f t="shared" si="131"/>
        <v>0.10165543770561936</v>
      </c>
      <c r="DL111" s="8">
        <f t="shared" si="132"/>
        <v>0.31883449892635418</v>
      </c>
      <c r="DM111" s="8">
        <f t="shared" si="133"/>
        <v>0.10165543770561936</v>
      </c>
      <c r="DN111" s="8">
        <f t="shared" si="134"/>
        <v>0.31883449892635418</v>
      </c>
      <c r="DO111" s="216">
        <f t="shared" si="135"/>
        <v>3.2032128578736456</v>
      </c>
      <c r="DP111" s="116">
        <f t="shared" si="136"/>
        <v>3931.7495582689785</v>
      </c>
      <c r="DQ111" s="170">
        <f t="shared" si="137"/>
        <v>0.10165653720755022</v>
      </c>
      <c r="DR111" s="8">
        <f t="shared" si="138"/>
        <v>0.31883622317351307</v>
      </c>
      <c r="DS111" s="8">
        <f t="shared" si="139"/>
        <v>0.10165653720755022</v>
      </c>
      <c r="DT111" s="134">
        <f t="shared" si="140"/>
        <v>0.31883622317351307</v>
      </c>
      <c r="DU111" s="170">
        <f t="shared" ref="DU111:DX119" si="307">MAX(DQ$110:DQ$119)</f>
        <v>0.10588389379166488</v>
      </c>
      <c r="DV111" s="170">
        <f t="shared" si="307"/>
        <v>0.32539805437596714</v>
      </c>
      <c r="DW111" s="170">
        <f t="shared" si="307"/>
        <v>0.10588389379166488</v>
      </c>
      <c r="DX111" s="272">
        <f t="shared" si="307"/>
        <v>0.32539805437596714</v>
      </c>
      <c r="DY111" s="272">
        <f t="shared" si="142"/>
        <v>2.8712512480480656</v>
      </c>
      <c r="DZ111" s="22">
        <f t="shared" si="273"/>
        <v>136.76173908089987</v>
      </c>
      <c r="EA111" s="216">
        <f t="shared" si="274"/>
        <v>8.9600596914664009E-3</v>
      </c>
      <c r="EB111" s="12">
        <f t="shared" si="143"/>
        <v>2</v>
      </c>
      <c r="EC111" s="7">
        <f>ROUND(MAX(DV111,DX111)/'Inputs-Imperial'!$E$21,0)</f>
        <v>3</v>
      </c>
      <c r="ED111" s="12">
        <f t="shared" si="144"/>
        <v>3</v>
      </c>
      <c r="EE111" s="2">
        <f t="shared" si="145"/>
        <v>2</v>
      </c>
      <c r="EF111" s="127">
        <f t="shared" si="146"/>
        <v>2</v>
      </c>
      <c r="EG111" s="2">
        <f t="shared" si="147"/>
        <v>1.5748031496062995E-2</v>
      </c>
      <c r="EH111" s="8">
        <f t="shared" si="275"/>
        <v>9.4293729285359604E-2</v>
      </c>
      <c r="EI111" s="138">
        <f t="shared" si="148"/>
        <v>0.25</v>
      </c>
      <c r="EJ111" s="12">
        <f t="shared" si="276"/>
        <v>7815.9333884734269</v>
      </c>
      <c r="EK111" s="138">
        <f t="shared" si="149"/>
        <v>0.25</v>
      </c>
      <c r="EL111" s="116">
        <f t="shared" si="150"/>
        <v>2175570</v>
      </c>
      <c r="EM111" s="2">
        <f t="shared" si="277"/>
        <v>1.5748031496062995E-2</v>
      </c>
      <c r="EN111" s="8">
        <f t="shared" si="151"/>
        <v>3.5220473567999999</v>
      </c>
      <c r="EO111" s="116">
        <f t="shared" si="152"/>
        <v>2610.6840000000002</v>
      </c>
      <c r="EP111" s="217">
        <f t="shared" si="153"/>
        <v>1.3051619521617206</v>
      </c>
      <c r="EQ111" s="207">
        <f t="shared" si="154"/>
        <v>2</v>
      </c>
      <c r="ER111" s="144">
        <f t="shared" si="155"/>
        <v>54091.926136438226</v>
      </c>
      <c r="ES111" s="138">
        <f t="shared" si="278"/>
        <v>0.25</v>
      </c>
      <c r="ET111" s="116">
        <f t="shared" si="156"/>
        <v>2175570</v>
      </c>
      <c r="EU111" s="2">
        <f t="shared" si="279"/>
        <v>1.5748031496062995E-2</v>
      </c>
      <c r="EV111" s="8">
        <f t="shared" si="157"/>
        <v>3.5220473567999999</v>
      </c>
      <c r="EW111" s="116">
        <f t="shared" si="158"/>
        <v>2610.6840000000002</v>
      </c>
      <c r="EX111" s="217">
        <f t="shared" si="159"/>
        <v>1.3051619521617206</v>
      </c>
      <c r="EY111" s="207">
        <f t="shared" si="160"/>
        <v>2</v>
      </c>
      <c r="EZ111" s="144">
        <f t="shared" si="161"/>
        <v>54091.926136438226</v>
      </c>
      <c r="FA111" s="138">
        <f t="shared" si="280"/>
        <v>0.25</v>
      </c>
      <c r="FB111" s="116">
        <f t="shared" si="162"/>
        <v>2175570</v>
      </c>
      <c r="FC111" s="2">
        <f t="shared" si="281"/>
        <v>1.5748031496062995E-2</v>
      </c>
      <c r="FD111" s="8">
        <f t="shared" si="163"/>
        <v>3.5220473567999999</v>
      </c>
      <c r="FE111" s="116">
        <f t="shared" si="164"/>
        <v>2610.6840000000002</v>
      </c>
      <c r="FF111" s="217">
        <f t="shared" si="165"/>
        <v>1.3051619521617206</v>
      </c>
      <c r="FG111" s="207">
        <f t="shared" si="166"/>
        <v>2</v>
      </c>
      <c r="FH111" s="144">
        <f t="shared" si="167"/>
        <v>54091.926136438226</v>
      </c>
      <c r="FI111" s="128">
        <f t="shared" si="168"/>
        <v>0.25</v>
      </c>
      <c r="FJ111" s="2">
        <f t="shared" si="169"/>
        <v>1.5748031496062995E-2</v>
      </c>
      <c r="FK111" s="127">
        <f t="shared" si="170"/>
        <v>1.5748031496062995E-2</v>
      </c>
      <c r="FL111" s="216">
        <f t="shared" si="171"/>
        <v>0</v>
      </c>
      <c r="FM111" s="138">
        <f t="shared" si="172"/>
        <v>0</v>
      </c>
      <c r="FN111" s="138">
        <f t="shared" si="173"/>
        <v>0.25</v>
      </c>
      <c r="FO111" s="238">
        <f t="shared" si="174"/>
        <v>0</v>
      </c>
      <c r="FP111" s="216">
        <f t="shared" si="282"/>
        <v>0</v>
      </c>
      <c r="FQ111" s="138">
        <f t="shared" si="283"/>
        <v>0</v>
      </c>
      <c r="FR111" s="138">
        <f t="shared" si="284"/>
        <v>0.25</v>
      </c>
      <c r="FS111" s="238">
        <f t="shared" si="285"/>
        <v>0</v>
      </c>
      <c r="FT111" s="216">
        <f t="shared" si="175"/>
        <v>0</v>
      </c>
      <c r="FU111" s="138">
        <f t="shared" si="176"/>
        <v>0</v>
      </c>
      <c r="FV111" s="138">
        <f t="shared" si="177"/>
        <v>1.5748031496062995E-2</v>
      </c>
      <c r="FW111" s="238">
        <f t="shared" si="178"/>
        <v>0</v>
      </c>
      <c r="FX111" s="216">
        <f t="shared" si="286"/>
        <v>0</v>
      </c>
      <c r="FY111" s="138">
        <f t="shared" si="287"/>
        <v>0</v>
      </c>
      <c r="FZ111" s="138">
        <f t="shared" si="288"/>
        <v>1.5748031496062995E-2</v>
      </c>
      <c r="GA111" s="238">
        <f t="shared" si="289"/>
        <v>0</v>
      </c>
      <c r="GB111" s="216">
        <f t="shared" si="179"/>
        <v>0</v>
      </c>
      <c r="GC111" s="138">
        <f t="shared" si="180"/>
        <v>0</v>
      </c>
      <c r="GD111" s="138">
        <f t="shared" si="181"/>
        <v>1.5748031496062995E-2</v>
      </c>
      <c r="GE111" s="238">
        <f t="shared" si="182"/>
        <v>0</v>
      </c>
      <c r="GF111" s="216">
        <f t="shared" si="290"/>
        <v>0</v>
      </c>
      <c r="GG111" s="138">
        <f t="shared" si="291"/>
        <v>0</v>
      </c>
      <c r="GH111" s="138">
        <f t="shared" si="292"/>
        <v>1.5748031496062995E-2</v>
      </c>
      <c r="GI111" s="238">
        <f t="shared" si="293"/>
        <v>0</v>
      </c>
      <c r="GJ111" s="216">
        <f t="shared" si="183"/>
        <v>0.25</v>
      </c>
      <c r="GK111" s="216">
        <f t="shared" si="184"/>
        <v>1.5748031496062995E-2</v>
      </c>
      <c r="GL111" s="17">
        <f t="shared" si="185"/>
        <v>1.5748031496062995E-2</v>
      </c>
      <c r="GM111" s="216">
        <f t="shared" si="294"/>
        <v>4.710397318248888E-3</v>
      </c>
      <c r="GN111" s="2">
        <f t="shared" si="187"/>
        <v>1</v>
      </c>
      <c r="GO111" s="2">
        <f t="shared" si="188"/>
        <v>2</v>
      </c>
      <c r="GP111" s="142">
        <f t="shared" si="189"/>
        <v>2</v>
      </c>
      <c r="GQ111" s="2">
        <f t="shared" si="190"/>
        <v>1.5748031496062995E-2</v>
      </c>
      <c r="GR111" s="8">
        <f t="shared" si="295"/>
        <v>4.9571202073180977E-2</v>
      </c>
      <c r="GS111" s="138">
        <f t="shared" si="191"/>
        <v>0.25</v>
      </c>
      <c r="GT111" s="12">
        <f t="shared" si="296"/>
        <v>4108.9181255947478</v>
      </c>
      <c r="GU111" s="138">
        <f t="shared" si="192"/>
        <v>0.25</v>
      </c>
      <c r="GV111" s="116">
        <f t="shared" si="193"/>
        <v>2175570</v>
      </c>
      <c r="GW111" s="2">
        <f t="shared" si="297"/>
        <v>1.5748031496062995E-2</v>
      </c>
      <c r="GX111" s="8">
        <f t="shared" si="298"/>
        <v>1.7610236784</v>
      </c>
      <c r="GY111" s="116">
        <f t="shared" si="194"/>
        <v>2610.6840000000002</v>
      </c>
      <c r="GZ111" s="217">
        <f t="shared" si="195"/>
        <v>5.2206478086468824</v>
      </c>
      <c r="HA111" s="207">
        <f t="shared" si="196"/>
        <v>2</v>
      </c>
      <c r="HB111" s="144">
        <f t="shared" si="197"/>
        <v>216367.7045457529</v>
      </c>
      <c r="HC111" s="138">
        <f t="shared" si="299"/>
        <v>0.25</v>
      </c>
      <c r="HD111" s="116">
        <f t="shared" si="198"/>
        <v>2175570</v>
      </c>
      <c r="HE111" s="2">
        <f t="shared" si="300"/>
        <v>1.5748031496062995E-2</v>
      </c>
      <c r="HF111" s="8">
        <f t="shared" si="199"/>
        <v>1.7610236784</v>
      </c>
      <c r="HG111" s="116">
        <f t="shared" si="200"/>
        <v>2610.6840000000002</v>
      </c>
      <c r="HH111" s="217">
        <f t="shared" si="201"/>
        <v>5.2206478086468824</v>
      </c>
      <c r="HI111" s="207">
        <f t="shared" si="202"/>
        <v>2</v>
      </c>
      <c r="HJ111" s="144">
        <f t="shared" si="203"/>
        <v>216367.7045457529</v>
      </c>
      <c r="HK111" s="138">
        <f t="shared" si="301"/>
        <v>0.25</v>
      </c>
      <c r="HL111" s="116">
        <f t="shared" si="204"/>
        <v>2175570</v>
      </c>
      <c r="HM111" s="2">
        <f t="shared" si="302"/>
        <v>1.5748031496062995E-2</v>
      </c>
      <c r="HN111" s="8">
        <f t="shared" si="205"/>
        <v>1.7610236784</v>
      </c>
      <c r="HO111" s="116">
        <f t="shared" si="206"/>
        <v>2610.6840000000002</v>
      </c>
      <c r="HP111" s="217">
        <f t="shared" si="207"/>
        <v>5.2206478086468824</v>
      </c>
      <c r="HQ111" s="207">
        <f t="shared" si="208"/>
        <v>2</v>
      </c>
      <c r="HR111" s="144">
        <f t="shared" si="209"/>
        <v>216367.7045457529</v>
      </c>
      <c r="HS111" s="128">
        <f t="shared" si="210"/>
        <v>0.25</v>
      </c>
      <c r="HT111" s="2">
        <f t="shared" si="211"/>
        <v>1.5748031496062995E-2</v>
      </c>
      <c r="HU111" s="127">
        <f t="shared" si="212"/>
        <v>1.5748031496062995E-2</v>
      </c>
      <c r="HV111" s="216">
        <f t="shared" si="213"/>
        <v>0</v>
      </c>
      <c r="HW111" s="138">
        <f t="shared" si="214"/>
        <v>0</v>
      </c>
      <c r="HX111" s="138">
        <f t="shared" si="215"/>
        <v>0.25</v>
      </c>
      <c r="HY111" s="238">
        <f t="shared" si="216"/>
        <v>0</v>
      </c>
      <c r="HZ111" s="138">
        <f t="shared" si="217"/>
        <v>0</v>
      </c>
      <c r="IA111" s="138">
        <f t="shared" si="218"/>
        <v>0</v>
      </c>
      <c r="IB111" s="138">
        <f t="shared" si="219"/>
        <v>0.25</v>
      </c>
      <c r="IC111" s="138">
        <f t="shared" si="220"/>
        <v>0</v>
      </c>
      <c r="ID111" s="216">
        <f t="shared" si="221"/>
        <v>0</v>
      </c>
      <c r="IE111" s="138">
        <f t="shared" si="222"/>
        <v>0</v>
      </c>
      <c r="IF111" s="138">
        <f t="shared" si="223"/>
        <v>1.5748031496062995E-2</v>
      </c>
      <c r="IG111" s="238">
        <f t="shared" si="224"/>
        <v>0</v>
      </c>
      <c r="IH111" s="138">
        <f t="shared" si="225"/>
        <v>0</v>
      </c>
      <c r="II111" s="138">
        <f t="shared" si="226"/>
        <v>0</v>
      </c>
      <c r="IJ111" s="138">
        <f t="shared" si="227"/>
        <v>1.5748031496062995E-2</v>
      </c>
      <c r="IK111" s="138">
        <f t="shared" si="228"/>
        <v>0</v>
      </c>
      <c r="IL111" s="216">
        <f t="shared" si="229"/>
        <v>0</v>
      </c>
      <c r="IM111" s="138">
        <f t="shared" si="230"/>
        <v>0</v>
      </c>
      <c r="IN111" s="138">
        <f t="shared" si="231"/>
        <v>1.5748031496062995E-2</v>
      </c>
      <c r="IO111" s="238">
        <f t="shared" si="232"/>
        <v>0</v>
      </c>
      <c r="IP111" s="138">
        <f t="shared" si="233"/>
        <v>0</v>
      </c>
      <c r="IQ111" s="138">
        <f t="shared" si="234"/>
        <v>0</v>
      </c>
      <c r="IR111" s="138">
        <f t="shared" si="235"/>
        <v>1.5748031496062995E-2</v>
      </c>
      <c r="IS111" s="138">
        <f t="shared" si="236"/>
        <v>0</v>
      </c>
      <c r="IT111" s="17">
        <f t="shared" si="237"/>
        <v>0.25</v>
      </c>
      <c r="IU111" s="17">
        <f t="shared" si="238"/>
        <v>1.5748031496062995E-2</v>
      </c>
      <c r="IV111" s="17">
        <f t="shared" si="239"/>
        <v>1.5748031496062995E-2</v>
      </c>
      <c r="IW111" s="253">
        <f t="shared" si="240"/>
        <v>9.7834648800000004</v>
      </c>
      <c r="IX111" s="116">
        <f t="shared" si="303"/>
        <v>128.72975876606017</v>
      </c>
      <c r="IY111" s="8">
        <f t="shared" si="242"/>
        <v>3.3283456430226949E-3</v>
      </c>
      <c r="IZ111" s="8">
        <f t="shared" si="243"/>
        <v>3.3283456430226949E-3</v>
      </c>
      <c r="JA111" s="8">
        <f t="shared" si="244"/>
        <v>1.6641728215113475E-3</v>
      </c>
      <c r="JB111" s="134">
        <f t="shared" si="245"/>
        <v>4.0794274371673135E-2</v>
      </c>
      <c r="JC111" s="170">
        <f t="shared" ref="JC111:JC119" si="308">MAX(JA$110:JA$119)</f>
        <v>1.7308826818777986E-3</v>
      </c>
      <c r="JD111" s="272">
        <f t="shared" ref="JD111:JD119" si="309">MAX(JB$110:JB$119)</f>
        <v>4.160387820717918E-2</v>
      </c>
      <c r="JE111" s="8"/>
      <c r="JF111" s="8"/>
    </row>
    <row r="112" spans="1:266" x14ac:dyDescent="0.25">
      <c r="A112" s="186">
        <v>52</v>
      </c>
      <c r="B112" s="187">
        <f>A112/100*'Inputs-Imperial'!$E$5</f>
        <v>5.1181103999999999</v>
      </c>
      <c r="C112" s="188">
        <f>'Inputs-Imperial'!$E$10+('Inputs-Imperial'!$E$9-'Inputs-Imperial'!$E$10)*(100-A112)/100</f>
        <v>1.6207349600000001</v>
      </c>
      <c r="D112" s="187">
        <f t="shared" si="248"/>
        <v>9.8425199999999435E-2</v>
      </c>
      <c r="E112" s="188">
        <f t="shared" si="249"/>
        <v>0.16000553858474309</v>
      </c>
      <c r="F112" s="423">
        <f>Loads!P72</f>
        <v>46.905923938847103</v>
      </c>
      <c r="G112" s="423">
        <f>Loads!M72</f>
        <v>469.05923938847093</v>
      </c>
      <c r="H112" s="423">
        <f>Loads!N72</f>
        <v>1002.109647830047</v>
      </c>
      <c r="I112" s="423">
        <f>Loads!V72</f>
        <v>-353.01152150186863</v>
      </c>
      <c r="J112" s="423">
        <f>Loads!Q72</f>
        <v>100.2109647830047</v>
      </c>
      <c r="K112" s="2">
        <v>52</v>
      </c>
      <c r="L112" s="12">
        <f t="shared" si="41"/>
        <v>61.417324800000003</v>
      </c>
      <c r="M112" s="11">
        <f t="shared" si="42"/>
        <v>19.448819520000001</v>
      </c>
      <c r="N112" s="11">
        <f t="shared" si="43"/>
        <v>1.1811023999999932</v>
      </c>
      <c r="O112" s="152">
        <f t="shared" si="44"/>
        <v>23.040797556203003</v>
      </c>
      <c r="P112" s="151">
        <f t="shared" si="45"/>
        <v>46.905923938847103</v>
      </c>
      <c r="Q112" s="12">
        <f t="shared" si="46"/>
        <v>469.05923938847093</v>
      </c>
      <c r="R112" s="12">
        <f t="shared" si="47"/>
        <v>12025.315773960565</v>
      </c>
      <c r="S112" s="12">
        <f t="shared" si="48"/>
        <v>-4236.1382580224235</v>
      </c>
      <c r="T112" s="152">
        <f t="shared" si="49"/>
        <v>1202.5315773960565</v>
      </c>
      <c r="U112" s="8">
        <f t="shared" si="261"/>
        <v>3.5007875136000002</v>
      </c>
      <c r="V112" s="8">
        <f t="shared" si="262"/>
        <v>3.5007875136000002</v>
      </c>
      <c r="W112" s="134">
        <f t="shared" si="263"/>
        <v>1.7503937568000001</v>
      </c>
      <c r="X112" s="311">
        <f t="shared" si="264"/>
        <v>4.8622048800000002</v>
      </c>
      <c r="Y112" s="11">
        <f t="shared" si="265"/>
        <v>14.586614640000001</v>
      </c>
      <c r="Z112" s="11">
        <f t="shared" si="266"/>
        <v>9.7244097600000003</v>
      </c>
      <c r="AA112" s="316">
        <f t="shared" si="50"/>
        <v>14.586614640000001</v>
      </c>
      <c r="AB112" s="170">
        <f t="shared" si="51"/>
        <v>2.6255906352</v>
      </c>
      <c r="AC112" s="11">
        <f t="shared" si="52"/>
        <v>14.586614640000001</v>
      </c>
      <c r="AD112" s="152">
        <f t="shared" si="53"/>
        <v>30.079554908908683</v>
      </c>
      <c r="AE112" s="151">
        <f t="shared" si="267"/>
        <v>3.2156826718531244</v>
      </c>
      <c r="AF112" s="12">
        <f t="shared" si="268"/>
        <v>70.415574147471901</v>
      </c>
      <c r="AG112" s="216">
        <f t="shared" si="269"/>
        <v>4.8240133585065242E-3</v>
      </c>
      <c r="AH112" s="2">
        <f t="shared" si="55"/>
        <v>1</v>
      </c>
      <c r="AI112" s="2">
        <f t="shared" si="56"/>
        <v>3</v>
      </c>
      <c r="AJ112" s="127">
        <f t="shared" si="57"/>
        <v>2</v>
      </c>
      <c r="AK112" s="2">
        <f t="shared" si="58"/>
        <v>1.5748031496062995E-2</v>
      </c>
      <c r="AL112" s="8">
        <f t="shared" si="270"/>
        <v>5.0766872694966166E-2</v>
      </c>
      <c r="AM112" s="138">
        <f t="shared" si="59"/>
        <v>0.25</v>
      </c>
      <c r="AN112" s="12">
        <f t="shared" si="271"/>
        <v>4208.0263272244247</v>
      </c>
      <c r="AO112" s="138">
        <f t="shared" si="60"/>
        <v>0.25</v>
      </c>
      <c r="AP112" s="116">
        <f t="shared" si="61"/>
        <v>2175570</v>
      </c>
      <c r="AQ112" s="2">
        <f t="shared" si="62"/>
        <v>1.5748031496062995E-2</v>
      </c>
      <c r="AR112" s="8">
        <f t="shared" si="63"/>
        <v>9.7244097600000003</v>
      </c>
      <c r="AS112" s="116">
        <f t="shared" si="64"/>
        <v>2610.6840000000002</v>
      </c>
      <c r="AT112" s="217">
        <f t="shared" si="65"/>
        <v>0.17120966834377005</v>
      </c>
      <c r="AU112" s="207">
        <f t="shared" si="66"/>
        <v>3.285879181109808</v>
      </c>
      <c r="AV112" s="144">
        <f t="shared" si="67"/>
        <v>11657.835493173128</v>
      </c>
      <c r="AW112" s="138">
        <f t="shared" si="68"/>
        <v>0.25</v>
      </c>
      <c r="AX112" s="116">
        <f t="shared" si="69"/>
        <v>2175570</v>
      </c>
      <c r="AY112" s="2">
        <f t="shared" si="70"/>
        <v>1.5748031496062995E-2</v>
      </c>
      <c r="AZ112" s="8">
        <f t="shared" si="71"/>
        <v>9.7244097600000003</v>
      </c>
      <c r="BA112" s="116">
        <f t="shared" si="72"/>
        <v>2610.6840000000002</v>
      </c>
      <c r="BB112" s="217">
        <f t="shared" si="73"/>
        <v>0.17120966834377005</v>
      </c>
      <c r="BC112" s="207">
        <f t="shared" si="74"/>
        <v>3.285879181109808</v>
      </c>
      <c r="BD112" s="144">
        <f t="shared" si="75"/>
        <v>11657.835493173128</v>
      </c>
      <c r="BE112" s="138">
        <f t="shared" si="76"/>
        <v>0.25</v>
      </c>
      <c r="BF112" s="116">
        <f t="shared" si="77"/>
        <v>2175570</v>
      </c>
      <c r="BG112" s="2">
        <f t="shared" si="78"/>
        <v>1.5748031496062995E-2</v>
      </c>
      <c r="BH112" s="8">
        <f t="shared" si="79"/>
        <v>9.7244097600000003</v>
      </c>
      <c r="BI112" s="116">
        <f t="shared" si="80"/>
        <v>2610.6840000000002</v>
      </c>
      <c r="BJ112" s="217">
        <f t="shared" si="81"/>
        <v>0.17120966834377005</v>
      </c>
      <c r="BK112" s="207">
        <f t="shared" si="82"/>
        <v>3.285879181109808</v>
      </c>
      <c r="BL112" s="144">
        <f t="shared" si="83"/>
        <v>11657.835493173128</v>
      </c>
      <c r="BM112" s="216">
        <f t="shared" si="84"/>
        <v>0.25</v>
      </c>
      <c r="BN112" s="216">
        <f t="shared" si="85"/>
        <v>2.3622047244094495E-2</v>
      </c>
      <c r="BO112" s="238">
        <f t="shared" si="86"/>
        <v>1.5748031496062995E-2</v>
      </c>
      <c r="BP112" s="216">
        <f t="shared" si="87"/>
        <v>0</v>
      </c>
      <c r="BQ112" s="138">
        <f t="shared" si="88"/>
        <v>0</v>
      </c>
      <c r="BR112" s="138">
        <f t="shared" si="89"/>
        <v>0.25</v>
      </c>
      <c r="BS112" s="238">
        <f t="shared" si="90"/>
        <v>0</v>
      </c>
      <c r="BT112" s="138">
        <f t="shared" si="91"/>
        <v>0</v>
      </c>
      <c r="BU112" s="138">
        <f t="shared" si="92"/>
        <v>0</v>
      </c>
      <c r="BV112" s="138">
        <f t="shared" si="93"/>
        <v>0.25</v>
      </c>
      <c r="BW112" s="238">
        <f t="shared" si="94"/>
        <v>0</v>
      </c>
      <c r="BX112" s="216">
        <f t="shared" si="95"/>
        <v>0</v>
      </c>
      <c r="BY112" s="138">
        <f t="shared" si="96"/>
        <v>0</v>
      </c>
      <c r="BZ112" s="138">
        <f t="shared" si="97"/>
        <v>2.3622047244094495E-2</v>
      </c>
      <c r="CA112" s="238">
        <f t="shared" si="98"/>
        <v>0</v>
      </c>
      <c r="CB112" s="138">
        <f t="shared" si="99"/>
        <v>0</v>
      </c>
      <c r="CC112" s="138">
        <f t="shared" si="100"/>
        <v>0</v>
      </c>
      <c r="CD112" s="138">
        <f t="shared" si="101"/>
        <v>2.3622047244094495E-2</v>
      </c>
      <c r="CE112" s="238">
        <f t="shared" si="102"/>
        <v>0</v>
      </c>
      <c r="CF112" s="216">
        <f t="shared" si="103"/>
        <v>0</v>
      </c>
      <c r="CG112" s="138">
        <f t="shared" si="104"/>
        <v>0</v>
      </c>
      <c r="CH112" s="138">
        <f t="shared" si="105"/>
        <v>1.5748031496062995E-2</v>
      </c>
      <c r="CI112" s="238">
        <f t="shared" si="106"/>
        <v>0</v>
      </c>
      <c r="CJ112" s="138">
        <f t="shared" si="107"/>
        <v>0</v>
      </c>
      <c r="CK112" s="138">
        <f t="shared" si="108"/>
        <v>0</v>
      </c>
      <c r="CL112" s="138">
        <f t="shared" si="109"/>
        <v>1.5748031496062995E-2</v>
      </c>
      <c r="CM112" s="238">
        <f t="shared" si="110"/>
        <v>0</v>
      </c>
      <c r="CN112" s="17">
        <f t="shared" si="111"/>
        <v>0.25</v>
      </c>
      <c r="CO112" s="17">
        <f t="shared" si="112"/>
        <v>2.3622047244094495E-2</v>
      </c>
      <c r="CP112" s="17">
        <f t="shared" si="113"/>
        <v>1.5748031496062995E-2</v>
      </c>
      <c r="CQ112" s="17">
        <f>$U112-IF('Inputs-Imperial'!$E$13,0,2)*($CO112+$CN112+$CP112)</f>
        <v>3.5007875136000002</v>
      </c>
      <c r="CR112" s="116">
        <f t="shared" si="114"/>
        <v>3435.0316113857625</v>
      </c>
      <c r="CS112" s="8">
        <f t="shared" si="10"/>
        <v>8.8813749105038739E-2</v>
      </c>
      <c r="CT112" s="8">
        <f t="shared" si="115"/>
        <v>0.29801635710987195</v>
      </c>
      <c r="CU112" s="8">
        <f t="shared" si="272"/>
        <v>8.8813749105038739E-2</v>
      </c>
      <c r="CV112" s="8">
        <f t="shared" si="116"/>
        <v>0.29801635710987195</v>
      </c>
      <c r="CW112" s="216">
        <f t="shared" si="117"/>
        <v>3.2027711564901282</v>
      </c>
      <c r="CX112" s="116">
        <f t="shared" si="118"/>
        <v>3754.6596951181923</v>
      </c>
      <c r="CY112" s="8">
        <f t="shared" si="119"/>
        <v>9.7077826891526497E-2</v>
      </c>
      <c r="CZ112" s="8">
        <f t="shared" si="120"/>
        <v>0.31157314854063806</v>
      </c>
      <c r="DA112" s="8">
        <f t="shared" si="121"/>
        <v>9.7077826891526497E-2</v>
      </c>
      <c r="DB112" s="8">
        <f t="shared" si="122"/>
        <v>0.31157314854063806</v>
      </c>
      <c r="DC112" s="216">
        <f t="shared" si="123"/>
        <v>3.1892143650593625</v>
      </c>
      <c r="DD112" s="116">
        <f t="shared" si="124"/>
        <v>3770.6200955659911</v>
      </c>
      <c r="DE112" s="8">
        <f t="shared" si="125"/>
        <v>9.7490487723027514E-2</v>
      </c>
      <c r="DF112" s="8">
        <f t="shared" si="126"/>
        <v>0.31223466771488961</v>
      </c>
      <c r="DG112" s="8">
        <f t="shared" si="127"/>
        <v>9.7490487723027514E-2</v>
      </c>
      <c r="DH112" s="8">
        <f t="shared" si="128"/>
        <v>0.31223466771488961</v>
      </c>
      <c r="DI112" s="216">
        <f t="shared" si="129"/>
        <v>3.1885528458851105</v>
      </c>
      <c r="DJ112" s="116">
        <f t="shared" si="130"/>
        <v>3771.4023744280948</v>
      </c>
      <c r="DK112" s="8">
        <f t="shared" si="131"/>
        <v>9.7510713772289703E-2</v>
      </c>
      <c r="DL112" s="8">
        <f t="shared" si="132"/>
        <v>0.31226705521442655</v>
      </c>
      <c r="DM112" s="8">
        <f t="shared" si="133"/>
        <v>9.7510713772289703E-2</v>
      </c>
      <c r="DN112" s="8">
        <f t="shared" si="134"/>
        <v>0.31226705521442655</v>
      </c>
      <c r="DO112" s="216">
        <f t="shared" si="135"/>
        <v>3.188520458385574</v>
      </c>
      <c r="DP112" s="116">
        <f t="shared" si="136"/>
        <v>3771.4406825695191</v>
      </c>
      <c r="DQ112" s="170">
        <f t="shared" si="137"/>
        <v>9.7511704240514183E-2</v>
      </c>
      <c r="DR112" s="8">
        <f t="shared" si="138"/>
        <v>0.31226864114174863</v>
      </c>
      <c r="DS112" s="8">
        <f t="shared" si="139"/>
        <v>9.7511704240514183E-2</v>
      </c>
      <c r="DT112" s="134">
        <f t="shared" si="140"/>
        <v>0.31226864114174863</v>
      </c>
      <c r="DU112" s="170">
        <f t="shared" si="307"/>
        <v>0.10588389379166488</v>
      </c>
      <c r="DV112" s="170">
        <f t="shared" si="307"/>
        <v>0.32539805437596714</v>
      </c>
      <c r="DW112" s="170">
        <f t="shared" si="307"/>
        <v>0.10588389379166488</v>
      </c>
      <c r="DX112" s="272">
        <f t="shared" si="307"/>
        <v>0.32539805437596714</v>
      </c>
      <c r="DY112" s="272">
        <f t="shared" si="142"/>
        <v>2.8499914048480659</v>
      </c>
      <c r="DZ112" s="22">
        <f t="shared" si="273"/>
        <v>133.98677799388017</v>
      </c>
      <c r="EA112" s="216">
        <f t="shared" si="274"/>
        <v>8.7782557955208753E-3</v>
      </c>
      <c r="EB112" s="12">
        <f t="shared" si="143"/>
        <v>2</v>
      </c>
      <c r="EC112" s="7">
        <f>ROUND(MAX(DV112,DX112)/'Inputs-Imperial'!$E$21,0)</f>
        <v>3</v>
      </c>
      <c r="ED112" s="12">
        <f t="shared" si="144"/>
        <v>3</v>
      </c>
      <c r="EE112" s="2">
        <f t="shared" si="145"/>
        <v>2</v>
      </c>
      <c r="EF112" s="127">
        <f t="shared" si="146"/>
        <v>2</v>
      </c>
      <c r="EG112" s="2">
        <f t="shared" si="147"/>
        <v>1.5748031496062995E-2</v>
      </c>
      <c r="EH112" s="8">
        <f t="shared" si="275"/>
        <v>9.238046442579198E-2</v>
      </c>
      <c r="EI112" s="138">
        <f t="shared" si="148"/>
        <v>0.25</v>
      </c>
      <c r="EJ112" s="12">
        <f t="shared" si="276"/>
        <v>7657.3443623502508</v>
      </c>
      <c r="EK112" s="138">
        <f t="shared" si="149"/>
        <v>0.25</v>
      </c>
      <c r="EL112" s="116">
        <f t="shared" si="150"/>
        <v>2175570</v>
      </c>
      <c r="EM112" s="2">
        <f t="shared" si="277"/>
        <v>1.5748031496062995E-2</v>
      </c>
      <c r="EN112" s="8">
        <f t="shared" si="151"/>
        <v>3.5007875136000002</v>
      </c>
      <c r="EO112" s="116">
        <f t="shared" si="152"/>
        <v>2610.6840000000002</v>
      </c>
      <c r="EP112" s="217">
        <f t="shared" si="153"/>
        <v>1.3210622557389664</v>
      </c>
      <c r="EQ112" s="207">
        <f t="shared" si="154"/>
        <v>2</v>
      </c>
      <c r="ER112" s="144">
        <f t="shared" si="155"/>
        <v>54750.907993228328</v>
      </c>
      <c r="ES112" s="138">
        <f t="shared" si="278"/>
        <v>0.25</v>
      </c>
      <c r="ET112" s="116">
        <f t="shared" si="156"/>
        <v>2175570</v>
      </c>
      <c r="EU112" s="2">
        <f t="shared" si="279"/>
        <v>1.5748031496062995E-2</v>
      </c>
      <c r="EV112" s="8">
        <f t="shared" si="157"/>
        <v>3.5007875136000002</v>
      </c>
      <c r="EW112" s="116">
        <f t="shared" si="158"/>
        <v>2610.6840000000002</v>
      </c>
      <c r="EX112" s="217">
        <f t="shared" si="159"/>
        <v>1.3210622557389664</v>
      </c>
      <c r="EY112" s="207">
        <f t="shared" si="160"/>
        <v>2</v>
      </c>
      <c r="EZ112" s="144">
        <f t="shared" si="161"/>
        <v>54750.907993228328</v>
      </c>
      <c r="FA112" s="138">
        <f t="shared" si="280"/>
        <v>0.25</v>
      </c>
      <c r="FB112" s="116">
        <f t="shared" si="162"/>
        <v>2175570</v>
      </c>
      <c r="FC112" s="2">
        <f t="shared" si="281"/>
        <v>1.5748031496062995E-2</v>
      </c>
      <c r="FD112" s="8">
        <f t="shared" si="163"/>
        <v>3.5007875136000002</v>
      </c>
      <c r="FE112" s="116">
        <f t="shared" si="164"/>
        <v>2610.6840000000002</v>
      </c>
      <c r="FF112" s="217">
        <f t="shared" si="165"/>
        <v>1.3210622557389664</v>
      </c>
      <c r="FG112" s="207">
        <f t="shared" si="166"/>
        <v>2</v>
      </c>
      <c r="FH112" s="144">
        <f t="shared" si="167"/>
        <v>54750.907993228328</v>
      </c>
      <c r="FI112" s="128">
        <f t="shared" si="168"/>
        <v>0.25</v>
      </c>
      <c r="FJ112" s="2">
        <f t="shared" si="169"/>
        <v>1.5748031496062995E-2</v>
      </c>
      <c r="FK112" s="127">
        <f t="shared" si="170"/>
        <v>1.5748031496062995E-2</v>
      </c>
      <c r="FL112" s="216">
        <f t="shared" si="171"/>
        <v>0</v>
      </c>
      <c r="FM112" s="138">
        <f t="shared" si="172"/>
        <v>0</v>
      </c>
      <c r="FN112" s="138">
        <f t="shared" si="173"/>
        <v>0.25</v>
      </c>
      <c r="FO112" s="238">
        <f t="shared" si="174"/>
        <v>0</v>
      </c>
      <c r="FP112" s="216">
        <f t="shared" si="282"/>
        <v>0</v>
      </c>
      <c r="FQ112" s="138">
        <f t="shared" si="283"/>
        <v>0</v>
      </c>
      <c r="FR112" s="138">
        <f t="shared" si="284"/>
        <v>0.25</v>
      </c>
      <c r="FS112" s="238">
        <f t="shared" si="285"/>
        <v>0</v>
      </c>
      <c r="FT112" s="216">
        <f t="shared" si="175"/>
        <v>0</v>
      </c>
      <c r="FU112" s="138">
        <f t="shared" si="176"/>
        <v>0</v>
      </c>
      <c r="FV112" s="138">
        <f t="shared" si="177"/>
        <v>1.5748031496062995E-2</v>
      </c>
      <c r="FW112" s="238">
        <f t="shared" si="178"/>
        <v>0</v>
      </c>
      <c r="FX112" s="216">
        <f t="shared" si="286"/>
        <v>0</v>
      </c>
      <c r="FY112" s="138">
        <f t="shared" si="287"/>
        <v>0</v>
      </c>
      <c r="FZ112" s="138">
        <f t="shared" si="288"/>
        <v>1.5748031496062995E-2</v>
      </c>
      <c r="GA112" s="238">
        <f t="shared" si="289"/>
        <v>0</v>
      </c>
      <c r="GB112" s="216">
        <f t="shared" si="179"/>
        <v>0</v>
      </c>
      <c r="GC112" s="138">
        <f t="shared" si="180"/>
        <v>0</v>
      </c>
      <c r="GD112" s="138">
        <f t="shared" si="181"/>
        <v>1.5748031496062995E-2</v>
      </c>
      <c r="GE112" s="238">
        <f t="shared" si="182"/>
        <v>0</v>
      </c>
      <c r="GF112" s="216">
        <f t="shared" si="290"/>
        <v>0</v>
      </c>
      <c r="GG112" s="138">
        <f t="shared" si="291"/>
        <v>0</v>
      </c>
      <c r="GH112" s="138">
        <f t="shared" si="292"/>
        <v>1.5748031496062995E-2</v>
      </c>
      <c r="GI112" s="238">
        <f t="shared" si="293"/>
        <v>0</v>
      </c>
      <c r="GJ112" s="216">
        <f t="shared" si="183"/>
        <v>0.25</v>
      </c>
      <c r="GK112" s="216">
        <f t="shared" si="184"/>
        <v>1.5748031496062995E-2</v>
      </c>
      <c r="GL112" s="17">
        <f t="shared" si="185"/>
        <v>1.5748031496062995E-2</v>
      </c>
      <c r="GM112" s="216">
        <f t="shared" si="294"/>
        <v>4.6133352194140231E-3</v>
      </c>
      <c r="GN112" s="2">
        <f t="shared" si="187"/>
        <v>1</v>
      </c>
      <c r="GO112" s="2">
        <f t="shared" si="188"/>
        <v>2</v>
      </c>
      <c r="GP112" s="142">
        <f t="shared" si="189"/>
        <v>2</v>
      </c>
      <c r="GQ112" s="2">
        <f t="shared" si="190"/>
        <v>1.5748031496062995E-2</v>
      </c>
      <c r="GR112" s="8">
        <f t="shared" si="295"/>
        <v>4.8549741548747152E-2</v>
      </c>
      <c r="GS112" s="138">
        <f t="shared" si="191"/>
        <v>0.25</v>
      </c>
      <c r="GT112" s="12">
        <f t="shared" si="296"/>
        <v>4024.2500625280186</v>
      </c>
      <c r="GU112" s="138">
        <f t="shared" si="192"/>
        <v>0.25</v>
      </c>
      <c r="GV112" s="116">
        <f t="shared" si="193"/>
        <v>2175570</v>
      </c>
      <c r="GW112" s="2">
        <f t="shared" si="297"/>
        <v>1.5748031496062995E-2</v>
      </c>
      <c r="GX112" s="8">
        <f t="shared" si="298"/>
        <v>1.7503937568000001</v>
      </c>
      <c r="GY112" s="116">
        <f t="shared" si="194"/>
        <v>2610.6840000000002</v>
      </c>
      <c r="GZ112" s="217">
        <f t="shared" si="195"/>
        <v>5.2842490229558656</v>
      </c>
      <c r="HA112" s="207">
        <f t="shared" si="196"/>
        <v>2</v>
      </c>
      <c r="HB112" s="144">
        <f t="shared" si="197"/>
        <v>219003.63197291331</v>
      </c>
      <c r="HC112" s="138">
        <f t="shared" si="299"/>
        <v>0.25</v>
      </c>
      <c r="HD112" s="116">
        <f t="shared" si="198"/>
        <v>2175570</v>
      </c>
      <c r="HE112" s="2">
        <f t="shared" si="300"/>
        <v>1.5748031496062995E-2</v>
      </c>
      <c r="HF112" s="8">
        <f t="shared" si="199"/>
        <v>1.7503937568000001</v>
      </c>
      <c r="HG112" s="116">
        <f t="shared" si="200"/>
        <v>2610.6840000000002</v>
      </c>
      <c r="HH112" s="217">
        <f t="shared" si="201"/>
        <v>5.2842490229558656</v>
      </c>
      <c r="HI112" s="207">
        <f t="shared" si="202"/>
        <v>2</v>
      </c>
      <c r="HJ112" s="144">
        <f t="shared" si="203"/>
        <v>219003.63197291331</v>
      </c>
      <c r="HK112" s="138">
        <f t="shared" si="301"/>
        <v>0.25</v>
      </c>
      <c r="HL112" s="116">
        <f t="shared" si="204"/>
        <v>2175570</v>
      </c>
      <c r="HM112" s="2">
        <f t="shared" si="302"/>
        <v>1.5748031496062995E-2</v>
      </c>
      <c r="HN112" s="8">
        <f t="shared" si="205"/>
        <v>1.7503937568000001</v>
      </c>
      <c r="HO112" s="116">
        <f t="shared" si="206"/>
        <v>2610.6840000000002</v>
      </c>
      <c r="HP112" s="217">
        <f t="shared" si="207"/>
        <v>5.2842490229558656</v>
      </c>
      <c r="HQ112" s="207">
        <f t="shared" si="208"/>
        <v>2</v>
      </c>
      <c r="HR112" s="144">
        <f t="shared" si="209"/>
        <v>219003.63197291331</v>
      </c>
      <c r="HS112" s="128">
        <f t="shared" si="210"/>
        <v>0.25</v>
      </c>
      <c r="HT112" s="2">
        <f t="shared" si="211"/>
        <v>1.5748031496062995E-2</v>
      </c>
      <c r="HU112" s="127">
        <f t="shared" si="212"/>
        <v>1.5748031496062995E-2</v>
      </c>
      <c r="HV112" s="216">
        <f t="shared" si="213"/>
        <v>0</v>
      </c>
      <c r="HW112" s="138">
        <f t="shared" si="214"/>
        <v>0</v>
      </c>
      <c r="HX112" s="138">
        <f t="shared" si="215"/>
        <v>0.25</v>
      </c>
      <c r="HY112" s="238">
        <f t="shared" si="216"/>
        <v>0</v>
      </c>
      <c r="HZ112" s="138">
        <f t="shared" si="217"/>
        <v>0</v>
      </c>
      <c r="IA112" s="138">
        <f t="shared" si="218"/>
        <v>0</v>
      </c>
      <c r="IB112" s="138">
        <f t="shared" si="219"/>
        <v>0.25</v>
      </c>
      <c r="IC112" s="138">
        <f t="shared" si="220"/>
        <v>0</v>
      </c>
      <c r="ID112" s="216">
        <f t="shared" si="221"/>
        <v>0</v>
      </c>
      <c r="IE112" s="138">
        <f t="shared" si="222"/>
        <v>0</v>
      </c>
      <c r="IF112" s="138">
        <f t="shared" si="223"/>
        <v>1.5748031496062995E-2</v>
      </c>
      <c r="IG112" s="238">
        <f t="shared" si="224"/>
        <v>0</v>
      </c>
      <c r="IH112" s="138">
        <f t="shared" si="225"/>
        <v>0</v>
      </c>
      <c r="II112" s="138">
        <f t="shared" si="226"/>
        <v>0</v>
      </c>
      <c r="IJ112" s="138">
        <f t="shared" si="227"/>
        <v>1.5748031496062995E-2</v>
      </c>
      <c r="IK112" s="138">
        <f t="shared" si="228"/>
        <v>0</v>
      </c>
      <c r="IL112" s="216">
        <f t="shared" si="229"/>
        <v>0</v>
      </c>
      <c r="IM112" s="138">
        <f t="shared" si="230"/>
        <v>0</v>
      </c>
      <c r="IN112" s="138">
        <f t="shared" si="231"/>
        <v>1.5748031496062995E-2</v>
      </c>
      <c r="IO112" s="238">
        <f t="shared" si="232"/>
        <v>0</v>
      </c>
      <c r="IP112" s="138">
        <f t="shared" si="233"/>
        <v>0</v>
      </c>
      <c r="IQ112" s="138">
        <f t="shared" si="234"/>
        <v>0</v>
      </c>
      <c r="IR112" s="138">
        <f t="shared" si="235"/>
        <v>1.5748031496062995E-2</v>
      </c>
      <c r="IS112" s="138">
        <f t="shared" si="236"/>
        <v>0</v>
      </c>
      <c r="IT112" s="17">
        <f t="shared" si="237"/>
        <v>0.25</v>
      </c>
      <c r="IU112" s="17">
        <f t="shared" si="238"/>
        <v>1.5748031496062995E-2</v>
      </c>
      <c r="IV112" s="17">
        <f t="shared" si="239"/>
        <v>1.5748031496062995E-2</v>
      </c>
      <c r="IW112" s="253">
        <f t="shared" si="240"/>
        <v>9.7244097600000003</v>
      </c>
      <c r="IX112" s="116">
        <f t="shared" si="303"/>
        <v>123.66113800988745</v>
      </c>
      <c r="IY112" s="8">
        <f t="shared" si="242"/>
        <v>3.1972949677813948E-3</v>
      </c>
      <c r="IZ112" s="8">
        <f t="shared" si="243"/>
        <v>3.1972949677813948E-3</v>
      </c>
      <c r="JA112" s="8">
        <f t="shared" si="244"/>
        <v>1.5986474838906974E-3</v>
      </c>
      <c r="JB112" s="134">
        <f t="shared" si="245"/>
        <v>3.9983089974271593E-2</v>
      </c>
      <c r="JC112" s="170">
        <f t="shared" si="308"/>
        <v>1.7308826818777986E-3</v>
      </c>
      <c r="JD112" s="272">
        <f t="shared" si="309"/>
        <v>4.160387820717918E-2</v>
      </c>
      <c r="JE112" s="8"/>
      <c r="JF112" s="8"/>
    </row>
    <row r="113" spans="1:266" x14ac:dyDescent="0.25">
      <c r="A113" s="186">
        <v>53</v>
      </c>
      <c r="B113" s="187">
        <f>A113/100*'Inputs-Imperial'!$E$5</f>
        <v>5.2165356000000003</v>
      </c>
      <c r="C113" s="188">
        <f>'Inputs-Imperial'!$E$10+('Inputs-Imperial'!$E$9-'Inputs-Imperial'!$E$10)*(100-A113)/100</f>
        <v>1.61089244</v>
      </c>
      <c r="D113" s="187">
        <f t="shared" si="248"/>
        <v>9.8425200000000324E-2</v>
      </c>
      <c r="E113" s="188">
        <f t="shared" si="249"/>
        <v>0.15903678658524051</v>
      </c>
      <c r="F113" s="423">
        <f>Loads!P73</f>
        <v>45.65205128056563</v>
      </c>
      <c r="G113" s="423">
        <f>Loads!M73</f>
        <v>456.52051280565621</v>
      </c>
      <c r="H113" s="423">
        <f>Loads!N73</f>
        <v>955.94239838138878</v>
      </c>
      <c r="I113" s="423">
        <f>Loads!V73</f>
        <v>-341.34966957328299</v>
      </c>
      <c r="J113" s="423">
        <f>Loads!Q73</f>
        <v>95.594239838138876</v>
      </c>
      <c r="K113" s="2">
        <v>53</v>
      </c>
      <c r="L113" s="12">
        <f t="shared" si="41"/>
        <v>62.598427200000003</v>
      </c>
      <c r="M113" s="11">
        <f t="shared" si="42"/>
        <v>19.330709280000001</v>
      </c>
      <c r="N113" s="11">
        <f t="shared" si="43"/>
        <v>1.1811024000000039</v>
      </c>
      <c r="O113" s="152">
        <f t="shared" si="44"/>
        <v>22.901297268274632</v>
      </c>
      <c r="P113" s="151">
        <f t="shared" si="45"/>
        <v>45.65205128056563</v>
      </c>
      <c r="Q113" s="12">
        <f t="shared" si="46"/>
        <v>456.52051280565621</v>
      </c>
      <c r="R113" s="12">
        <f t="shared" si="47"/>
        <v>11471.308780576666</v>
      </c>
      <c r="S113" s="12">
        <f t="shared" si="48"/>
        <v>-4096.1960348793964</v>
      </c>
      <c r="T113" s="152">
        <f t="shared" si="49"/>
        <v>1147.1308780576665</v>
      </c>
      <c r="U113" s="8">
        <f t="shared" si="261"/>
        <v>3.4795276704</v>
      </c>
      <c r="V113" s="8">
        <f t="shared" si="262"/>
        <v>3.4795276704</v>
      </c>
      <c r="W113" s="134">
        <f t="shared" si="263"/>
        <v>1.7397638352</v>
      </c>
      <c r="X113" s="311">
        <f t="shared" si="264"/>
        <v>4.8326773200000002</v>
      </c>
      <c r="Y113" s="11">
        <f t="shared" si="265"/>
        <v>14.49803196</v>
      </c>
      <c r="Z113" s="11">
        <f t="shared" si="266"/>
        <v>9.6653546400000003</v>
      </c>
      <c r="AA113" s="316">
        <f t="shared" si="50"/>
        <v>14.49803196</v>
      </c>
      <c r="AB113" s="170">
        <f t="shared" si="51"/>
        <v>2.6096457528000001</v>
      </c>
      <c r="AC113" s="11">
        <f t="shared" si="52"/>
        <v>14.49803196</v>
      </c>
      <c r="AD113" s="152">
        <f t="shared" si="53"/>
        <v>29.71532551342677</v>
      </c>
      <c r="AE113" s="151">
        <f t="shared" si="267"/>
        <v>3.1488447126147476</v>
      </c>
      <c r="AF113" s="12">
        <f t="shared" si="268"/>
        <v>68.923963714086597</v>
      </c>
      <c r="AG113" s="216">
        <f t="shared" si="269"/>
        <v>4.7219103089414845E-3</v>
      </c>
      <c r="AH113" s="2">
        <f t="shared" si="55"/>
        <v>1</v>
      </c>
      <c r="AI113" s="2">
        <f t="shared" si="56"/>
        <v>3</v>
      </c>
      <c r="AJ113" s="127">
        <f t="shared" si="57"/>
        <v>2</v>
      </c>
      <c r="AK113" s="2">
        <f t="shared" si="58"/>
        <v>1.5748031496062995E-2</v>
      </c>
      <c r="AL113" s="8">
        <f t="shared" si="270"/>
        <v>4.9692362295882003E-2</v>
      </c>
      <c r="AM113" s="138">
        <f t="shared" si="59"/>
        <v>0.25</v>
      </c>
      <c r="AN113" s="12">
        <f t="shared" si="271"/>
        <v>4118.9610015859807</v>
      </c>
      <c r="AO113" s="138">
        <f t="shared" si="60"/>
        <v>0.25</v>
      </c>
      <c r="AP113" s="116">
        <f t="shared" si="61"/>
        <v>2175570</v>
      </c>
      <c r="AQ113" s="2">
        <f t="shared" si="62"/>
        <v>1.5748031496062995E-2</v>
      </c>
      <c r="AR113" s="8">
        <f t="shared" si="63"/>
        <v>9.6653546400000003</v>
      </c>
      <c r="AS113" s="116">
        <f t="shared" si="64"/>
        <v>2610.6840000000002</v>
      </c>
      <c r="AT113" s="217">
        <f t="shared" si="65"/>
        <v>0.17330823509086268</v>
      </c>
      <c r="AU113" s="207">
        <f t="shared" si="66"/>
        <v>3.2713872258571151</v>
      </c>
      <c r="AV113" s="144">
        <f t="shared" si="67"/>
        <v>11748.683351428221</v>
      </c>
      <c r="AW113" s="138">
        <f t="shared" si="68"/>
        <v>0.25</v>
      </c>
      <c r="AX113" s="116">
        <f t="shared" si="69"/>
        <v>2175570</v>
      </c>
      <c r="AY113" s="2">
        <f t="shared" si="70"/>
        <v>1.5748031496062995E-2</v>
      </c>
      <c r="AZ113" s="8">
        <f t="shared" si="71"/>
        <v>9.6653546400000003</v>
      </c>
      <c r="BA113" s="116">
        <f t="shared" si="72"/>
        <v>2610.6840000000002</v>
      </c>
      <c r="BB113" s="217">
        <f t="shared" si="73"/>
        <v>0.17330823509086268</v>
      </c>
      <c r="BC113" s="207">
        <f t="shared" si="74"/>
        <v>3.2713872258571151</v>
      </c>
      <c r="BD113" s="144">
        <f t="shared" si="75"/>
        <v>11748.683351428221</v>
      </c>
      <c r="BE113" s="138">
        <f t="shared" si="76"/>
        <v>0.25</v>
      </c>
      <c r="BF113" s="116">
        <f t="shared" si="77"/>
        <v>2175570</v>
      </c>
      <c r="BG113" s="2">
        <f t="shared" si="78"/>
        <v>1.5748031496062995E-2</v>
      </c>
      <c r="BH113" s="8">
        <f t="shared" si="79"/>
        <v>9.6653546400000003</v>
      </c>
      <c r="BI113" s="116">
        <f t="shared" si="80"/>
        <v>2610.6840000000002</v>
      </c>
      <c r="BJ113" s="217">
        <f t="shared" si="81"/>
        <v>0.17330823509086268</v>
      </c>
      <c r="BK113" s="207">
        <f t="shared" si="82"/>
        <v>3.2713872258571151</v>
      </c>
      <c r="BL113" s="144">
        <f t="shared" si="83"/>
        <v>11748.683351428221</v>
      </c>
      <c r="BM113" s="216">
        <f t="shared" si="84"/>
        <v>0.25</v>
      </c>
      <c r="BN113" s="216">
        <f t="shared" si="85"/>
        <v>2.3622047244094495E-2</v>
      </c>
      <c r="BO113" s="238">
        <f t="shared" si="86"/>
        <v>1.5748031496062995E-2</v>
      </c>
      <c r="BP113" s="216">
        <f t="shared" si="87"/>
        <v>0</v>
      </c>
      <c r="BQ113" s="138">
        <f t="shared" si="88"/>
        <v>0</v>
      </c>
      <c r="BR113" s="138">
        <f t="shared" si="89"/>
        <v>0.25</v>
      </c>
      <c r="BS113" s="238">
        <f t="shared" si="90"/>
        <v>0</v>
      </c>
      <c r="BT113" s="138">
        <f t="shared" si="91"/>
        <v>0</v>
      </c>
      <c r="BU113" s="138">
        <f t="shared" si="92"/>
        <v>0</v>
      </c>
      <c r="BV113" s="138">
        <f t="shared" si="93"/>
        <v>0.25</v>
      </c>
      <c r="BW113" s="238">
        <f t="shared" si="94"/>
        <v>0</v>
      </c>
      <c r="BX113" s="216">
        <f t="shared" si="95"/>
        <v>0</v>
      </c>
      <c r="BY113" s="138">
        <f t="shared" si="96"/>
        <v>0</v>
      </c>
      <c r="BZ113" s="138">
        <f t="shared" si="97"/>
        <v>2.3622047244094495E-2</v>
      </c>
      <c r="CA113" s="238">
        <f t="shared" si="98"/>
        <v>0</v>
      </c>
      <c r="CB113" s="138">
        <f t="shared" si="99"/>
        <v>0</v>
      </c>
      <c r="CC113" s="138">
        <f t="shared" si="100"/>
        <v>0</v>
      </c>
      <c r="CD113" s="138">
        <f t="shared" si="101"/>
        <v>2.3622047244094495E-2</v>
      </c>
      <c r="CE113" s="238">
        <f t="shared" si="102"/>
        <v>0</v>
      </c>
      <c r="CF113" s="216">
        <f t="shared" si="103"/>
        <v>0</v>
      </c>
      <c r="CG113" s="138">
        <f t="shared" si="104"/>
        <v>0</v>
      </c>
      <c r="CH113" s="138">
        <f t="shared" si="105"/>
        <v>1.5748031496062995E-2</v>
      </c>
      <c r="CI113" s="238">
        <f t="shared" si="106"/>
        <v>0</v>
      </c>
      <c r="CJ113" s="138">
        <f t="shared" si="107"/>
        <v>0</v>
      </c>
      <c r="CK113" s="138">
        <f t="shared" si="108"/>
        <v>0</v>
      </c>
      <c r="CL113" s="138">
        <f t="shared" si="109"/>
        <v>1.5748031496062995E-2</v>
      </c>
      <c r="CM113" s="238">
        <f t="shared" si="110"/>
        <v>0</v>
      </c>
      <c r="CN113" s="17">
        <f t="shared" si="111"/>
        <v>0.25</v>
      </c>
      <c r="CO113" s="17">
        <f t="shared" si="112"/>
        <v>2.3622047244094495E-2</v>
      </c>
      <c r="CP113" s="17">
        <f t="shared" si="113"/>
        <v>1.5748031496062995E-2</v>
      </c>
      <c r="CQ113" s="17">
        <f>$U113-IF('Inputs-Imperial'!$E$13,0,2)*($CO113+$CN113+$CP113)</f>
        <v>3.4795276704</v>
      </c>
      <c r="CR113" s="116">
        <f t="shared" si="114"/>
        <v>3296.8005623757394</v>
      </c>
      <c r="CS113" s="8">
        <f t="shared" si="10"/>
        <v>8.5239744817971988E-2</v>
      </c>
      <c r="CT113" s="8">
        <f t="shared" si="115"/>
        <v>0.29195846419991317</v>
      </c>
      <c r="CU113" s="8">
        <f t="shared" si="272"/>
        <v>8.5239744817971988E-2</v>
      </c>
      <c r="CV113" s="8">
        <f t="shared" si="116"/>
        <v>0.29195846419991317</v>
      </c>
      <c r="CW113" s="216">
        <f t="shared" si="117"/>
        <v>3.1875692062000867</v>
      </c>
      <c r="CX113" s="116">
        <f t="shared" si="118"/>
        <v>3598.7638349197309</v>
      </c>
      <c r="CY113" s="8">
        <f t="shared" si="119"/>
        <v>9.3047093733704206E-2</v>
      </c>
      <c r="CZ113" s="8">
        <f t="shared" si="120"/>
        <v>0.30503621708529005</v>
      </c>
      <c r="DA113" s="8">
        <f t="shared" si="121"/>
        <v>9.3047093733704206E-2</v>
      </c>
      <c r="DB113" s="8">
        <f t="shared" si="122"/>
        <v>0.30503621708529005</v>
      </c>
      <c r="DC113" s="216">
        <f t="shared" si="123"/>
        <v>3.1744914533147099</v>
      </c>
      <c r="DD113" s="116">
        <f t="shared" si="124"/>
        <v>3613.5894360650004</v>
      </c>
      <c r="DE113" s="8">
        <f t="shared" si="125"/>
        <v>9.3430413996633641E-2</v>
      </c>
      <c r="DF113" s="8">
        <f t="shared" si="126"/>
        <v>0.30566389056712873</v>
      </c>
      <c r="DG113" s="8">
        <f t="shared" si="127"/>
        <v>9.3430413996633641E-2</v>
      </c>
      <c r="DH113" s="8">
        <f t="shared" si="128"/>
        <v>0.30566389056712873</v>
      </c>
      <c r="DI113" s="216">
        <f t="shared" si="129"/>
        <v>3.1738637798328715</v>
      </c>
      <c r="DJ113" s="116">
        <f t="shared" si="130"/>
        <v>3614.3040711031144</v>
      </c>
      <c r="DK113" s="8">
        <f t="shared" si="131"/>
        <v>9.3448891095000472E-2</v>
      </c>
      <c r="DL113" s="8">
        <f t="shared" si="132"/>
        <v>0.30569411360868642</v>
      </c>
      <c r="DM113" s="8">
        <f t="shared" si="133"/>
        <v>9.3448891095000472E-2</v>
      </c>
      <c r="DN113" s="8">
        <f t="shared" si="134"/>
        <v>0.30569411360868642</v>
      </c>
      <c r="DO113" s="216">
        <f t="shared" si="135"/>
        <v>3.1738335567913132</v>
      </c>
      <c r="DP113" s="116">
        <f t="shared" si="136"/>
        <v>3614.3384885544997</v>
      </c>
      <c r="DQ113" s="170">
        <f t="shared" si="137"/>
        <v>9.3449780968293636E-2</v>
      </c>
      <c r="DR113" s="8">
        <f t="shared" si="138"/>
        <v>0.30569556910150603</v>
      </c>
      <c r="DS113" s="8">
        <f t="shared" si="139"/>
        <v>9.3449780968293636E-2</v>
      </c>
      <c r="DT113" s="134">
        <f t="shared" si="140"/>
        <v>0.30569556910150603</v>
      </c>
      <c r="DU113" s="170">
        <f t="shared" si="307"/>
        <v>0.10588389379166488</v>
      </c>
      <c r="DV113" s="170">
        <f t="shared" si="307"/>
        <v>0.32539805437596714</v>
      </c>
      <c r="DW113" s="170">
        <f t="shared" si="307"/>
        <v>0.10588389379166488</v>
      </c>
      <c r="DX113" s="272">
        <f t="shared" si="307"/>
        <v>0.32539805437596714</v>
      </c>
      <c r="DY113" s="272">
        <f t="shared" si="142"/>
        <v>2.8287315616480657</v>
      </c>
      <c r="DZ113" s="22">
        <f t="shared" si="273"/>
        <v>131.20186302561447</v>
      </c>
      <c r="EA113" s="216">
        <f t="shared" si="274"/>
        <v>8.5957997627224159E-3</v>
      </c>
      <c r="EB113" s="12">
        <f t="shared" si="143"/>
        <v>2</v>
      </c>
      <c r="EC113" s="7">
        <f>ROUND(MAX(DV113,DX113)/'Inputs-Imperial'!$E$21,0)</f>
        <v>3</v>
      </c>
      <c r="ED113" s="12">
        <f t="shared" si="144"/>
        <v>3</v>
      </c>
      <c r="EE113" s="2">
        <f t="shared" si="145"/>
        <v>2</v>
      </c>
      <c r="EF113" s="127">
        <f t="shared" si="146"/>
        <v>2</v>
      </c>
      <c r="EG113" s="2">
        <f t="shared" si="147"/>
        <v>1.5748031496062995E-2</v>
      </c>
      <c r="EH113" s="8">
        <f t="shared" si="275"/>
        <v>9.0460336619102896E-2</v>
      </c>
      <c r="EI113" s="138">
        <f t="shared" si="148"/>
        <v>0.25</v>
      </c>
      <c r="EJ113" s="12">
        <f t="shared" si="276"/>
        <v>7498.1864719138657</v>
      </c>
      <c r="EK113" s="138">
        <f t="shared" si="149"/>
        <v>0.25</v>
      </c>
      <c r="EL113" s="116">
        <f t="shared" si="150"/>
        <v>2175570</v>
      </c>
      <c r="EM113" s="2">
        <f t="shared" si="277"/>
        <v>1.5748031496062995E-2</v>
      </c>
      <c r="EN113" s="8">
        <f t="shared" si="151"/>
        <v>3.4795276704</v>
      </c>
      <c r="EO113" s="116">
        <f t="shared" si="152"/>
        <v>2610.6840000000002</v>
      </c>
      <c r="EP113" s="217">
        <f t="shared" si="153"/>
        <v>1.337254900392459</v>
      </c>
      <c r="EQ113" s="207">
        <f t="shared" si="154"/>
        <v>2</v>
      </c>
      <c r="ER113" s="144">
        <f t="shared" si="155"/>
        <v>55422.00581147195</v>
      </c>
      <c r="ES113" s="138">
        <f t="shared" si="278"/>
        <v>0.25</v>
      </c>
      <c r="ET113" s="116">
        <f t="shared" si="156"/>
        <v>2175570</v>
      </c>
      <c r="EU113" s="2">
        <f t="shared" si="279"/>
        <v>1.5748031496062995E-2</v>
      </c>
      <c r="EV113" s="8">
        <f t="shared" si="157"/>
        <v>3.4795276704</v>
      </c>
      <c r="EW113" s="116">
        <f t="shared" si="158"/>
        <v>2610.6840000000002</v>
      </c>
      <c r="EX113" s="217">
        <f t="shared" si="159"/>
        <v>1.337254900392459</v>
      </c>
      <c r="EY113" s="207">
        <f t="shared" si="160"/>
        <v>2</v>
      </c>
      <c r="EZ113" s="144">
        <f t="shared" si="161"/>
        <v>55422.00581147195</v>
      </c>
      <c r="FA113" s="138">
        <f t="shared" si="280"/>
        <v>0.25</v>
      </c>
      <c r="FB113" s="116">
        <f t="shared" si="162"/>
        <v>2175570</v>
      </c>
      <c r="FC113" s="2">
        <f t="shared" si="281"/>
        <v>1.5748031496062995E-2</v>
      </c>
      <c r="FD113" s="8">
        <f t="shared" si="163"/>
        <v>3.4795276704</v>
      </c>
      <c r="FE113" s="116">
        <f t="shared" si="164"/>
        <v>2610.6840000000002</v>
      </c>
      <c r="FF113" s="217">
        <f t="shared" si="165"/>
        <v>1.337254900392459</v>
      </c>
      <c r="FG113" s="207">
        <f t="shared" si="166"/>
        <v>2</v>
      </c>
      <c r="FH113" s="144">
        <f t="shared" si="167"/>
        <v>55422.00581147195</v>
      </c>
      <c r="FI113" s="128">
        <f t="shared" si="168"/>
        <v>0.25</v>
      </c>
      <c r="FJ113" s="2">
        <f t="shared" si="169"/>
        <v>1.5748031496062995E-2</v>
      </c>
      <c r="FK113" s="127">
        <f t="shared" si="170"/>
        <v>1.5748031496062995E-2</v>
      </c>
      <c r="FL113" s="216">
        <f t="shared" si="171"/>
        <v>0</v>
      </c>
      <c r="FM113" s="138">
        <f t="shared" si="172"/>
        <v>0</v>
      </c>
      <c r="FN113" s="138">
        <f t="shared" si="173"/>
        <v>0.25</v>
      </c>
      <c r="FO113" s="238">
        <f t="shared" si="174"/>
        <v>0</v>
      </c>
      <c r="FP113" s="216">
        <f t="shared" si="282"/>
        <v>0</v>
      </c>
      <c r="FQ113" s="138">
        <f t="shared" si="283"/>
        <v>0</v>
      </c>
      <c r="FR113" s="138">
        <f t="shared" si="284"/>
        <v>0.25</v>
      </c>
      <c r="FS113" s="238">
        <f t="shared" si="285"/>
        <v>0</v>
      </c>
      <c r="FT113" s="216">
        <f t="shared" si="175"/>
        <v>0</v>
      </c>
      <c r="FU113" s="138">
        <f t="shared" si="176"/>
        <v>0</v>
      </c>
      <c r="FV113" s="138">
        <f t="shared" si="177"/>
        <v>1.5748031496062995E-2</v>
      </c>
      <c r="FW113" s="238">
        <f t="shared" si="178"/>
        <v>0</v>
      </c>
      <c r="FX113" s="216">
        <f t="shared" si="286"/>
        <v>0</v>
      </c>
      <c r="FY113" s="138">
        <f t="shared" si="287"/>
        <v>0</v>
      </c>
      <c r="FZ113" s="138">
        <f t="shared" si="288"/>
        <v>1.5748031496062995E-2</v>
      </c>
      <c r="GA113" s="238">
        <f t="shared" si="289"/>
        <v>0</v>
      </c>
      <c r="GB113" s="216">
        <f t="shared" si="179"/>
        <v>0</v>
      </c>
      <c r="GC113" s="138">
        <f t="shared" si="180"/>
        <v>0</v>
      </c>
      <c r="GD113" s="138">
        <f t="shared" si="181"/>
        <v>1.5748031496062995E-2</v>
      </c>
      <c r="GE113" s="238">
        <f t="shared" si="182"/>
        <v>0</v>
      </c>
      <c r="GF113" s="216">
        <f t="shared" si="290"/>
        <v>0</v>
      </c>
      <c r="GG113" s="138">
        <f t="shared" si="291"/>
        <v>0</v>
      </c>
      <c r="GH113" s="138">
        <f t="shared" si="292"/>
        <v>1.5748031496062995E-2</v>
      </c>
      <c r="GI113" s="238">
        <f t="shared" si="293"/>
        <v>0</v>
      </c>
      <c r="GJ113" s="216">
        <f t="shared" si="183"/>
        <v>0.25</v>
      </c>
      <c r="GK113" s="216">
        <f t="shared" si="184"/>
        <v>1.5748031496062995E-2</v>
      </c>
      <c r="GL113" s="17">
        <f t="shared" si="185"/>
        <v>1.5748031496062995E-2</v>
      </c>
      <c r="GM113" s="216">
        <f t="shared" si="294"/>
        <v>4.515611114636147E-3</v>
      </c>
      <c r="GN113" s="2">
        <f t="shared" si="187"/>
        <v>1</v>
      </c>
      <c r="GO113" s="2">
        <f t="shared" si="188"/>
        <v>2</v>
      </c>
      <c r="GP113" s="142">
        <f t="shared" si="189"/>
        <v>2</v>
      </c>
      <c r="GQ113" s="2">
        <f t="shared" si="190"/>
        <v>1.5748031496062995E-2</v>
      </c>
      <c r="GR113" s="8">
        <f t="shared" si="295"/>
        <v>4.7521314217023533E-2</v>
      </c>
      <c r="GS113" s="138">
        <f t="shared" si="191"/>
        <v>0.25</v>
      </c>
      <c r="GT113" s="12">
        <f t="shared" si="296"/>
        <v>3939.0045262600484</v>
      </c>
      <c r="GU113" s="138">
        <f t="shared" si="192"/>
        <v>0.25</v>
      </c>
      <c r="GV113" s="116">
        <f t="shared" si="193"/>
        <v>2175570</v>
      </c>
      <c r="GW113" s="2">
        <f t="shared" si="297"/>
        <v>1.5748031496062995E-2</v>
      </c>
      <c r="GX113" s="8">
        <f t="shared" si="298"/>
        <v>1.7397638352</v>
      </c>
      <c r="GY113" s="116">
        <f t="shared" si="194"/>
        <v>2610.6840000000002</v>
      </c>
      <c r="GZ113" s="217">
        <f t="shared" si="195"/>
        <v>5.3490196015698359</v>
      </c>
      <c r="HA113" s="207">
        <f t="shared" si="196"/>
        <v>2</v>
      </c>
      <c r="HB113" s="144">
        <f t="shared" si="197"/>
        <v>221688.0232458878</v>
      </c>
      <c r="HC113" s="138">
        <f t="shared" si="299"/>
        <v>0.25</v>
      </c>
      <c r="HD113" s="116">
        <f t="shared" si="198"/>
        <v>2175570</v>
      </c>
      <c r="HE113" s="2">
        <f t="shared" si="300"/>
        <v>1.5748031496062995E-2</v>
      </c>
      <c r="HF113" s="8">
        <f t="shared" si="199"/>
        <v>1.7397638352</v>
      </c>
      <c r="HG113" s="116">
        <f t="shared" si="200"/>
        <v>2610.6840000000002</v>
      </c>
      <c r="HH113" s="217">
        <f t="shared" si="201"/>
        <v>5.3490196015698359</v>
      </c>
      <c r="HI113" s="207">
        <f t="shared" si="202"/>
        <v>2</v>
      </c>
      <c r="HJ113" s="144">
        <f t="shared" si="203"/>
        <v>221688.0232458878</v>
      </c>
      <c r="HK113" s="138">
        <f t="shared" si="301"/>
        <v>0.25</v>
      </c>
      <c r="HL113" s="116">
        <f t="shared" si="204"/>
        <v>2175570</v>
      </c>
      <c r="HM113" s="2">
        <f t="shared" si="302"/>
        <v>1.5748031496062995E-2</v>
      </c>
      <c r="HN113" s="8">
        <f t="shared" si="205"/>
        <v>1.7397638352</v>
      </c>
      <c r="HO113" s="116">
        <f t="shared" si="206"/>
        <v>2610.6840000000002</v>
      </c>
      <c r="HP113" s="217">
        <f t="shared" si="207"/>
        <v>5.3490196015698359</v>
      </c>
      <c r="HQ113" s="207">
        <f t="shared" si="208"/>
        <v>2</v>
      </c>
      <c r="HR113" s="144">
        <f t="shared" si="209"/>
        <v>221688.0232458878</v>
      </c>
      <c r="HS113" s="128">
        <f t="shared" si="210"/>
        <v>0.25</v>
      </c>
      <c r="HT113" s="2">
        <f t="shared" si="211"/>
        <v>1.5748031496062995E-2</v>
      </c>
      <c r="HU113" s="127">
        <f t="shared" si="212"/>
        <v>1.5748031496062995E-2</v>
      </c>
      <c r="HV113" s="216">
        <f t="shared" si="213"/>
        <v>0</v>
      </c>
      <c r="HW113" s="138">
        <f t="shared" si="214"/>
        <v>0</v>
      </c>
      <c r="HX113" s="138">
        <f t="shared" si="215"/>
        <v>0.25</v>
      </c>
      <c r="HY113" s="238">
        <f t="shared" si="216"/>
        <v>0</v>
      </c>
      <c r="HZ113" s="138">
        <f t="shared" si="217"/>
        <v>0</v>
      </c>
      <c r="IA113" s="138">
        <f t="shared" si="218"/>
        <v>0</v>
      </c>
      <c r="IB113" s="138">
        <f t="shared" si="219"/>
        <v>0.25</v>
      </c>
      <c r="IC113" s="138">
        <f t="shared" si="220"/>
        <v>0</v>
      </c>
      <c r="ID113" s="216">
        <f t="shared" si="221"/>
        <v>0</v>
      </c>
      <c r="IE113" s="138">
        <f t="shared" si="222"/>
        <v>0</v>
      </c>
      <c r="IF113" s="138">
        <f t="shared" si="223"/>
        <v>1.5748031496062995E-2</v>
      </c>
      <c r="IG113" s="238">
        <f t="shared" si="224"/>
        <v>0</v>
      </c>
      <c r="IH113" s="138">
        <f t="shared" si="225"/>
        <v>0</v>
      </c>
      <c r="II113" s="138">
        <f t="shared" si="226"/>
        <v>0</v>
      </c>
      <c r="IJ113" s="138">
        <f t="shared" si="227"/>
        <v>1.5748031496062995E-2</v>
      </c>
      <c r="IK113" s="138">
        <f t="shared" si="228"/>
        <v>0</v>
      </c>
      <c r="IL113" s="216">
        <f t="shared" si="229"/>
        <v>0</v>
      </c>
      <c r="IM113" s="138">
        <f t="shared" si="230"/>
        <v>0</v>
      </c>
      <c r="IN113" s="138">
        <f t="shared" si="231"/>
        <v>1.5748031496062995E-2</v>
      </c>
      <c r="IO113" s="238">
        <f t="shared" si="232"/>
        <v>0</v>
      </c>
      <c r="IP113" s="138">
        <f t="shared" si="233"/>
        <v>0</v>
      </c>
      <c r="IQ113" s="138">
        <f t="shared" si="234"/>
        <v>0</v>
      </c>
      <c r="IR113" s="138">
        <f t="shared" si="235"/>
        <v>1.5748031496062995E-2</v>
      </c>
      <c r="IS113" s="138">
        <f t="shared" si="236"/>
        <v>0</v>
      </c>
      <c r="IT113" s="17">
        <f t="shared" si="237"/>
        <v>0.25</v>
      </c>
      <c r="IU113" s="17">
        <f t="shared" si="238"/>
        <v>1.5748031496062995E-2</v>
      </c>
      <c r="IV113" s="17">
        <f t="shared" si="239"/>
        <v>1.5748031496062995E-2</v>
      </c>
      <c r="IW113" s="253">
        <f t="shared" si="240"/>
        <v>9.6653546400000003</v>
      </c>
      <c r="IX113" s="116">
        <f t="shared" si="303"/>
        <v>118.68482024552659</v>
      </c>
      <c r="IY113" s="8">
        <f t="shared" si="242"/>
        <v>3.0686308134469909E-3</v>
      </c>
      <c r="IZ113" s="8">
        <f t="shared" si="243"/>
        <v>3.0686308134469909E-3</v>
      </c>
      <c r="JA113" s="8">
        <f t="shared" si="244"/>
        <v>1.5343154067234954E-3</v>
      </c>
      <c r="JB113" s="134">
        <f t="shared" si="245"/>
        <v>3.9170338353446674E-2</v>
      </c>
      <c r="JC113" s="170">
        <f t="shared" si="308"/>
        <v>1.7308826818777986E-3</v>
      </c>
      <c r="JD113" s="272">
        <f t="shared" si="309"/>
        <v>4.160387820717918E-2</v>
      </c>
      <c r="JE113" s="8"/>
      <c r="JF113" s="8"/>
    </row>
    <row r="114" spans="1:266" x14ac:dyDescent="0.25">
      <c r="A114" s="186">
        <v>54</v>
      </c>
      <c r="B114" s="187">
        <f>A114/100*'Inputs-Imperial'!$E$5</f>
        <v>5.3149608000000006</v>
      </c>
      <c r="C114" s="188">
        <f>'Inputs-Imperial'!$E$10+('Inputs-Imperial'!$E$9-'Inputs-Imperial'!$E$10)*(100-A114)/100</f>
        <v>1.6010499199999999</v>
      </c>
      <c r="D114" s="187">
        <f t="shared" si="248"/>
        <v>9.8425200000000324E-2</v>
      </c>
      <c r="E114" s="188">
        <f t="shared" si="249"/>
        <v>0.15806803458573654</v>
      </c>
      <c r="F114" s="423">
        <f>Loads!P74</f>
        <v>44.406639400748084</v>
      </c>
      <c r="G114" s="423">
        <f>Loads!M74</f>
        <v>444.06639400748071</v>
      </c>
      <c r="H114" s="423">
        <f>Loads!N74</f>
        <v>911.00927560438936</v>
      </c>
      <c r="I114" s="423">
        <f>Loads!V74</f>
        <v>-329.84551763190763</v>
      </c>
      <c r="J114" s="423">
        <f>Loads!Q74</f>
        <v>91.100927560438933</v>
      </c>
      <c r="K114" s="2">
        <v>54</v>
      </c>
      <c r="L114" s="12">
        <f t="shared" si="41"/>
        <v>63.779529600000004</v>
      </c>
      <c r="M114" s="11">
        <f t="shared" si="42"/>
        <v>19.212599040000001</v>
      </c>
      <c r="N114" s="11">
        <f t="shared" si="43"/>
        <v>1.1811024000000039</v>
      </c>
      <c r="O114" s="152">
        <f t="shared" si="44"/>
        <v>22.761796980346062</v>
      </c>
      <c r="P114" s="151">
        <f t="shared" si="45"/>
        <v>44.406639400748084</v>
      </c>
      <c r="Q114" s="12">
        <f t="shared" si="46"/>
        <v>444.06639400748071</v>
      </c>
      <c r="R114" s="12">
        <f t="shared" si="47"/>
        <v>10932.111307252671</v>
      </c>
      <c r="S114" s="12">
        <f t="shared" si="48"/>
        <v>-3958.1462115828917</v>
      </c>
      <c r="T114" s="152">
        <f t="shared" si="49"/>
        <v>1093.2111307252671</v>
      </c>
      <c r="U114" s="8">
        <f t="shared" si="261"/>
        <v>3.4582678271999998</v>
      </c>
      <c r="V114" s="8">
        <f t="shared" si="262"/>
        <v>3.4582678271999998</v>
      </c>
      <c r="W114" s="134">
        <f t="shared" si="263"/>
        <v>1.7291339135999999</v>
      </c>
      <c r="X114" s="311">
        <f t="shared" si="264"/>
        <v>4.8031497600000002</v>
      </c>
      <c r="Y114" s="11">
        <f t="shared" si="265"/>
        <v>14.40944928</v>
      </c>
      <c r="Z114" s="11">
        <f t="shared" si="266"/>
        <v>9.6062995200000003</v>
      </c>
      <c r="AA114" s="316">
        <f t="shared" si="50"/>
        <v>14.40944928</v>
      </c>
      <c r="AB114" s="170">
        <f t="shared" si="51"/>
        <v>2.5937008703999997</v>
      </c>
      <c r="AC114" s="11">
        <f t="shared" si="52"/>
        <v>14.40944928</v>
      </c>
      <c r="AD114" s="152">
        <f t="shared" si="53"/>
        <v>29.353314774160982</v>
      </c>
      <c r="AE114" s="151">
        <f t="shared" si="267"/>
        <v>3.0817721439488688</v>
      </c>
      <c r="AF114" s="12">
        <f t="shared" si="268"/>
        <v>67.422474123214741</v>
      </c>
      <c r="AG114" s="216">
        <f t="shared" si="269"/>
        <v>4.619144647480279E-3</v>
      </c>
      <c r="AH114" s="2">
        <f t="shared" si="55"/>
        <v>1</v>
      </c>
      <c r="AI114" s="2">
        <f t="shared" si="56"/>
        <v>3</v>
      </c>
      <c r="AJ114" s="127">
        <f t="shared" si="57"/>
        <v>2</v>
      </c>
      <c r="AK114" s="2">
        <f t="shared" si="58"/>
        <v>1.5748031496062995E-2</v>
      </c>
      <c r="AL114" s="8">
        <f t="shared" si="270"/>
        <v>4.8610878712588158E-2</v>
      </c>
      <c r="AM114" s="138">
        <f t="shared" si="59"/>
        <v>0.25</v>
      </c>
      <c r="AN114" s="12">
        <f t="shared" si="271"/>
        <v>4029.3176741683997</v>
      </c>
      <c r="AO114" s="138">
        <f t="shared" si="60"/>
        <v>0.25</v>
      </c>
      <c r="AP114" s="116">
        <f t="shared" si="61"/>
        <v>2175570</v>
      </c>
      <c r="AQ114" s="2">
        <f t="shared" si="62"/>
        <v>1.5748031496062995E-2</v>
      </c>
      <c r="AR114" s="8">
        <f t="shared" si="63"/>
        <v>9.6062995200000003</v>
      </c>
      <c r="AS114" s="116">
        <f t="shared" si="64"/>
        <v>2610.6840000000002</v>
      </c>
      <c r="AT114" s="217">
        <f t="shared" si="65"/>
        <v>0.17544562375680373</v>
      </c>
      <c r="AU114" s="207">
        <f t="shared" si="66"/>
        <v>3.256799651829426</v>
      </c>
      <c r="AV114" s="144">
        <f t="shared" si="67"/>
        <v>11840.543252986165</v>
      </c>
      <c r="AW114" s="138">
        <f t="shared" si="68"/>
        <v>0.25</v>
      </c>
      <c r="AX114" s="116">
        <f t="shared" si="69"/>
        <v>2175570</v>
      </c>
      <c r="AY114" s="2">
        <f t="shared" si="70"/>
        <v>1.5748031496062995E-2</v>
      </c>
      <c r="AZ114" s="8">
        <f t="shared" si="71"/>
        <v>9.6062995200000003</v>
      </c>
      <c r="BA114" s="116">
        <f t="shared" si="72"/>
        <v>2610.6840000000002</v>
      </c>
      <c r="BB114" s="217">
        <f t="shared" si="73"/>
        <v>0.17544562375680373</v>
      </c>
      <c r="BC114" s="207">
        <f t="shared" si="74"/>
        <v>3.256799651829426</v>
      </c>
      <c r="BD114" s="144">
        <f t="shared" si="75"/>
        <v>11840.543252986165</v>
      </c>
      <c r="BE114" s="138">
        <f t="shared" si="76"/>
        <v>0.25</v>
      </c>
      <c r="BF114" s="116">
        <f t="shared" si="77"/>
        <v>2175570</v>
      </c>
      <c r="BG114" s="2">
        <f t="shared" si="78"/>
        <v>1.5748031496062995E-2</v>
      </c>
      <c r="BH114" s="8">
        <f t="shared" si="79"/>
        <v>9.6062995200000003</v>
      </c>
      <c r="BI114" s="116">
        <f t="shared" si="80"/>
        <v>2610.6840000000002</v>
      </c>
      <c r="BJ114" s="217">
        <f t="shared" si="81"/>
        <v>0.17544562375680373</v>
      </c>
      <c r="BK114" s="207">
        <f t="shared" si="82"/>
        <v>3.256799651829426</v>
      </c>
      <c r="BL114" s="144">
        <f t="shared" si="83"/>
        <v>11840.543252986165</v>
      </c>
      <c r="BM114" s="216">
        <f t="shared" si="84"/>
        <v>0.25</v>
      </c>
      <c r="BN114" s="216">
        <f t="shared" si="85"/>
        <v>2.3622047244094495E-2</v>
      </c>
      <c r="BO114" s="238">
        <f t="shared" si="86"/>
        <v>1.5748031496062995E-2</v>
      </c>
      <c r="BP114" s="216">
        <f t="shared" si="87"/>
        <v>0</v>
      </c>
      <c r="BQ114" s="138">
        <f t="shared" si="88"/>
        <v>0</v>
      </c>
      <c r="BR114" s="138">
        <f t="shared" si="89"/>
        <v>0.25</v>
      </c>
      <c r="BS114" s="238">
        <f t="shared" si="90"/>
        <v>0</v>
      </c>
      <c r="BT114" s="138">
        <f t="shared" si="91"/>
        <v>0</v>
      </c>
      <c r="BU114" s="138">
        <f t="shared" si="92"/>
        <v>0</v>
      </c>
      <c r="BV114" s="138">
        <f t="shared" si="93"/>
        <v>0.25</v>
      </c>
      <c r="BW114" s="238">
        <f t="shared" si="94"/>
        <v>0</v>
      </c>
      <c r="BX114" s="216">
        <f t="shared" si="95"/>
        <v>0</v>
      </c>
      <c r="BY114" s="138">
        <f t="shared" si="96"/>
        <v>0</v>
      </c>
      <c r="BZ114" s="138">
        <f t="shared" si="97"/>
        <v>2.3622047244094495E-2</v>
      </c>
      <c r="CA114" s="238">
        <f t="shared" si="98"/>
        <v>0</v>
      </c>
      <c r="CB114" s="138">
        <f t="shared" si="99"/>
        <v>0</v>
      </c>
      <c r="CC114" s="138">
        <f t="shared" si="100"/>
        <v>0</v>
      </c>
      <c r="CD114" s="138">
        <f t="shared" si="101"/>
        <v>2.3622047244094495E-2</v>
      </c>
      <c r="CE114" s="238">
        <f t="shared" si="102"/>
        <v>0</v>
      </c>
      <c r="CF114" s="216">
        <f t="shared" si="103"/>
        <v>0</v>
      </c>
      <c r="CG114" s="138">
        <f t="shared" si="104"/>
        <v>0</v>
      </c>
      <c r="CH114" s="138">
        <f t="shared" si="105"/>
        <v>1.5748031496062995E-2</v>
      </c>
      <c r="CI114" s="238">
        <f t="shared" si="106"/>
        <v>0</v>
      </c>
      <c r="CJ114" s="138">
        <f t="shared" si="107"/>
        <v>0</v>
      </c>
      <c r="CK114" s="138">
        <f t="shared" si="108"/>
        <v>0</v>
      </c>
      <c r="CL114" s="138">
        <f t="shared" si="109"/>
        <v>1.5748031496062995E-2</v>
      </c>
      <c r="CM114" s="238">
        <f t="shared" si="110"/>
        <v>0</v>
      </c>
      <c r="CN114" s="17">
        <f t="shared" si="111"/>
        <v>0.25</v>
      </c>
      <c r="CO114" s="17">
        <f t="shared" si="112"/>
        <v>2.3622047244094495E-2</v>
      </c>
      <c r="CP114" s="17">
        <f t="shared" si="113"/>
        <v>1.5748031496062995E-2</v>
      </c>
      <c r="CQ114" s="17">
        <f>$U114-IF('Inputs-Imperial'!$E$13,0,2)*($CO114+$CN114+$CP114)</f>
        <v>3.4582678271999998</v>
      </c>
      <c r="CR114" s="116">
        <f t="shared" si="114"/>
        <v>3161.1523032627288</v>
      </c>
      <c r="CS114" s="8">
        <f t="shared" si="10"/>
        <v>8.1732519320696861E-2</v>
      </c>
      <c r="CT114" s="8">
        <f t="shared" si="115"/>
        <v>0.28588899825053932</v>
      </c>
      <c r="CU114" s="8">
        <f t="shared" si="272"/>
        <v>8.1732519320696861E-2</v>
      </c>
      <c r="CV114" s="8">
        <f t="shared" si="116"/>
        <v>0.28588899825053932</v>
      </c>
      <c r="CW114" s="216">
        <f t="shared" si="117"/>
        <v>3.1723788289494608</v>
      </c>
      <c r="CX114" s="116">
        <f t="shared" si="118"/>
        <v>3446.0295874792673</v>
      </c>
      <c r="CY114" s="8">
        <f t="shared" si="119"/>
        <v>8.9098105000394737E-2</v>
      </c>
      <c r="CZ114" s="8">
        <f t="shared" si="120"/>
        <v>0.2984930568713362</v>
      </c>
      <c r="DA114" s="8">
        <f t="shared" si="121"/>
        <v>8.9098105000394737E-2</v>
      </c>
      <c r="DB114" s="8">
        <f t="shared" si="122"/>
        <v>0.2984930568713362</v>
      </c>
      <c r="DC114" s="216">
        <f t="shared" si="123"/>
        <v>3.1597747703286636</v>
      </c>
      <c r="DD114" s="116">
        <f t="shared" si="124"/>
        <v>3459.7754909333521</v>
      </c>
      <c r="DE114" s="8">
        <f t="shared" si="125"/>
        <v>8.9453509363063954E-2</v>
      </c>
      <c r="DF114" s="8">
        <f t="shared" si="126"/>
        <v>0.29908779540974911</v>
      </c>
      <c r="DG114" s="8">
        <f t="shared" si="127"/>
        <v>8.9453509363063954E-2</v>
      </c>
      <c r="DH114" s="8">
        <f t="shared" si="128"/>
        <v>0.29908779540974911</v>
      </c>
      <c r="DI114" s="216">
        <f t="shared" si="129"/>
        <v>3.159180031790251</v>
      </c>
      <c r="DJ114" s="116">
        <f t="shared" si="130"/>
        <v>3460.4268187456346</v>
      </c>
      <c r="DK114" s="8">
        <f t="shared" si="131"/>
        <v>8.9470349634551832E-2</v>
      </c>
      <c r="DL114" s="8">
        <f t="shared" si="132"/>
        <v>0.2991159468075078</v>
      </c>
      <c r="DM114" s="8">
        <f t="shared" si="133"/>
        <v>8.9470349634551832E-2</v>
      </c>
      <c r="DN114" s="8">
        <f t="shared" si="134"/>
        <v>0.2991159468075078</v>
      </c>
      <c r="DO114" s="216">
        <f t="shared" si="135"/>
        <v>3.1591518803924923</v>
      </c>
      <c r="DP114" s="116">
        <f t="shared" si="136"/>
        <v>3460.4576548229988</v>
      </c>
      <c r="DQ114" s="170">
        <f t="shared" si="137"/>
        <v>8.9471146910370003E-2</v>
      </c>
      <c r="DR114" s="8">
        <f t="shared" si="138"/>
        <v>0.29911727952488804</v>
      </c>
      <c r="DS114" s="8">
        <f t="shared" si="139"/>
        <v>8.9471146910370003E-2</v>
      </c>
      <c r="DT114" s="134">
        <f t="shared" si="140"/>
        <v>0.29911727952488804</v>
      </c>
      <c r="DU114" s="170">
        <f t="shared" si="307"/>
        <v>0.10588389379166488</v>
      </c>
      <c r="DV114" s="170">
        <f t="shared" si="307"/>
        <v>0.32539805437596714</v>
      </c>
      <c r="DW114" s="170">
        <f t="shared" si="307"/>
        <v>0.10588389379166488</v>
      </c>
      <c r="DX114" s="272">
        <f t="shared" si="307"/>
        <v>0.32539805437596714</v>
      </c>
      <c r="DY114" s="272">
        <f t="shared" si="142"/>
        <v>2.8074717184480655</v>
      </c>
      <c r="DZ114" s="22">
        <f t="shared" si="273"/>
        <v>128.40717266453618</v>
      </c>
      <c r="EA114" s="216">
        <f t="shared" si="274"/>
        <v>8.4127032868899845E-3</v>
      </c>
      <c r="EB114" s="12">
        <f t="shared" si="143"/>
        <v>2</v>
      </c>
      <c r="EC114" s="7">
        <f>ROUND(MAX(DV114,DX114)/'Inputs-Imperial'!$E$21,0)</f>
        <v>3</v>
      </c>
      <c r="ED114" s="12">
        <f t="shared" si="144"/>
        <v>3</v>
      </c>
      <c r="EE114" s="2">
        <f t="shared" si="145"/>
        <v>2</v>
      </c>
      <c r="EF114" s="127">
        <f t="shared" si="146"/>
        <v>2</v>
      </c>
      <c r="EG114" s="2">
        <f t="shared" si="147"/>
        <v>1.5748031496062995E-2</v>
      </c>
      <c r="EH114" s="8">
        <f t="shared" si="275"/>
        <v>8.8533468928512646E-2</v>
      </c>
      <c r="EI114" s="138">
        <f t="shared" si="148"/>
        <v>0.25</v>
      </c>
      <c r="EJ114" s="12">
        <f t="shared" si="276"/>
        <v>7338.4699177782413</v>
      </c>
      <c r="EK114" s="138">
        <f t="shared" si="149"/>
        <v>0.25</v>
      </c>
      <c r="EL114" s="116">
        <f t="shared" si="150"/>
        <v>2175570</v>
      </c>
      <c r="EM114" s="2">
        <f t="shared" si="277"/>
        <v>1.5748031496062995E-2</v>
      </c>
      <c r="EN114" s="8">
        <f t="shared" si="151"/>
        <v>3.4582678271999998</v>
      </c>
      <c r="EO114" s="116">
        <f t="shared" si="152"/>
        <v>2610.6840000000002</v>
      </c>
      <c r="EP114" s="217">
        <f t="shared" si="153"/>
        <v>1.3537470968889178</v>
      </c>
      <c r="EQ114" s="207">
        <f t="shared" si="154"/>
        <v>2</v>
      </c>
      <c r="ER114" s="144">
        <f t="shared" si="155"/>
        <v>56105.518438572755</v>
      </c>
      <c r="ES114" s="138">
        <f t="shared" si="278"/>
        <v>0.25</v>
      </c>
      <c r="ET114" s="116">
        <f t="shared" si="156"/>
        <v>2175570</v>
      </c>
      <c r="EU114" s="2">
        <f t="shared" si="279"/>
        <v>1.5748031496062995E-2</v>
      </c>
      <c r="EV114" s="8">
        <f t="shared" si="157"/>
        <v>3.4582678271999998</v>
      </c>
      <c r="EW114" s="116">
        <f t="shared" si="158"/>
        <v>2610.6840000000002</v>
      </c>
      <c r="EX114" s="217">
        <f t="shared" si="159"/>
        <v>1.3537470968889178</v>
      </c>
      <c r="EY114" s="207">
        <f t="shared" si="160"/>
        <v>2</v>
      </c>
      <c r="EZ114" s="144">
        <f t="shared" si="161"/>
        <v>56105.518438572755</v>
      </c>
      <c r="FA114" s="138">
        <f t="shared" si="280"/>
        <v>0.25</v>
      </c>
      <c r="FB114" s="116">
        <f t="shared" si="162"/>
        <v>2175570</v>
      </c>
      <c r="FC114" s="2">
        <f t="shared" si="281"/>
        <v>1.5748031496062995E-2</v>
      </c>
      <c r="FD114" s="8">
        <f t="shared" si="163"/>
        <v>3.4582678271999998</v>
      </c>
      <c r="FE114" s="116">
        <f t="shared" si="164"/>
        <v>2610.6840000000002</v>
      </c>
      <c r="FF114" s="217">
        <f t="shared" si="165"/>
        <v>1.3537470968889178</v>
      </c>
      <c r="FG114" s="207">
        <f t="shared" si="166"/>
        <v>2</v>
      </c>
      <c r="FH114" s="144">
        <f t="shared" si="167"/>
        <v>56105.518438572755</v>
      </c>
      <c r="FI114" s="128">
        <f t="shared" si="168"/>
        <v>0.25</v>
      </c>
      <c r="FJ114" s="2">
        <f t="shared" si="169"/>
        <v>1.5748031496062995E-2</v>
      </c>
      <c r="FK114" s="127">
        <f t="shared" si="170"/>
        <v>1.5748031496062995E-2</v>
      </c>
      <c r="FL114" s="216">
        <f t="shared" si="171"/>
        <v>0</v>
      </c>
      <c r="FM114" s="138">
        <f t="shared" si="172"/>
        <v>0</v>
      </c>
      <c r="FN114" s="138">
        <f t="shared" si="173"/>
        <v>0.25</v>
      </c>
      <c r="FO114" s="238">
        <f t="shared" si="174"/>
        <v>0</v>
      </c>
      <c r="FP114" s="216">
        <f t="shared" si="282"/>
        <v>0</v>
      </c>
      <c r="FQ114" s="138">
        <f t="shared" si="283"/>
        <v>0</v>
      </c>
      <c r="FR114" s="138">
        <f t="shared" si="284"/>
        <v>0.25</v>
      </c>
      <c r="FS114" s="238">
        <f t="shared" si="285"/>
        <v>0</v>
      </c>
      <c r="FT114" s="216">
        <f t="shared" si="175"/>
        <v>0</v>
      </c>
      <c r="FU114" s="138">
        <f t="shared" si="176"/>
        <v>0</v>
      </c>
      <c r="FV114" s="138">
        <f t="shared" si="177"/>
        <v>1.5748031496062995E-2</v>
      </c>
      <c r="FW114" s="238">
        <f t="shared" si="178"/>
        <v>0</v>
      </c>
      <c r="FX114" s="216">
        <f t="shared" si="286"/>
        <v>0</v>
      </c>
      <c r="FY114" s="138">
        <f t="shared" si="287"/>
        <v>0</v>
      </c>
      <c r="FZ114" s="138">
        <f t="shared" si="288"/>
        <v>1.5748031496062995E-2</v>
      </c>
      <c r="GA114" s="238">
        <f t="shared" si="289"/>
        <v>0</v>
      </c>
      <c r="GB114" s="216">
        <f t="shared" si="179"/>
        <v>0</v>
      </c>
      <c r="GC114" s="138">
        <f t="shared" si="180"/>
        <v>0</v>
      </c>
      <c r="GD114" s="138">
        <f t="shared" si="181"/>
        <v>1.5748031496062995E-2</v>
      </c>
      <c r="GE114" s="238">
        <f t="shared" si="182"/>
        <v>0</v>
      </c>
      <c r="GF114" s="216">
        <f t="shared" si="290"/>
        <v>0</v>
      </c>
      <c r="GG114" s="138">
        <f t="shared" si="291"/>
        <v>0</v>
      </c>
      <c r="GH114" s="138">
        <f t="shared" si="292"/>
        <v>1.5748031496062995E-2</v>
      </c>
      <c r="GI114" s="238">
        <f t="shared" si="293"/>
        <v>0</v>
      </c>
      <c r="GJ114" s="216">
        <f t="shared" si="183"/>
        <v>0.25</v>
      </c>
      <c r="GK114" s="216">
        <f t="shared" si="184"/>
        <v>1.5748031496062995E-2</v>
      </c>
      <c r="GL114" s="17">
        <f t="shared" si="185"/>
        <v>1.5748031496062995E-2</v>
      </c>
      <c r="GM114" s="216">
        <f t="shared" si="294"/>
        <v>4.4172397685949194E-3</v>
      </c>
      <c r="GN114" s="2">
        <f t="shared" si="187"/>
        <v>1</v>
      </c>
      <c r="GO114" s="2">
        <f t="shared" si="188"/>
        <v>2</v>
      </c>
      <c r="GP114" s="142">
        <f t="shared" si="189"/>
        <v>2</v>
      </c>
      <c r="GQ114" s="2">
        <f t="shared" si="190"/>
        <v>1.5748031496062995E-2</v>
      </c>
      <c r="GR114" s="8">
        <f t="shared" si="295"/>
        <v>4.6486075458303848E-2</v>
      </c>
      <c r="GS114" s="138">
        <f t="shared" si="191"/>
        <v>0.25</v>
      </c>
      <c r="GT114" s="12">
        <f t="shared" si="296"/>
        <v>3853.1943961417214</v>
      </c>
      <c r="GU114" s="138">
        <f t="shared" si="192"/>
        <v>0.25</v>
      </c>
      <c r="GV114" s="116">
        <f t="shared" si="193"/>
        <v>2175570</v>
      </c>
      <c r="GW114" s="2">
        <f t="shared" si="297"/>
        <v>1.5748031496062995E-2</v>
      </c>
      <c r="GX114" s="8">
        <f t="shared" si="298"/>
        <v>1.7291339135999999</v>
      </c>
      <c r="GY114" s="116">
        <f t="shared" si="194"/>
        <v>2610.6840000000002</v>
      </c>
      <c r="GZ114" s="217">
        <f t="shared" si="195"/>
        <v>5.4149883875556712</v>
      </c>
      <c r="HA114" s="207">
        <f t="shared" si="196"/>
        <v>2</v>
      </c>
      <c r="HB114" s="144">
        <f t="shared" si="197"/>
        <v>224422.07375429102</v>
      </c>
      <c r="HC114" s="138">
        <f t="shared" si="299"/>
        <v>0.25</v>
      </c>
      <c r="HD114" s="116">
        <f t="shared" si="198"/>
        <v>2175570</v>
      </c>
      <c r="HE114" s="2">
        <f t="shared" si="300"/>
        <v>1.5748031496062995E-2</v>
      </c>
      <c r="HF114" s="8">
        <f t="shared" si="199"/>
        <v>1.7291339135999999</v>
      </c>
      <c r="HG114" s="116">
        <f t="shared" si="200"/>
        <v>2610.6840000000002</v>
      </c>
      <c r="HH114" s="217">
        <f t="shared" si="201"/>
        <v>5.4149883875556712</v>
      </c>
      <c r="HI114" s="207">
        <f t="shared" si="202"/>
        <v>2</v>
      </c>
      <c r="HJ114" s="144">
        <f t="shared" si="203"/>
        <v>224422.07375429102</v>
      </c>
      <c r="HK114" s="138">
        <f t="shared" si="301"/>
        <v>0.25</v>
      </c>
      <c r="HL114" s="116">
        <f t="shared" si="204"/>
        <v>2175570</v>
      </c>
      <c r="HM114" s="2">
        <f t="shared" si="302"/>
        <v>1.5748031496062995E-2</v>
      </c>
      <c r="HN114" s="8">
        <f t="shared" si="205"/>
        <v>1.7291339135999999</v>
      </c>
      <c r="HO114" s="116">
        <f t="shared" si="206"/>
        <v>2610.6840000000002</v>
      </c>
      <c r="HP114" s="217">
        <f t="shared" si="207"/>
        <v>5.4149883875556712</v>
      </c>
      <c r="HQ114" s="207">
        <f t="shared" si="208"/>
        <v>2</v>
      </c>
      <c r="HR114" s="144">
        <f t="shared" si="209"/>
        <v>224422.07375429102</v>
      </c>
      <c r="HS114" s="128">
        <f t="shared" si="210"/>
        <v>0.25</v>
      </c>
      <c r="HT114" s="2">
        <f t="shared" si="211"/>
        <v>1.5748031496062995E-2</v>
      </c>
      <c r="HU114" s="127">
        <f t="shared" si="212"/>
        <v>1.5748031496062995E-2</v>
      </c>
      <c r="HV114" s="216">
        <f t="shared" si="213"/>
        <v>0</v>
      </c>
      <c r="HW114" s="138">
        <f t="shared" si="214"/>
        <v>0</v>
      </c>
      <c r="HX114" s="138">
        <f t="shared" si="215"/>
        <v>0.25</v>
      </c>
      <c r="HY114" s="238">
        <f t="shared" si="216"/>
        <v>0</v>
      </c>
      <c r="HZ114" s="138">
        <f t="shared" si="217"/>
        <v>0</v>
      </c>
      <c r="IA114" s="138">
        <f t="shared" si="218"/>
        <v>0</v>
      </c>
      <c r="IB114" s="138">
        <f t="shared" si="219"/>
        <v>0.25</v>
      </c>
      <c r="IC114" s="138">
        <f t="shared" si="220"/>
        <v>0</v>
      </c>
      <c r="ID114" s="216">
        <f t="shared" si="221"/>
        <v>0</v>
      </c>
      <c r="IE114" s="138">
        <f t="shared" si="222"/>
        <v>0</v>
      </c>
      <c r="IF114" s="138">
        <f t="shared" si="223"/>
        <v>1.5748031496062995E-2</v>
      </c>
      <c r="IG114" s="238">
        <f t="shared" si="224"/>
        <v>0</v>
      </c>
      <c r="IH114" s="138">
        <f t="shared" si="225"/>
        <v>0</v>
      </c>
      <c r="II114" s="138">
        <f t="shared" si="226"/>
        <v>0</v>
      </c>
      <c r="IJ114" s="138">
        <f t="shared" si="227"/>
        <v>1.5748031496062995E-2</v>
      </c>
      <c r="IK114" s="138">
        <f t="shared" si="228"/>
        <v>0</v>
      </c>
      <c r="IL114" s="216">
        <f t="shared" si="229"/>
        <v>0</v>
      </c>
      <c r="IM114" s="138">
        <f t="shared" si="230"/>
        <v>0</v>
      </c>
      <c r="IN114" s="138">
        <f t="shared" si="231"/>
        <v>1.5748031496062995E-2</v>
      </c>
      <c r="IO114" s="238">
        <f t="shared" si="232"/>
        <v>0</v>
      </c>
      <c r="IP114" s="138">
        <f t="shared" si="233"/>
        <v>0</v>
      </c>
      <c r="IQ114" s="138">
        <f t="shared" si="234"/>
        <v>0</v>
      </c>
      <c r="IR114" s="138">
        <f t="shared" si="235"/>
        <v>1.5748031496062995E-2</v>
      </c>
      <c r="IS114" s="138">
        <f t="shared" si="236"/>
        <v>0</v>
      </c>
      <c r="IT114" s="17">
        <f t="shared" si="237"/>
        <v>0.25</v>
      </c>
      <c r="IU114" s="17">
        <f t="shared" si="238"/>
        <v>1.5748031496062995E-2</v>
      </c>
      <c r="IV114" s="17">
        <f t="shared" si="239"/>
        <v>1.5748031496062995E-2</v>
      </c>
      <c r="IW114" s="253">
        <f t="shared" si="240"/>
        <v>9.6062995200000003</v>
      </c>
      <c r="IX114" s="116">
        <f t="shared" si="303"/>
        <v>113.80148291745822</v>
      </c>
      <c r="IY114" s="8">
        <f t="shared" si="242"/>
        <v>2.9423706955450865E-3</v>
      </c>
      <c r="IZ114" s="8">
        <f t="shared" si="243"/>
        <v>2.9423706955450865E-3</v>
      </c>
      <c r="JA114" s="8">
        <f t="shared" si="244"/>
        <v>1.4711853477725433E-3</v>
      </c>
      <c r="JB114" s="134">
        <f t="shared" si="245"/>
        <v>3.8356034046451458E-2</v>
      </c>
      <c r="JC114" s="170">
        <f t="shared" si="308"/>
        <v>1.7308826818777986E-3</v>
      </c>
      <c r="JD114" s="272">
        <f t="shared" si="309"/>
        <v>4.160387820717918E-2</v>
      </c>
      <c r="JE114" s="8"/>
      <c r="JF114" s="8"/>
    </row>
    <row r="115" spans="1:266" x14ac:dyDescent="0.25">
      <c r="A115" s="186">
        <v>55</v>
      </c>
      <c r="B115" s="187">
        <f>A115/100*'Inputs-Imperial'!$E$5</f>
        <v>5.4133860000000009</v>
      </c>
      <c r="C115" s="188">
        <f>'Inputs-Imperial'!$E$10+('Inputs-Imperial'!$E$9-'Inputs-Imperial'!$E$10)*(100-A115)/100</f>
        <v>1.5912074</v>
      </c>
      <c r="D115" s="187">
        <f t="shared" si="248"/>
        <v>9.8425200000000324E-2</v>
      </c>
      <c r="E115" s="188">
        <f t="shared" si="249"/>
        <v>0.15709928258623251</v>
      </c>
      <c r="F115" s="423">
        <f>Loads!P75</f>
        <v>43.16981631201913</v>
      </c>
      <c r="G115" s="423">
        <f>Loads!M75</f>
        <v>431.69816312019117</v>
      </c>
      <c r="H115" s="423">
        <f>Loads!N75</f>
        <v>867.30195196092416</v>
      </c>
      <c r="I115" s="423">
        <f>Loads!V75</f>
        <v>-318.50035814328993</v>
      </c>
      <c r="J115" s="423">
        <f>Loads!Q75</f>
        <v>86.73019519609241</v>
      </c>
      <c r="K115" s="2">
        <v>55</v>
      </c>
      <c r="L115" s="12">
        <f t="shared" si="41"/>
        <v>64.960632000000004</v>
      </c>
      <c r="M115" s="11">
        <f t="shared" si="42"/>
        <v>19.094488800000001</v>
      </c>
      <c r="N115" s="11">
        <f t="shared" si="43"/>
        <v>1.1811024000000039</v>
      </c>
      <c r="O115" s="152">
        <f t="shared" si="44"/>
        <v>22.622296692417482</v>
      </c>
      <c r="P115" s="151">
        <f t="shared" si="45"/>
        <v>43.16981631201913</v>
      </c>
      <c r="Q115" s="12">
        <f t="shared" si="46"/>
        <v>431.69816312019117</v>
      </c>
      <c r="R115" s="12">
        <f t="shared" si="47"/>
        <v>10407.623423531089</v>
      </c>
      <c r="S115" s="12">
        <f t="shared" si="48"/>
        <v>-3822.0042977194789</v>
      </c>
      <c r="T115" s="152">
        <f t="shared" si="49"/>
        <v>1040.762342353109</v>
      </c>
      <c r="U115" s="8">
        <f t="shared" si="261"/>
        <v>3.4370079840000001</v>
      </c>
      <c r="V115" s="8">
        <f t="shared" si="262"/>
        <v>3.4370079840000001</v>
      </c>
      <c r="W115" s="134">
        <f t="shared" si="263"/>
        <v>1.718503992</v>
      </c>
      <c r="X115" s="311">
        <f t="shared" si="264"/>
        <v>4.7736222000000001</v>
      </c>
      <c r="Y115" s="11">
        <f t="shared" si="265"/>
        <v>14.3208666</v>
      </c>
      <c r="Z115" s="11">
        <f t="shared" si="266"/>
        <v>9.5472444000000003</v>
      </c>
      <c r="AA115" s="316">
        <f t="shared" si="50"/>
        <v>14.3208666</v>
      </c>
      <c r="AB115" s="170">
        <f t="shared" si="51"/>
        <v>2.5777559879999998</v>
      </c>
      <c r="AC115" s="11">
        <f t="shared" si="52"/>
        <v>14.3208666</v>
      </c>
      <c r="AD115" s="152">
        <f t="shared" si="53"/>
        <v>28.993522691111327</v>
      </c>
      <c r="AE115" s="151">
        <f t="shared" si="267"/>
        <v>3.0144695511666262</v>
      </c>
      <c r="AF115" s="12">
        <f t="shared" si="268"/>
        <v>65.911347483333017</v>
      </c>
      <c r="AG115" s="216">
        <f t="shared" si="269"/>
        <v>4.5157325364726924E-3</v>
      </c>
      <c r="AH115" s="2">
        <f t="shared" si="55"/>
        <v>1</v>
      </c>
      <c r="AI115" s="2">
        <f t="shared" si="56"/>
        <v>3</v>
      </c>
      <c r="AJ115" s="127">
        <f t="shared" si="57"/>
        <v>2</v>
      </c>
      <c r="AK115" s="2">
        <f t="shared" si="58"/>
        <v>1.5748031496062995E-2</v>
      </c>
      <c r="AL115" s="8">
        <f t="shared" si="270"/>
        <v>4.7522592034156319E-2</v>
      </c>
      <c r="AM115" s="138">
        <f t="shared" si="59"/>
        <v>0.25</v>
      </c>
      <c r="AN115" s="12">
        <f t="shared" si="271"/>
        <v>3939.1104435216539</v>
      </c>
      <c r="AO115" s="138">
        <f t="shared" si="60"/>
        <v>0.25</v>
      </c>
      <c r="AP115" s="116">
        <f t="shared" si="61"/>
        <v>2175570</v>
      </c>
      <c r="AQ115" s="2">
        <f t="shared" si="62"/>
        <v>1.5748031496062995E-2</v>
      </c>
      <c r="AR115" s="8">
        <f t="shared" si="63"/>
        <v>9.5472444000000003</v>
      </c>
      <c r="AS115" s="116">
        <f t="shared" si="64"/>
        <v>2610.6840000000002</v>
      </c>
      <c r="AT115" s="217">
        <f t="shared" si="65"/>
        <v>0.17762279784861418</v>
      </c>
      <c r="AU115" s="207">
        <f t="shared" si="66"/>
        <v>3.2421164142894119</v>
      </c>
      <c r="AV115" s="144">
        <f t="shared" si="67"/>
        <v>11933.431854006132</v>
      </c>
      <c r="AW115" s="138">
        <f t="shared" si="68"/>
        <v>0.25</v>
      </c>
      <c r="AX115" s="116">
        <f t="shared" si="69"/>
        <v>2175570</v>
      </c>
      <c r="AY115" s="2">
        <f t="shared" si="70"/>
        <v>1.5748031496062995E-2</v>
      </c>
      <c r="AZ115" s="8">
        <f t="shared" si="71"/>
        <v>9.5472444000000003</v>
      </c>
      <c r="BA115" s="116">
        <f t="shared" si="72"/>
        <v>2610.6840000000002</v>
      </c>
      <c r="BB115" s="217">
        <f t="shared" si="73"/>
        <v>0.17762279784861418</v>
      </c>
      <c r="BC115" s="207">
        <f t="shared" si="74"/>
        <v>3.2421164142894119</v>
      </c>
      <c r="BD115" s="144">
        <f t="shared" si="75"/>
        <v>11933.431854006132</v>
      </c>
      <c r="BE115" s="138">
        <f t="shared" si="76"/>
        <v>0.25</v>
      </c>
      <c r="BF115" s="116">
        <f t="shared" si="77"/>
        <v>2175570</v>
      </c>
      <c r="BG115" s="2">
        <f t="shared" si="78"/>
        <v>1.5748031496062995E-2</v>
      </c>
      <c r="BH115" s="8">
        <f t="shared" si="79"/>
        <v>9.5472444000000003</v>
      </c>
      <c r="BI115" s="116">
        <f t="shared" si="80"/>
        <v>2610.6840000000002</v>
      </c>
      <c r="BJ115" s="217">
        <f t="shared" si="81"/>
        <v>0.17762279784861418</v>
      </c>
      <c r="BK115" s="207">
        <f t="shared" si="82"/>
        <v>3.2421164142894119</v>
      </c>
      <c r="BL115" s="144">
        <f t="shared" si="83"/>
        <v>11933.431854006132</v>
      </c>
      <c r="BM115" s="216">
        <f t="shared" si="84"/>
        <v>0.25</v>
      </c>
      <c r="BN115" s="216">
        <f t="shared" si="85"/>
        <v>2.3622047244094495E-2</v>
      </c>
      <c r="BO115" s="238">
        <f t="shared" si="86"/>
        <v>1.5748031496062995E-2</v>
      </c>
      <c r="BP115" s="216">
        <f t="shared" si="87"/>
        <v>0</v>
      </c>
      <c r="BQ115" s="138">
        <f t="shared" si="88"/>
        <v>0</v>
      </c>
      <c r="BR115" s="138">
        <f t="shared" si="89"/>
        <v>0.25</v>
      </c>
      <c r="BS115" s="238">
        <f t="shared" si="90"/>
        <v>0</v>
      </c>
      <c r="BT115" s="138">
        <f t="shared" si="91"/>
        <v>0</v>
      </c>
      <c r="BU115" s="138">
        <f t="shared" si="92"/>
        <v>0</v>
      </c>
      <c r="BV115" s="138">
        <f t="shared" si="93"/>
        <v>0.25</v>
      </c>
      <c r="BW115" s="238">
        <f t="shared" si="94"/>
        <v>0</v>
      </c>
      <c r="BX115" s="216">
        <f t="shared" si="95"/>
        <v>0</v>
      </c>
      <c r="BY115" s="138">
        <f t="shared" si="96"/>
        <v>0</v>
      </c>
      <c r="BZ115" s="138">
        <f t="shared" si="97"/>
        <v>2.3622047244094495E-2</v>
      </c>
      <c r="CA115" s="238">
        <f t="shared" si="98"/>
        <v>0</v>
      </c>
      <c r="CB115" s="138">
        <f t="shared" si="99"/>
        <v>0</v>
      </c>
      <c r="CC115" s="138">
        <f t="shared" si="100"/>
        <v>0</v>
      </c>
      <c r="CD115" s="138">
        <f t="shared" si="101"/>
        <v>2.3622047244094495E-2</v>
      </c>
      <c r="CE115" s="238">
        <f t="shared" si="102"/>
        <v>0</v>
      </c>
      <c r="CF115" s="216">
        <f t="shared" si="103"/>
        <v>0</v>
      </c>
      <c r="CG115" s="138">
        <f t="shared" si="104"/>
        <v>0</v>
      </c>
      <c r="CH115" s="138">
        <f t="shared" si="105"/>
        <v>1.5748031496062995E-2</v>
      </c>
      <c r="CI115" s="238">
        <f t="shared" si="106"/>
        <v>0</v>
      </c>
      <c r="CJ115" s="138">
        <f t="shared" si="107"/>
        <v>0</v>
      </c>
      <c r="CK115" s="138">
        <f t="shared" si="108"/>
        <v>0</v>
      </c>
      <c r="CL115" s="138">
        <f t="shared" si="109"/>
        <v>1.5748031496062995E-2</v>
      </c>
      <c r="CM115" s="238">
        <f t="shared" si="110"/>
        <v>0</v>
      </c>
      <c r="CN115" s="17">
        <f t="shared" si="111"/>
        <v>0.25</v>
      </c>
      <c r="CO115" s="17">
        <f t="shared" si="112"/>
        <v>2.3622047244094495E-2</v>
      </c>
      <c r="CP115" s="17">
        <f t="shared" si="113"/>
        <v>1.5748031496062995E-2</v>
      </c>
      <c r="CQ115" s="17">
        <f>$U115-IF('Inputs-Imperial'!$E$13,0,2)*($CO115+$CN115+$CP115)</f>
        <v>3.4370079840000001</v>
      </c>
      <c r="CR115" s="116">
        <f t="shared" si="114"/>
        <v>3028.1056872665936</v>
      </c>
      <c r="CS115" s="8">
        <f t="shared" si="10"/>
        <v>7.8292560068738706E-2</v>
      </c>
      <c r="CT115" s="8">
        <f t="shared" si="115"/>
        <v>0.27980807720424855</v>
      </c>
      <c r="CU115" s="8">
        <f t="shared" si="272"/>
        <v>7.8292560068738706E-2</v>
      </c>
      <c r="CV115" s="8">
        <f t="shared" si="116"/>
        <v>0.27980807720424855</v>
      </c>
      <c r="CW115" s="216">
        <f t="shared" si="117"/>
        <v>3.1571999067957517</v>
      </c>
      <c r="CX115" s="116">
        <f t="shared" si="118"/>
        <v>3296.4727387483699</v>
      </c>
      <c r="CY115" s="8">
        <f t="shared" si="119"/>
        <v>8.5231268842002689E-2</v>
      </c>
      <c r="CZ115" s="8">
        <f t="shared" si="120"/>
        <v>0.29194394811676211</v>
      </c>
      <c r="DA115" s="8">
        <f t="shared" si="121"/>
        <v>8.5231268842002689E-2</v>
      </c>
      <c r="DB115" s="8">
        <f t="shared" si="122"/>
        <v>0.29194394811676211</v>
      </c>
      <c r="DC115" s="216">
        <f t="shared" si="123"/>
        <v>3.1450640358832382</v>
      </c>
      <c r="DD115" s="116">
        <f t="shared" si="124"/>
        <v>3309.1928510156022</v>
      </c>
      <c r="DE115" s="8">
        <f t="shared" si="125"/>
        <v>8.5560151072880952E-2</v>
      </c>
      <c r="DF115" s="8">
        <f t="shared" si="126"/>
        <v>0.29250666842463774</v>
      </c>
      <c r="DG115" s="8">
        <f t="shared" si="127"/>
        <v>8.5560151072880952E-2</v>
      </c>
      <c r="DH115" s="8">
        <f t="shared" si="128"/>
        <v>0.29250666842463774</v>
      </c>
      <c r="DI115" s="216">
        <f t="shared" si="129"/>
        <v>3.1445013155753623</v>
      </c>
      <c r="DJ115" s="116">
        <f t="shared" si="130"/>
        <v>3309.7850434916304</v>
      </c>
      <c r="DK115" s="8">
        <f t="shared" si="131"/>
        <v>8.5575462382917675E-2</v>
      </c>
      <c r="DL115" s="8">
        <f t="shared" si="132"/>
        <v>0.29253283983668854</v>
      </c>
      <c r="DM115" s="8">
        <f t="shared" si="133"/>
        <v>8.5575462382917675E-2</v>
      </c>
      <c r="DN115" s="8">
        <f t="shared" si="134"/>
        <v>0.29253283983668854</v>
      </c>
      <c r="DO115" s="216">
        <f t="shared" si="135"/>
        <v>3.1444751441633114</v>
      </c>
      <c r="DP115" s="116">
        <f t="shared" si="136"/>
        <v>3309.8125907751041</v>
      </c>
      <c r="DQ115" s="170">
        <f t="shared" si="137"/>
        <v>8.5576174626005877E-2</v>
      </c>
      <c r="DR115" s="8">
        <f t="shared" si="138"/>
        <v>0.29253405720702996</v>
      </c>
      <c r="DS115" s="8">
        <f t="shared" si="139"/>
        <v>8.5576174626005877E-2</v>
      </c>
      <c r="DT115" s="134">
        <f t="shared" si="140"/>
        <v>0.29253405720702996</v>
      </c>
      <c r="DU115" s="170">
        <f t="shared" si="307"/>
        <v>0.10588389379166488</v>
      </c>
      <c r="DV115" s="170">
        <f t="shared" si="307"/>
        <v>0.32539805437596714</v>
      </c>
      <c r="DW115" s="170">
        <f t="shared" si="307"/>
        <v>0.10588389379166488</v>
      </c>
      <c r="DX115" s="272">
        <f t="shared" si="307"/>
        <v>0.32539805437596714</v>
      </c>
      <c r="DY115" s="272">
        <f t="shared" si="142"/>
        <v>2.7862118752480658</v>
      </c>
      <c r="DZ115" s="22">
        <f t="shared" si="273"/>
        <v>125.60289796527606</v>
      </c>
      <c r="EA115" s="216">
        <f t="shared" si="274"/>
        <v>8.2289788851274692E-3</v>
      </c>
      <c r="EB115" s="12">
        <f t="shared" si="143"/>
        <v>2</v>
      </c>
      <c r="EC115" s="7">
        <f>ROUND(MAX(DV115,DX115)/'Inputs-Imperial'!$E$21,0)</f>
        <v>3</v>
      </c>
      <c r="ED115" s="12">
        <f t="shared" si="144"/>
        <v>3</v>
      </c>
      <c r="EE115" s="2">
        <f t="shared" si="145"/>
        <v>2</v>
      </c>
      <c r="EF115" s="127">
        <f t="shared" si="146"/>
        <v>2</v>
      </c>
      <c r="EG115" s="2">
        <f t="shared" si="147"/>
        <v>1.5748031496062995E-2</v>
      </c>
      <c r="EH115" s="8">
        <f t="shared" si="275"/>
        <v>8.65999930813139E-2</v>
      </c>
      <c r="EI115" s="138">
        <f t="shared" si="148"/>
        <v>0.25</v>
      </c>
      <c r="EJ115" s="12">
        <f t="shared" si="276"/>
        <v>7178.2056187155258</v>
      </c>
      <c r="EK115" s="138">
        <f t="shared" si="149"/>
        <v>0.25</v>
      </c>
      <c r="EL115" s="116">
        <f t="shared" si="150"/>
        <v>2175570</v>
      </c>
      <c r="EM115" s="2">
        <f t="shared" si="277"/>
        <v>1.5748031496062995E-2</v>
      </c>
      <c r="EN115" s="8">
        <f t="shared" si="151"/>
        <v>3.4370079840000001</v>
      </c>
      <c r="EO115" s="116">
        <f t="shared" si="152"/>
        <v>2610.6840000000002</v>
      </c>
      <c r="EP115" s="217">
        <f t="shared" si="153"/>
        <v>1.370546279696097</v>
      </c>
      <c r="EQ115" s="207">
        <f t="shared" si="154"/>
        <v>2</v>
      </c>
      <c r="ER115" s="144">
        <f t="shared" si="155"/>
        <v>56801.753993136219</v>
      </c>
      <c r="ES115" s="138">
        <f t="shared" si="278"/>
        <v>0.25</v>
      </c>
      <c r="ET115" s="116">
        <f t="shared" si="156"/>
        <v>2175570</v>
      </c>
      <c r="EU115" s="2">
        <f t="shared" si="279"/>
        <v>1.5748031496062995E-2</v>
      </c>
      <c r="EV115" s="8">
        <f t="shared" si="157"/>
        <v>3.4370079840000001</v>
      </c>
      <c r="EW115" s="116">
        <f t="shared" si="158"/>
        <v>2610.6840000000002</v>
      </c>
      <c r="EX115" s="217">
        <f t="shared" si="159"/>
        <v>1.370546279696097</v>
      </c>
      <c r="EY115" s="207">
        <f t="shared" si="160"/>
        <v>2</v>
      </c>
      <c r="EZ115" s="144">
        <f t="shared" si="161"/>
        <v>56801.753993136219</v>
      </c>
      <c r="FA115" s="138">
        <f t="shared" si="280"/>
        <v>0.25</v>
      </c>
      <c r="FB115" s="116">
        <f t="shared" si="162"/>
        <v>2175570</v>
      </c>
      <c r="FC115" s="2">
        <f t="shared" si="281"/>
        <v>1.5748031496062995E-2</v>
      </c>
      <c r="FD115" s="8">
        <f t="shared" si="163"/>
        <v>3.4370079840000001</v>
      </c>
      <c r="FE115" s="116">
        <f t="shared" si="164"/>
        <v>2610.6840000000002</v>
      </c>
      <c r="FF115" s="217">
        <f t="shared" si="165"/>
        <v>1.370546279696097</v>
      </c>
      <c r="FG115" s="207">
        <f t="shared" si="166"/>
        <v>2</v>
      </c>
      <c r="FH115" s="144">
        <f t="shared" si="167"/>
        <v>56801.753993136219</v>
      </c>
      <c r="FI115" s="128">
        <f t="shared" si="168"/>
        <v>0.25</v>
      </c>
      <c r="FJ115" s="2">
        <f t="shared" si="169"/>
        <v>1.5748031496062995E-2</v>
      </c>
      <c r="FK115" s="127">
        <f t="shared" si="170"/>
        <v>1.5748031496062995E-2</v>
      </c>
      <c r="FL115" s="216">
        <f t="shared" si="171"/>
        <v>0</v>
      </c>
      <c r="FM115" s="138">
        <f t="shared" si="172"/>
        <v>0</v>
      </c>
      <c r="FN115" s="138">
        <f t="shared" si="173"/>
        <v>0.25</v>
      </c>
      <c r="FO115" s="238">
        <f t="shared" si="174"/>
        <v>0</v>
      </c>
      <c r="FP115" s="216">
        <f t="shared" si="282"/>
        <v>0</v>
      </c>
      <c r="FQ115" s="138">
        <f t="shared" si="283"/>
        <v>0</v>
      </c>
      <c r="FR115" s="138">
        <f t="shared" si="284"/>
        <v>0.25</v>
      </c>
      <c r="FS115" s="238">
        <f t="shared" si="285"/>
        <v>0</v>
      </c>
      <c r="FT115" s="216">
        <f t="shared" si="175"/>
        <v>0</v>
      </c>
      <c r="FU115" s="138">
        <f t="shared" si="176"/>
        <v>0</v>
      </c>
      <c r="FV115" s="138">
        <f t="shared" si="177"/>
        <v>1.5748031496062995E-2</v>
      </c>
      <c r="FW115" s="238">
        <f t="shared" si="178"/>
        <v>0</v>
      </c>
      <c r="FX115" s="216">
        <f t="shared" si="286"/>
        <v>0</v>
      </c>
      <c r="FY115" s="138">
        <f t="shared" si="287"/>
        <v>0</v>
      </c>
      <c r="FZ115" s="138">
        <f t="shared" si="288"/>
        <v>1.5748031496062995E-2</v>
      </c>
      <c r="GA115" s="238">
        <f t="shared" si="289"/>
        <v>0</v>
      </c>
      <c r="GB115" s="216">
        <f t="shared" si="179"/>
        <v>0</v>
      </c>
      <c r="GC115" s="138">
        <f t="shared" si="180"/>
        <v>0</v>
      </c>
      <c r="GD115" s="138">
        <f t="shared" si="181"/>
        <v>1.5748031496062995E-2</v>
      </c>
      <c r="GE115" s="238">
        <f t="shared" si="182"/>
        <v>0</v>
      </c>
      <c r="GF115" s="216">
        <f t="shared" si="290"/>
        <v>0</v>
      </c>
      <c r="GG115" s="138">
        <f t="shared" si="291"/>
        <v>0</v>
      </c>
      <c r="GH115" s="138">
        <f t="shared" si="292"/>
        <v>1.5748031496062995E-2</v>
      </c>
      <c r="GI115" s="238">
        <f t="shared" si="293"/>
        <v>0</v>
      </c>
      <c r="GJ115" s="216">
        <f t="shared" si="183"/>
        <v>0.25</v>
      </c>
      <c r="GK115" s="216">
        <f t="shared" si="184"/>
        <v>1.5748031496062995E-2</v>
      </c>
      <c r="GL115" s="17">
        <f t="shared" si="185"/>
        <v>1.5748031496062995E-2</v>
      </c>
      <c r="GM115" s="216">
        <f t="shared" si="294"/>
        <v>4.3182370432296325E-3</v>
      </c>
      <c r="GN115" s="2">
        <f t="shared" si="187"/>
        <v>1</v>
      </c>
      <c r="GO115" s="2">
        <f t="shared" si="188"/>
        <v>2</v>
      </c>
      <c r="GP115" s="142">
        <f t="shared" si="189"/>
        <v>2</v>
      </c>
      <c r="GQ115" s="2">
        <f t="shared" si="190"/>
        <v>1.5748031496062995E-2</v>
      </c>
      <c r="GR115" s="8">
        <f t="shared" si="295"/>
        <v>4.5444192200204785E-2</v>
      </c>
      <c r="GS115" s="138">
        <f t="shared" si="191"/>
        <v>0.25</v>
      </c>
      <c r="GT115" s="12">
        <f t="shared" si="296"/>
        <v>3766.833508672481</v>
      </c>
      <c r="GU115" s="138">
        <f t="shared" si="192"/>
        <v>0.25</v>
      </c>
      <c r="GV115" s="116">
        <f t="shared" si="193"/>
        <v>2175570</v>
      </c>
      <c r="GW115" s="2">
        <f t="shared" si="297"/>
        <v>1.5748031496062995E-2</v>
      </c>
      <c r="GX115" s="8">
        <f t="shared" si="298"/>
        <v>1.718503992</v>
      </c>
      <c r="GY115" s="116">
        <f t="shared" si="194"/>
        <v>2610.6840000000002</v>
      </c>
      <c r="GZ115" s="217">
        <f t="shared" si="195"/>
        <v>5.482185118784388</v>
      </c>
      <c r="HA115" s="207">
        <f t="shared" si="196"/>
        <v>2</v>
      </c>
      <c r="HB115" s="144">
        <f t="shared" si="197"/>
        <v>227207.01597254488</v>
      </c>
      <c r="HC115" s="138">
        <f t="shared" si="299"/>
        <v>0.25</v>
      </c>
      <c r="HD115" s="116">
        <f t="shared" si="198"/>
        <v>2175570</v>
      </c>
      <c r="HE115" s="2">
        <f t="shared" si="300"/>
        <v>1.5748031496062995E-2</v>
      </c>
      <c r="HF115" s="8">
        <f t="shared" si="199"/>
        <v>1.718503992</v>
      </c>
      <c r="HG115" s="116">
        <f t="shared" si="200"/>
        <v>2610.6840000000002</v>
      </c>
      <c r="HH115" s="217">
        <f t="shared" si="201"/>
        <v>5.482185118784388</v>
      </c>
      <c r="HI115" s="207">
        <f t="shared" si="202"/>
        <v>2</v>
      </c>
      <c r="HJ115" s="144">
        <f t="shared" si="203"/>
        <v>227207.01597254488</v>
      </c>
      <c r="HK115" s="138">
        <f t="shared" si="301"/>
        <v>0.25</v>
      </c>
      <c r="HL115" s="116">
        <f t="shared" si="204"/>
        <v>2175570</v>
      </c>
      <c r="HM115" s="2">
        <f t="shared" si="302"/>
        <v>1.5748031496062995E-2</v>
      </c>
      <c r="HN115" s="8">
        <f t="shared" si="205"/>
        <v>1.718503992</v>
      </c>
      <c r="HO115" s="116">
        <f t="shared" si="206"/>
        <v>2610.6840000000002</v>
      </c>
      <c r="HP115" s="217">
        <f t="shared" si="207"/>
        <v>5.482185118784388</v>
      </c>
      <c r="HQ115" s="207">
        <f t="shared" si="208"/>
        <v>2</v>
      </c>
      <c r="HR115" s="144">
        <f t="shared" si="209"/>
        <v>227207.01597254488</v>
      </c>
      <c r="HS115" s="128">
        <f t="shared" si="210"/>
        <v>0.25</v>
      </c>
      <c r="HT115" s="2">
        <f t="shared" si="211"/>
        <v>1.5748031496062995E-2</v>
      </c>
      <c r="HU115" s="127">
        <f t="shared" si="212"/>
        <v>1.5748031496062995E-2</v>
      </c>
      <c r="HV115" s="216">
        <f t="shared" si="213"/>
        <v>0</v>
      </c>
      <c r="HW115" s="138">
        <f t="shared" si="214"/>
        <v>0</v>
      </c>
      <c r="HX115" s="138">
        <f t="shared" si="215"/>
        <v>0.25</v>
      </c>
      <c r="HY115" s="238">
        <f t="shared" si="216"/>
        <v>0</v>
      </c>
      <c r="HZ115" s="138">
        <f t="shared" si="217"/>
        <v>0</v>
      </c>
      <c r="IA115" s="138">
        <f t="shared" si="218"/>
        <v>0</v>
      </c>
      <c r="IB115" s="138">
        <f t="shared" si="219"/>
        <v>0.25</v>
      </c>
      <c r="IC115" s="138">
        <f t="shared" si="220"/>
        <v>0</v>
      </c>
      <c r="ID115" s="216">
        <f t="shared" si="221"/>
        <v>0</v>
      </c>
      <c r="IE115" s="138">
        <f t="shared" si="222"/>
        <v>0</v>
      </c>
      <c r="IF115" s="138">
        <f t="shared" si="223"/>
        <v>1.5748031496062995E-2</v>
      </c>
      <c r="IG115" s="238">
        <f t="shared" si="224"/>
        <v>0</v>
      </c>
      <c r="IH115" s="138">
        <f t="shared" si="225"/>
        <v>0</v>
      </c>
      <c r="II115" s="138">
        <f t="shared" si="226"/>
        <v>0</v>
      </c>
      <c r="IJ115" s="138">
        <f t="shared" si="227"/>
        <v>1.5748031496062995E-2</v>
      </c>
      <c r="IK115" s="138">
        <f t="shared" si="228"/>
        <v>0</v>
      </c>
      <c r="IL115" s="216">
        <f t="shared" si="229"/>
        <v>0</v>
      </c>
      <c r="IM115" s="138">
        <f t="shared" si="230"/>
        <v>0</v>
      </c>
      <c r="IN115" s="138">
        <f t="shared" si="231"/>
        <v>1.5748031496062995E-2</v>
      </c>
      <c r="IO115" s="238">
        <f t="shared" si="232"/>
        <v>0</v>
      </c>
      <c r="IP115" s="138">
        <f t="shared" si="233"/>
        <v>0</v>
      </c>
      <c r="IQ115" s="138">
        <f t="shared" si="234"/>
        <v>0</v>
      </c>
      <c r="IR115" s="138">
        <f t="shared" si="235"/>
        <v>1.5748031496062995E-2</v>
      </c>
      <c r="IS115" s="138">
        <f t="shared" si="236"/>
        <v>0</v>
      </c>
      <c r="IT115" s="17">
        <f t="shared" si="237"/>
        <v>0.25</v>
      </c>
      <c r="IU115" s="17">
        <f t="shared" si="238"/>
        <v>1.5748031496062995E-2</v>
      </c>
      <c r="IV115" s="17">
        <f t="shared" si="239"/>
        <v>1.5748031496062995E-2</v>
      </c>
      <c r="IW115" s="253">
        <f t="shared" si="240"/>
        <v>9.5472444000000003</v>
      </c>
      <c r="IX115" s="116">
        <f t="shared" si="303"/>
        <v>109.01180474159737</v>
      </c>
      <c r="IY115" s="8">
        <f t="shared" si="242"/>
        <v>2.8185321624745936E-3</v>
      </c>
      <c r="IZ115" s="8">
        <f t="shared" si="243"/>
        <v>2.8185321624745936E-3</v>
      </c>
      <c r="JA115" s="8">
        <f t="shared" si="244"/>
        <v>1.4092660812372968E-3</v>
      </c>
      <c r="JB115" s="134">
        <f t="shared" si="245"/>
        <v>3.754019287693254E-2</v>
      </c>
      <c r="JC115" s="170">
        <f t="shared" si="308"/>
        <v>1.7308826818777986E-3</v>
      </c>
      <c r="JD115" s="272">
        <f t="shared" si="309"/>
        <v>4.160387820717918E-2</v>
      </c>
      <c r="JE115" s="8"/>
      <c r="JF115" s="8"/>
    </row>
    <row r="116" spans="1:266" x14ac:dyDescent="0.25">
      <c r="A116" s="186">
        <v>56</v>
      </c>
      <c r="B116" s="187">
        <f>A116/100*'Inputs-Imperial'!$E$5</f>
        <v>5.5118112000000004</v>
      </c>
      <c r="C116" s="188">
        <f>'Inputs-Imperial'!$E$10+('Inputs-Imperial'!$E$9-'Inputs-Imperial'!$E$10)*(100-A116)/100</f>
        <v>1.58136488</v>
      </c>
      <c r="D116" s="187">
        <f t="shared" si="248"/>
        <v>9.8425199999999435E-2</v>
      </c>
      <c r="E116" s="188">
        <f t="shared" si="249"/>
        <v>0.1561305305867271</v>
      </c>
      <c r="F116" s="423">
        <f>Loads!P76</f>
        <v>41.941712990129403</v>
      </c>
      <c r="G116" s="423">
        <f>Loads!M76</f>
        <v>419.41712990129395</v>
      </c>
      <c r="H116" s="423">
        <f>Loads!N76</f>
        <v>824.81197391618696</v>
      </c>
      <c r="I116" s="423">
        <f>Loads!V76</f>
        <v>-307.31548885198697</v>
      </c>
      <c r="J116" s="423">
        <f>Loads!Q76</f>
        <v>82.481197391618693</v>
      </c>
      <c r="K116" s="2">
        <v>56</v>
      </c>
      <c r="L116" s="12">
        <f t="shared" si="41"/>
        <v>66.141734400000004</v>
      </c>
      <c r="M116" s="11">
        <f t="shared" si="42"/>
        <v>18.976378560000001</v>
      </c>
      <c r="N116" s="11">
        <f t="shared" si="43"/>
        <v>1.1811023999999932</v>
      </c>
      <c r="O116" s="152">
        <f t="shared" si="44"/>
        <v>22.482796404488703</v>
      </c>
      <c r="P116" s="151">
        <f t="shared" si="45"/>
        <v>41.941712990129403</v>
      </c>
      <c r="Q116" s="12">
        <f t="shared" si="46"/>
        <v>419.41712990129395</v>
      </c>
      <c r="R116" s="12">
        <f t="shared" si="47"/>
        <v>9897.743686994243</v>
      </c>
      <c r="S116" s="12">
        <f t="shared" si="48"/>
        <v>-3687.7858662238436</v>
      </c>
      <c r="T116" s="152">
        <f t="shared" si="49"/>
        <v>989.77436869942426</v>
      </c>
      <c r="U116" s="8">
        <f t="shared" si="261"/>
        <v>3.4157481407999999</v>
      </c>
      <c r="V116" s="8">
        <f t="shared" si="262"/>
        <v>3.4157481407999999</v>
      </c>
      <c r="W116" s="134">
        <f t="shared" si="263"/>
        <v>1.7078740703999999</v>
      </c>
      <c r="X116" s="311">
        <f t="shared" si="264"/>
        <v>4.7440946400000001</v>
      </c>
      <c r="Y116" s="11">
        <f t="shared" si="265"/>
        <v>14.23228392</v>
      </c>
      <c r="Z116" s="11">
        <f t="shared" si="266"/>
        <v>9.4881892800000003</v>
      </c>
      <c r="AA116" s="316">
        <f t="shared" si="50"/>
        <v>14.23228392</v>
      </c>
      <c r="AB116" s="170">
        <f t="shared" si="51"/>
        <v>2.5618111055999999</v>
      </c>
      <c r="AC116" s="11">
        <f t="shared" si="52"/>
        <v>14.23228392</v>
      </c>
      <c r="AD116" s="152">
        <f t="shared" si="53"/>
        <v>28.635949264277812</v>
      </c>
      <c r="AE116" s="151">
        <f t="shared" si="267"/>
        <v>2.9469418419337861</v>
      </c>
      <c r="AF116" s="12">
        <f t="shared" si="268"/>
        <v>64.390843694226817</v>
      </c>
      <c r="AG116" s="216">
        <f t="shared" si="269"/>
        <v>4.4116913250003102E-3</v>
      </c>
      <c r="AH116" s="2">
        <f t="shared" si="55"/>
        <v>1</v>
      </c>
      <c r="AI116" s="2">
        <f t="shared" si="56"/>
        <v>3</v>
      </c>
      <c r="AJ116" s="127">
        <f t="shared" si="57"/>
        <v>2</v>
      </c>
      <c r="AK116" s="2">
        <f t="shared" si="58"/>
        <v>1.5748031496062995E-2</v>
      </c>
      <c r="AL116" s="8">
        <f t="shared" si="270"/>
        <v>4.6427684838566859E-2</v>
      </c>
      <c r="AM116" s="138">
        <f t="shared" si="59"/>
        <v>0.25</v>
      </c>
      <c r="AN116" s="12">
        <f t="shared" si="271"/>
        <v>3848.3544433915781</v>
      </c>
      <c r="AO116" s="138">
        <f t="shared" si="60"/>
        <v>0.25</v>
      </c>
      <c r="AP116" s="116">
        <f t="shared" si="61"/>
        <v>2175570</v>
      </c>
      <c r="AQ116" s="2">
        <f t="shared" si="62"/>
        <v>1.5748031496062995E-2</v>
      </c>
      <c r="AR116" s="8">
        <f t="shared" si="63"/>
        <v>9.4881892800000003</v>
      </c>
      <c r="AS116" s="116">
        <f t="shared" si="64"/>
        <v>2610.6840000000002</v>
      </c>
      <c r="AT116" s="217">
        <f t="shared" si="65"/>
        <v>0.17984075095100061</v>
      </c>
      <c r="AU116" s="207">
        <f t="shared" si="66"/>
        <v>3.2273374183545309</v>
      </c>
      <c r="AV116" s="144">
        <f t="shared" si="67"/>
        <v>12027.365985237109</v>
      </c>
      <c r="AW116" s="138">
        <f t="shared" si="68"/>
        <v>0.25</v>
      </c>
      <c r="AX116" s="116">
        <f t="shared" si="69"/>
        <v>2175570</v>
      </c>
      <c r="AY116" s="2">
        <f t="shared" si="70"/>
        <v>1.5748031496062995E-2</v>
      </c>
      <c r="AZ116" s="8">
        <f t="shared" si="71"/>
        <v>9.4881892800000003</v>
      </c>
      <c r="BA116" s="116">
        <f t="shared" si="72"/>
        <v>2610.6840000000002</v>
      </c>
      <c r="BB116" s="217">
        <f t="shared" si="73"/>
        <v>0.17984075095100061</v>
      </c>
      <c r="BC116" s="207">
        <f t="shared" si="74"/>
        <v>3.2273374183545309</v>
      </c>
      <c r="BD116" s="144">
        <f t="shared" si="75"/>
        <v>12027.365985237109</v>
      </c>
      <c r="BE116" s="138">
        <f t="shared" si="76"/>
        <v>0.25</v>
      </c>
      <c r="BF116" s="116">
        <f t="shared" si="77"/>
        <v>2175570</v>
      </c>
      <c r="BG116" s="2">
        <f t="shared" si="78"/>
        <v>1.5748031496062995E-2</v>
      </c>
      <c r="BH116" s="8">
        <f t="shared" si="79"/>
        <v>9.4881892800000003</v>
      </c>
      <c r="BI116" s="116">
        <f t="shared" si="80"/>
        <v>2610.6840000000002</v>
      </c>
      <c r="BJ116" s="217">
        <f t="shared" si="81"/>
        <v>0.17984075095100061</v>
      </c>
      <c r="BK116" s="207">
        <f t="shared" si="82"/>
        <v>3.2273374183545309</v>
      </c>
      <c r="BL116" s="144">
        <f t="shared" si="83"/>
        <v>12027.365985237109</v>
      </c>
      <c r="BM116" s="216">
        <f t="shared" si="84"/>
        <v>0.25</v>
      </c>
      <c r="BN116" s="216">
        <f t="shared" si="85"/>
        <v>2.3622047244094495E-2</v>
      </c>
      <c r="BO116" s="238">
        <f t="shared" si="86"/>
        <v>1.5748031496062995E-2</v>
      </c>
      <c r="BP116" s="216">
        <f t="shared" si="87"/>
        <v>0</v>
      </c>
      <c r="BQ116" s="138">
        <f t="shared" si="88"/>
        <v>0</v>
      </c>
      <c r="BR116" s="138">
        <f t="shared" si="89"/>
        <v>0.25</v>
      </c>
      <c r="BS116" s="238">
        <f t="shared" si="90"/>
        <v>0</v>
      </c>
      <c r="BT116" s="138">
        <f t="shared" si="91"/>
        <v>0</v>
      </c>
      <c r="BU116" s="138">
        <f t="shared" si="92"/>
        <v>0</v>
      </c>
      <c r="BV116" s="138">
        <f t="shared" si="93"/>
        <v>0.25</v>
      </c>
      <c r="BW116" s="238">
        <f t="shared" si="94"/>
        <v>0</v>
      </c>
      <c r="BX116" s="216">
        <f t="shared" si="95"/>
        <v>0</v>
      </c>
      <c r="BY116" s="138">
        <f t="shared" si="96"/>
        <v>0</v>
      </c>
      <c r="BZ116" s="138">
        <f t="shared" si="97"/>
        <v>2.3622047244094495E-2</v>
      </c>
      <c r="CA116" s="238">
        <f t="shared" si="98"/>
        <v>0</v>
      </c>
      <c r="CB116" s="138">
        <f t="shared" si="99"/>
        <v>0</v>
      </c>
      <c r="CC116" s="138">
        <f t="shared" si="100"/>
        <v>0</v>
      </c>
      <c r="CD116" s="138">
        <f t="shared" si="101"/>
        <v>2.3622047244094495E-2</v>
      </c>
      <c r="CE116" s="238">
        <f t="shared" si="102"/>
        <v>0</v>
      </c>
      <c r="CF116" s="216">
        <f t="shared" si="103"/>
        <v>0</v>
      </c>
      <c r="CG116" s="138">
        <f t="shared" si="104"/>
        <v>0</v>
      </c>
      <c r="CH116" s="138">
        <f t="shared" si="105"/>
        <v>1.5748031496062995E-2</v>
      </c>
      <c r="CI116" s="238">
        <f t="shared" si="106"/>
        <v>0</v>
      </c>
      <c r="CJ116" s="138">
        <f t="shared" si="107"/>
        <v>0</v>
      </c>
      <c r="CK116" s="138">
        <f t="shared" si="108"/>
        <v>0</v>
      </c>
      <c r="CL116" s="138">
        <f t="shared" si="109"/>
        <v>1.5748031496062995E-2</v>
      </c>
      <c r="CM116" s="238">
        <f t="shared" si="110"/>
        <v>0</v>
      </c>
      <c r="CN116" s="17">
        <f t="shared" si="111"/>
        <v>0.25</v>
      </c>
      <c r="CO116" s="17">
        <f t="shared" si="112"/>
        <v>2.3622047244094495E-2</v>
      </c>
      <c r="CP116" s="17">
        <f t="shared" si="113"/>
        <v>1.5748031496062995E-2</v>
      </c>
      <c r="CQ116" s="17">
        <f>$U116-IF('Inputs-Imperial'!$E$13,0,2)*($CO116+$CN116+$CP116)</f>
        <v>3.4157481407999999</v>
      </c>
      <c r="CR116" s="116">
        <f t="shared" si="114"/>
        <v>2897.6795943380357</v>
      </c>
      <c r="CS116" s="8">
        <f t="shared" si="10"/>
        <v>7.4920355208756548E-2</v>
      </c>
      <c r="CT116" s="8">
        <f t="shared" si="115"/>
        <v>0.2737158292988488</v>
      </c>
      <c r="CU116" s="8">
        <f t="shared" si="272"/>
        <v>7.4920355208756548E-2</v>
      </c>
      <c r="CV116" s="8">
        <f t="shared" si="116"/>
        <v>0.2737158292988488</v>
      </c>
      <c r="CW116" s="216">
        <f t="shared" si="117"/>
        <v>3.1420323115011515</v>
      </c>
      <c r="CX116" s="116">
        <f t="shared" si="118"/>
        <v>3150.10881675671</v>
      </c>
      <c r="CY116" s="8">
        <f t="shared" si="119"/>
        <v>8.1446986740286414E-2</v>
      </c>
      <c r="CZ116" s="8">
        <f t="shared" si="120"/>
        <v>0.28538918469396563</v>
      </c>
      <c r="DA116" s="8">
        <f t="shared" si="121"/>
        <v>8.1446986740286414E-2</v>
      </c>
      <c r="DB116" s="8">
        <f t="shared" si="122"/>
        <v>0.28538918469396563</v>
      </c>
      <c r="DC116" s="216">
        <f t="shared" si="123"/>
        <v>3.1303589561060345</v>
      </c>
      <c r="DD116" s="116">
        <f t="shared" si="124"/>
        <v>3161.8558209395896</v>
      </c>
      <c r="DE116" s="8">
        <f t="shared" si="125"/>
        <v>8.1750708976430039E-2</v>
      </c>
      <c r="DF116" s="8">
        <f t="shared" si="126"/>
        <v>0.28592080892518129</v>
      </c>
      <c r="DG116" s="8">
        <f t="shared" si="127"/>
        <v>8.1750708976430039E-2</v>
      </c>
      <c r="DH116" s="8">
        <f t="shared" si="128"/>
        <v>0.28592080892518129</v>
      </c>
      <c r="DI116" s="216">
        <f t="shared" si="129"/>
        <v>3.1298273318748189</v>
      </c>
      <c r="DJ116" s="116">
        <f t="shared" si="130"/>
        <v>3162.3928854456417</v>
      </c>
      <c r="DK116" s="8">
        <f t="shared" si="131"/>
        <v>8.1764594936645257E-2</v>
      </c>
      <c r="DL116" s="8">
        <f t="shared" si="132"/>
        <v>0.28594509077206631</v>
      </c>
      <c r="DM116" s="8">
        <f t="shared" si="133"/>
        <v>8.1764594936645257E-2</v>
      </c>
      <c r="DN116" s="8">
        <f t="shared" si="134"/>
        <v>0.28594509077206631</v>
      </c>
      <c r="DO116" s="216">
        <f t="shared" si="135"/>
        <v>3.1298030500279337</v>
      </c>
      <c r="DP116" s="116">
        <f t="shared" si="136"/>
        <v>3162.417420133163</v>
      </c>
      <c r="DQ116" s="170">
        <f t="shared" si="137"/>
        <v>8.176522928818214E-2</v>
      </c>
      <c r="DR116" s="8">
        <f t="shared" si="138"/>
        <v>0.28594619998905763</v>
      </c>
      <c r="DS116" s="8">
        <f t="shared" si="139"/>
        <v>8.176522928818214E-2</v>
      </c>
      <c r="DT116" s="134">
        <f t="shared" si="140"/>
        <v>0.28594619998905763</v>
      </c>
      <c r="DU116" s="170">
        <f t="shared" si="307"/>
        <v>0.10588389379166488</v>
      </c>
      <c r="DV116" s="170">
        <f t="shared" si="307"/>
        <v>0.32539805437596714</v>
      </c>
      <c r="DW116" s="170">
        <f t="shared" si="307"/>
        <v>0.10588389379166488</v>
      </c>
      <c r="DX116" s="272">
        <f t="shared" si="307"/>
        <v>0.32539805437596714</v>
      </c>
      <c r="DY116" s="272">
        <f t="shared" si="142"/>
        <v>2.7649520320480656</v>
      </c>
      <c r="DZ116" s="22">
        <f t="shared" si="273"/>
        <v>122.78924341390773</v>
      </c>
      <c r="EA116" s="216">
        <f t="shared" si="274"/>
        <v>8.0446399545109661E-3</v>
      </c>
      <c r="EB116" s="12">
        <f t="shared" si="143"/>
        <v>2</v>
      </c>
      <c r="EC116" s="7">
        <f>ROUND(MAX(DV116,DX116)/'Inputs-Imperial'!$E$21,0)</f>
        <v>3</v>
      </c>
      <c r="ED116" s="12">
        <f t="shared" si="144"/>
        <v>3</v>
      </c>
      <c r="EE116" s="2">
        <f t="shared" si="145"/>
        <v>2</v>
      </c>
      <c r="EF116" s="127">
        <f t="shared" si="146"/>
        <v>2</v>
      </c>
      <c r="EG116" s="2">
        <f t="shared" si="147"/>
        <v>1.5748031496062995E-2</v>
      </c>
      <c r="EH116" s="8">
        <f t="shared" si="275"/>
        <v>8.4660050065436449E-2</v>
      </c>
      <c r="EI116" s="138">
        <f t="shared" si="148"/>
        <v>0.25</v>
      </c>
      <c r="EJ116" s="12">
        <f t="shared" si="276"/>
        <v>7017.4052611048246</v>
      </c>
      <c r="EK116" s="138">
        <f t="shared" si="149"/>
        <v>0.25</v>
      </c>
      <c r="EL116" s="116">
        <f t="shared" si="150"/>
        <v>2175570</v>
      </c>
      <c r="EM116" s="2">
        <f t="shared" si="277"/>
        <v>1.5748031496062995E-2</v>
      </c>
      <c r="EN116" s="8">
        <f t="shared" si="151"/>
        <v>3.4157481407999999</v>
      </c>
      <c r="EO116" s="116">
        <f t="shared" si="152"/>
        <v>2610.6840000000002</v>
      </c>
      <c r="EP116" s="217">
        <f t="shared" si="153"/>
        <v>1.3876601153626591</v>
      </c>
      <c r="EQ116" s="207">
        <f t="shared" si="154"/>
        <v>2</v>
      </c>
      <c r="ER116" s="144">
        <f t="shared" si="155"/>
        <v>57511.030212270234</v>
      </c>
      <c r="ES116" s="138">
        <f t="shared" si="278"/>
        <v>0.25</v>
      </c>
      <c r="ET116" s="116">
        <f t="shared" si="156"/>
        <v>2175570</v>
      </c>
      <c r="EU116" s="2">
        <f t="shared" si="279"/>
        <v>1.5748031496062995E-2</v>
      </c>
      <c r="EV116" s="8">
        <f t="shared" si="157"/>
        <v>3.4157481407999999</v>
      </c>
      <c r="EW116" s="116">
        <f t="shared" si="158"/>
        <v>2610.6840000000002</v>
      </c>
      <c r="EX116" s="217">
        <f t="shared" si="159"/>
        <v>1.3876601153626591</v>
      </c>
      <c r="EY116" s="207">
        <f t="shared" si="160"/>
        <v>2</v>
      </c>
      <c r="EZ116" s="144">
        <f t="shared" si="161"/>
        <v>57511.030212270234</v>
      </c>
      <c r="FA116" s="138">
        <f t="shared" si="280"/>
        <v>0.25</v>
      </c>
      <c r="FB116" s="116">
        <f t="shared" si="162"/>
        <v>2175570</v>
      </c>
      <c r="FC116" s="2">
        <f t="shared" si="281"/>
        <v>1.5748031496062995E-2</v>
      </c>
      <c r="FD116" s="8">
        <f t="shared" si="163"/>
        <v>3.4157481407999999</v>
      </c>
      <c r="FE116" s="116">
        <f t="shared" si="164"/>
        <v>2610.6840000000002</v>
      </c>
      <c r="FF116" s="217">
        <f t="shared" si="165"/>
        <v>1.3876601153626591</v>
      </c>
      <c r="FG116" s="207">
        <f t="shared" si="166"/>
        <v>2</v>
      </c>
      <c r="FH116" s="144">
        <f t="shared" si="167"/>
        <v>57511.030212270234</v>
      </c>
      <c r="FI116" s="128">
        <f t="shared" si="168"/>
        <v>0.25</v>
      </c>
      <c r="FJ116" s="2">
        <f t="shared" si="169"/>
        <v>1.5748031496062995E-2</v>
      </c>
      <c r="FK116" s="127">
        <f t="shared" si="170"/>
        <v>1.5748031496062995E-2</v>
      </c>
      <c r="FL116" s="216">
        <f t="shared" si="171"/>
        <v>0</v>
      </c>
      <c r="FM116" s="138">
        <f t="shared" si="172"/>
        <v>0</v>
      </c>
      <c r="FN116" s="138">
        <f t="shared" si="173"/>
        <v>0.25</v>
      </c>
      <c r="FO116" s="238">
        <f t="shared" si="174"/>
        <v>0</v>
      </c>
      <c r="FP116" s="216">
        <f t="shared" si="282"/>
        <v>0</v>
      </c>
      <c r="FQ116" s="138">
        <f t="shared" si="283"/>
        <v>0</v>
      </c>
      <c r="FR116" s="138">
        <f t="shared" si="284"/>
        <v>0.25</v>
      </c>
      <c r="FS116" s="238">
        <f t="shared" si="285"/>
        <v>0</v>
      </c>
      <c r="FT116" s="216">
        <f t="shared" si="175"/>
        <v>0</v>
      </c>
      <c r="FU116" s="138">
        <f t="shared" si="176"/>
        <v>0</v>
      </c>
      <c r="FV116" s="138">
        <f t="shared" si="177"/>
        <v>1.5748031496062995E-2</v>
      </c>
      <c r="FW116" s="238">
        <f t="shared" si="178"/>
        <v>0</v>
      </c>
      <c r="FX116" s="216">
        <f t="shared" si="286"/>
        <v>0</v>
      </c>
      <c r="FY116" s="138">
        <f t="shared" si="287"/>
        <v>0</v>
      </c>
      <c r="FZ116" s="138">
        <f t="shared" si="288"/>
        <v>1.5748031496062995E-2</v>
      </c>
      <c r="GA116" s="238">
        <f t="shared" si="289"/>
        <v>0</v>
      </c>
      <c r="GB116" s="216">
        <f t="shared" si="179"/>
        <v>0</v>
      </c>
      <c r="GC116" s="138">
        <f t="shared" si="180"/>
        <v>0</v>
      </c>
      <c r="GD116" s="138">
        <f t="shared" si="181"/>
        <v>1.5748031496062995E-2</v>
      </c>
      <c r="GE116" s="238">
        <f t="shared" si="182"/>
        <v>0</v>
      </c>
      <c r="GF116" s="216">
        <f t="shared" si="290"/>
        <v>0</v>
      </c>
      <c r="GG116" s="138">
        <f t="shared" si="291"/>
        <v>0</v>
      </c>
      <c r="GH116" s="138">
        <f t="shared" si="292"/>
        <v>1.5748031496062995E-2</v>
      </c>
      <c r="GI116" s="238">
        <f t="shared" si="293"/>
        <v>0</v>
      </c>
      <c r="GJ116" s="216">
        <f t="shared" si="183"/>
        <v>0.25</v>
      </c>
      <c r="GK116" s="216">
        <f t="shared" si="184"/>
        <v>1.5748031496062995E-2</v>
      </c>
      <c r="GL116" s="17">
        <f t="shared" si="185"/>
        <v>1.5748031496062995E-2</v>
      </c>
      <c r="GM116" s="216">
        <f t="shared" si="294"/>
        <v>4.2186199660920465E-3</v>
      </c>
      <c r="GN116" s="2">
        <f t="shared" si="187"/>
        <v>1</v>
      </c>
      <c r="GO116" s="2">
        <f t="shared" si="188"/>
        <v>2</v>
      </c>
      <c r="GP116" s="142">
        <f t="shared" si="189"/>
        <v>2</v>
      </c>
      <c r="GQ116" s="2">
        <f t="shared" si="190"/>
        <v>1.5748031496062995E-2</v>
      </c>
      <c r="GR116" s="8">
        <f t="shared" si="295"/>
        <v>4.4395843636996384E-2</v>
      </c>
      <c r="GS116" s="138">
        <f t="shared" si="191"/>
        <v>0.25</v>
      </c>
      <c r="GT116" s="12">
        <f t="shared" si="296"/>
        <v>3679.9367171250619</v>
      </c>
      <c r="GU116" s="138">
        <f t="shared" si="192"/>
        <v>0.25</v>
      </c>
      <c r="GV116" s="116">
        <f t="shared" si="193"/>
        <v>2175570</v>
      </c>
      <c r="GW116" s="2">
        <f t="shared" si="297"/>
        <v>1.5748031496062995E-2</v>
      </c>
      <c r="GX116" s="8">
        <f t="shared" si="298"/>
        <v>1.7078740703999999</v>
      </c>
      <c r="GY116" s="116">
        <f t="shared" si="194"/>
        <v>2610.6840000000002</v>
      </c>
      <c r="GZ116" s="217">
        <f t="shared" si="195"/>
        <v>5.5506404614506364</v>
      </c>
      <c r="HA116" s="207">
        <f t="shared" si="196"/>
        <v>2</v>
      </c>
      <c r="HB116" s="144">
        <f t="shared" si="197"/>
        <v>230044.12084908094</v>
      </c>
      <c r="HC116" s="138">
        <f t="shared" si="299"/>
        <v>0.25</v>
      </c>
      <c r="HD116" s="116">
        <f t="shared" si="198"/>
        <v>2175570</v>
      </c>
      <c r="HE116" s="2">
        <f t="shared" si="300"/>
        <v>1.5748031496062995E-2</v>
      </c>
      <c r="HF116" s="8">
        <f t="shared" si="199"/>
        <v>1.7078740703999999</v>
      </c>
      <c r="HG116" s="116">
        <f t="shared" si="200"/>
        <v>2610.6840000000002</v>
      </c>
      <c r="HH116" s="217">
        <f t="shared" si="201"/>
        <v>5.5506404614506364</v>
      </c>
      <c r="HI116" s="207">
        <f t="shared" si="202"/>
        <v>2</v>
      </c>
      <c r="HJ116" s="144">
        <f t="shared" si="203"/>
        <v>230044.12084908094</v>
      </c>
      <c r="HK116" s="138">
        <f t="shared" si="301"/>
        <v>0.25</v>
      </c>
      <c r="HL116" s="116">
        <f t="shared" si="204"/>
        <v>2175570</v>
      </c>
      <c r="HM116" s="2">
        <f t="shared" si="302"/>
        <v>1.5748031496062995E-2</v>
      </c>
      <c r="HN116" s="8">
        <f t="shared" si="205"/>
        <v>1.7078740703999999</v>
      </c>
      <c r="HO116" s="116">
        <f t="shared" si="206"/>
        <v>2610.6840000000002</v>
      </c>
      <c r="HP116" s="217">
        <f t="shared" si="207"/>
        <v>5.5506404614506364</v>
      </c>
      <c r="HQ116" s="207">
        <f t="shared" si="208"/>
        <v>2</v>
      </c>
      <c r="HR116" s="144">
        <f t="shared" si="209"/>
        <v>230044.12084908094</v>
      </c>
      <c r="HS116" s="128">
        <f t="shared" si="210"/>
        <v>0.25</v>
      </c>
      <c r="HT116" s="2">
        <f t="shared" si="211"/>
        <v>1.5748031496062995E-2</v>
      </c>
      <c r="HU116" s="127">
        <f t="shared" si="212"/>
        <v>1.5748031496062995E-2</v>
      </c>
      <c r="HV116" s="216">
        <f t="shared" si="213"/>
        <v>0</v>
      </c>
      <c r="HW116" s="138">
        <f t="shared" si="214"/>
        <v>0</v>
      </c>
      <c r="HX116" s="138">
        <f t="shared" si="215"/>
        <v>0.25</v>
      </c>
      <c r="HY116" s="238">
        <f t="shared" si="216"/>
        <v>0</v>
      </c>
      <c r="HZ116" s="138">
        <f t="shared" si="217"/>
        <v>0</v>
      </c>
      <c r="IA116" s="138">
        <f t="shared" si="218"/>
        <v>0</v>
      </c>
      <c r="IB116" s="138">
        <f t="shared" si="219"/>
        <v>0.25</v>
      </c>
      <c r="IC116" s="138">
        <f t="shared" si="220"/>
        <v>0</v>
      </c>
      <c r="ID116" s="216">
        <f t="shared" si="221"/>
        <v>0</v>
      </c>
      <c r="IE116" s="138">
        <f t="shared" si="222"/>
        <v>0</v>
      </c>
      <c r="IF116" s="138">
        <f t="shared" si="223"/>
        <v>1.5748031496062995E-2</v>
      </c>
      <c r="IG116" s="238">
        <f t="shared" si="224"/>
        <v>0</v>
      </c>
      <c r="IH116" s="138">
        <f t="shared" si="225"/>
        <v>0</v>
      </c>
      <c r="II116" s="138">
        <f t="shared" si="226"/>
        <v>0</v>
      </c>
      <c r="IJ116" s="138">
        <f t="shared" si="227"/>
        <v>1.5748031496062995E-2</v>
      </c>
      <c r="IK116" s="138">
        <f t="shared" si="228"/>
        <v>0</v>
      </c>
      <c r="IL116" s="216">
        <f t="shared" si="229"/>
        <v>0</v>
      </c>
      <c r="IM116" s="138">
        <f t="shared" si="230"/>
        <v>0</v>
      </c>
      <c r="IN116" s="138">
        <f t="shared" si="231"/>
        <v>1.5748031496062995E-2</v>
      </c>
      <c r="IO116" s="238">
        <f t="shared" si="232"/>
        <v>0</v>
      </c>
      <c r="IP116" s="138">
        <f t="shared" si="233"/>
        <v>0</v>
      </c>
      <c r="IQ116" s="138">
        <f t="shared" si="234"/>
        <v>0</v>
      </c>
      <c r="IR116" s="138">
        <f t="shared" si="235"/>
        <v>1.5748031496062995E-2</v>
      </c>
      <c r="IS116" s="138">
        <f t="shared" si="236"/>
        <v>0</v>
      </c>
      <c r="IT116" s="17">
        <f t="shared" si="237"/>
        <v>0.25</v>
      </c>
      <c r="IU116" s="17">
        <f t="shared" si="238"/>
        <v>1.5748031496062995E-2</v>
      </c>
      <c r="IV116" s="17">
        <f t="shared" si="239"/>
        <v>1.5748031496062995E-2</v>
      </c>
      <c r="IW116" s="253">
        <f t="shared" si="240"/>
        <v>9.4881892800000003</v>
      </c>
      <c r="IX116" s="116">
        <f t="shared" si="303"/>
        <v>104.31646539616928</v>
      </c>
      <c r="IY116" s="8">
        <f t="shared" si="242"/>
        <v>2.6971327875152358E-3</v>
      </c>
      <c r="IZ116" s="8">
        <f t="shared" si="243"/>
        <v>2.6971327875152358E-3</v>
      </c>
      <c r="JA116" s="8">
        <f t="shared" si="244"/>
        <v>1.3485663937576179E-3</v>
      </c>
      <c r="JB116" s="134">
        <f t="shared" si="245"/>
        <v>3.6722832049797274E-2</v>
      </c>
      <c r="JC116" s="170">
        <f t="shared" si="308"/>
        <v>1.7308826818777986E-3</v>
      </c>
      <c r="JD116" s="272">
        <f t="shared" si="309"/>
        <v>4.160387820717918E-2</v>
      </c>
      <c r="JE116" s="8"/>
      <c r="JF116" s="8"/>
    </row>
    <row r="117" spans="1:266" x14ac:dyDescent="0.25">
      <c r="A117" s="186">
        <v>57</v>
      </c>
      <c r="B117" s="187">
        <f>A117/100*'Inputs-Imperial'!$E$5</f>
        <v>5.6102363999999998</v>
      </c>
      <c r="C117" s="188">
        <f>'Inputs-Imperial'!$E$10+('Inputs-Imperial'!$E$9-'Inputs-Imperial'!$E$10)*(100-A117)/100</f>
        <v>1.5715223599999999</v>
      </c>
      <c r="D117" s="187">
        <f t="shared" si="248"/>
        <v>9.8425199999999435E-2</v>
      </c>
      <c r="E117" s="188">
        <f t="shared" si="249"/>
        <v>0.1551617785872231</v>
      </c>
      <c r="F117" s="423">
        <f>Loads!P77</f>
        <v>40.722463548259071</v>
      </c>
      <c r="G117" s="423">
        <f>Loads!M77</f>
        <v>407.22463548259066</v>
      </c>
      <c r="H117" s="423">
        <f>Loads!N77</f>
        <v>783.53075902222633</v>
      </c>
      <c r="I117" s="423">
        <f>Loads!V77</f>
        <v>-296.2922136685151</v>
      </c>
      <c r="J117" s="423">
        <f>Loads!Q77</f>
        <v>78.353075902222628</v>
      </c>
      <c r="K117" s="2">
        <v>57</v>
      </c>
      <c r="L117" s="12">
        <f t="shared" si="41"/>
        <v>67.322836800000005</v>
      </c>
      <c r="M117" s="11">
        <f t="shared" si="42"/>
        <v>18.858268320000001</v>
      </c>
      <c r="N117" s="11">
        <f t="shared" si="43"/>
        <v>1.1811023999999932</v>
      </c>
      <c r="O117" s="152">
        <f t="shared" si="44"/>
        <v>22.343296116560126</v>
      </c>
      <c r="P117" s="151">
        <f t="shared" si="45"/>
        <v>40.722463548259071</v>
      </c>
      <c r="Q117" s="12">
        <f t="shared" si="46"/>
        <v>407.22463548259066</v>
      </c>
      <c r="R117" s="12">
        <f t="shared" si="47"/>
        <v>9402.3691082667156</v>
      </c>
      <c r="S117" s="12">
        <f t="shared" si="48"/>
        <v>-3555.506564022181</v>
      </c>
      <c r="T117" s="152">
        <f t="shared" si="49"/>
        <v>940.23691082667153</v>
      </c>
      <c r="U117" s="8">
        <f t="shared" si="261"/>
        <v>3.3944882976000001</v>
      </c>
      <c r="V117" s="8">
        <f t="shared" si="262"/>
        <v>3.3944882976000001</v>
      </c>
      <c r="W117" s="134">
        <f t="shared" si="263"/>
        <v>1.6972441488000001</v>
      </c>
      <c r="X117" s="311">
        <f t="shared" si="264"/>
        <v>4.7145670800000001</v>
      </c>
      <c r="Y117" s="11">
        <f t="shared" si="265"/>
        <v>14.14370124</v>
      </c>
      <c r="Z117" s="11">
        <f t="shared" si="266"/>
        <v>9.4291341600000003</v>
      </c>
      <c r="AA117" s="316">
        <f t="shared" si="50"/>
        <v>14.14370124</v>
      </c>
      <c r="AB117" s="170">
        <f t="shared" si="51"/>
        <v>2.5458662232</v>
      </c>
      <c r="AC117" s="11">
        <f t="shared" si="52"/>
        <v>14.14370124</v>
      </c>
      <c r="AD117" s="152">
        <f t="shared" si="53"/>
        <v>28.280594493660431</v>
      </c>
      <c r="AE117" s="151">
        <f t="shared" si="267"/>
        <v>2.879194268689111</v>
      </c>
      <c r="AF117" s="12">
        <f t="shared" si="268"/>
        <v>62.861241562994856</v>
      </c>
      <c r="AG117" s="216">
        <f t="shared" si="269"/>
        <v>4.3070396234612517E-3</v>
      </c>
      <c r="AH117" s="2">
        <f t="shared" si="55"/>
        <v>1</v>
      </c>
      <c r="AI117" s="2">
        <f t="shared" si="56"/>
        <v>3</v>
      </c>
      <c r="AJ117" s="127">
        <f t="shared" si="57"/>
        <v>2</v>
      </c>
      <c r="AK117" s="2">
        <f t="shared" si="58"/>
        <v>1.5748031496062995E-2</v>
      </c>
      <c r="AL117" s="8">
        <f t="shared" si="270"/>
        <v>4.5326352977622393E-2</v>
      </c>
      <c r="AM117" s="138">
        <f t="shared" si="59"/>
        <v>0.25</v>
      </c>
      <c r="AN117" s="12">
        <f t="shared" si="271"/>
        <v>3757.0659077807381</v>
      </c>
      <c r="AO117" s="138">
        <f t="shared" si="60"/>
        <v>0.25</v>
      </c>
      <c r="AP117" s="116">
        <f t="shared" si="61"/>
        <v>2175570</v>
      </c>
      <c r="AQ117" s="2">
        <f t="shared" si="62"/>
        <v>1.5748031496062995E-2</v>
      </c>
      <c r="AR117" s="8">
        <f t="shared" si="63"/>
        <v>9.4291341600000003</v>
      </c>
      <c r="AS117" s="116">
        <f t="shared" si="64"/>
        <v>2610.6840000000002</v>
      </c>
      <c r="AT117" s="217">
        <f t="shared" si="65"/>
        <v>0.1821005078601482</v>
      </c>
      <c r="AU117" s="207">
        <f t="shared" si="66"/>
        <v>3.2124625079374791</v>
      </c>
      <c r="AV117" s="144">
        <f t="shared" si="67"/>
        <v>12122.362608186104</v>
      </c>
      <c r="AW117" s="138">
        <f t="shared" si="68"/>
        <v>0.25</v>
      </c>
      <c r="AX117" s="116">
        <f t="shared" si="69"/>
        <v>2175570</v>
      </c>
      <c r="AY117" s="2">
        <f t="shared" si="70"/>
        <v>1.5748031496062995E-2</v>
      </c>
      <c r="AZ117" s="8">
        <f t="shared" si="71"/>
        <v>9.4291341600000003</v>
      </c>
      <c r="BA117" s="116">
        <f t="shared" si="72"/>
        <v>2610.6840000000002</v>
      </c>
      <c r="BB117" s="217">
        <f t="shared" si="73"/>
        <v>0.1821005078601482</v>
      </c>
      <c r="BC117" s="207">
        <f t="shared" si="74"/>
        <v>3.2124625079374791</v>
      </c>
      <c r="BD117" s="144">
        <f t="shared" si="75"/>
        <v>12122.362608186104</v>
      </c>
      <c r="BE117" s="138">
        <f t="shared" si="76"/>
        <v>0.25</v>
      </c>
      <c r="BF117" s="116">
        <f t="shared" si="77"/>
        <v>2175570</v>
      </c>
      <c r="BG117" s="2">
        <f t="shared" si="78"/>
        <v>1.5748031496062995E-2</v>
      </c>
      <c r="BH117" s="8">
        <f t="shared" si="79"/>
        <v>9.4291341600000003</v>
      </c>
      <c r="BI117" s="116">
        <f t="shared" si="80"/>
        <v>2610.6840000000002</v>
      </c>
      <c r="BJ117" s="217">
        <f t="shared" si="81"/>
        <v>0.1821005078601482</v>
      </c>
      <c r="BK117" s="207">
        <f t="shared" si="82"/>
        <v>3.2124625079374791</v>
      </c>
      <c r="BL117" s="144">
        <f t="shared" si="83"/>
        <v>12122.362608186104</v>
      </c>
      <c r="BM117" s="216">
        <f t="shared" si="84"/>
        <v>0.25</v>
      </c>
      <c r="BN117" s="216">
        <f t="shared" si="85"/>
        <v>2.3622047244094495E-2</v>
      </c>
      <c r="BO117" s="238">
        <f t="shared" si="86"/>
        <v>1.5748031496062995E-2</v>
      </c>
      <c r="BP117" s="216">
        <f t="shared" si="87"/>
        <v>0</v>
      </c>
      <c r="BQ117" s="138">
        <f t="shared" si="88"/>
        <v>0</v>
      </c>
      <c r="BR117" s="138">
        <f t="shared" si="89"/>
        <v>0.25</v>
      </c>
      <c r="BS117" s="238">
        <f t="shared" si="90"/>
        <v>0</v>
      </c>
      <c r="BT117" s="138">
        <f t="shared" si="91"/>
        <v>0</v>
      </c>
      <c r="BU117" s="138">
        <f t="shared" si="92"/>
        <v>0</v>
      </c>
      <c r="BV117" s="138">
        <f t="shared" si="93"/>
        <v>0.25</v>
      </c>
      <c r="BW117" s="238">
        <f t="shared" si="94"/>
        <v>0</v>
      </c>
      <c r="BX117" s="216">
        <f t="shared" si="95"/>
        <v>0</v>
      </c>
      <c r="BY117" s="138">
        <f t="shared" si="96"/>
        <v>0</v>
      </c>
      <c r="BZ117" s="138">
        <f t="shared" si="97"/>
        <v>2.3622047244094495E-2</v>
      </c>
      <c r="CA117" s="238">
        <f t="shared" si="98"/>
        <v>0</v>
      </c>
      <c r="CB117" s="138">
        <f t="shared" si="99"/>
        <v>0</v>
      </c>
      <c r="CC117" s="138">
        <f t="shared" si="100"/>
        <v>0</v>
      </c>
      <c r="CD117" s="138">
        <f t="shared" si="101"/>
        <v>2.3622047244094495E-2</v>
      </c>
      <c r="CE117" s="238">
        <f t="shared" si="102"/>
        <v>0</v>
      </c>
      <c r="CF117" s="216">
        <f t="shared" si="103"/>
        <v>0</v>
      </c>
      <c r="CG117" s="138">
        <f t="shared" si="104"/>
        <v>0</v>
      </c>
      <c r="CH117" s="138">
        <f t="shared" si="105"/>
        <v>1.5748031496062995E-2</v>
      </c>
      <c r="CI117" s="238">
        <f t="shared" si="106"/>
        <v>0</v>
      </c>
      <c r="CJ117" s="138">
        <f t="shared" si="107"/>
        <v>0</v>
      </c>
      <c r="CK117" s="138">
        <f t="shared" si="108"/>
        <v>0</v>
      </c>
      <c r="CL117" s="138">
        <f t="shared" si="109"/>
        <v>1.5748031496062995E-2</v>
      </c>
      <c r="CM117" s="238">
        <f t="shared" si="110"/>
        <v>0</v>
      </c>
      <c r="CN117" s="17">
        <f t="shared" si="111"/>
        <v>0.25</v>
      </c>
      <c r="CO117" s="17">
        <f t="shared" si="112"/>
        <v>2.3622047244094495E-2</v>
      </c>
      <c r="CP117" s="17">
        <f t="shared" si="113"/>
        <v>1.5748031496062995E-2</v>
      </c>
      <c r="CQ117" s="17">
        <f>$U117-IF('Inputs-Imperial'!$E$13,0,2)*($CO117+$CN117+$CP117)</f>
        <v>3.3944882976000001</v>
      </c>
      <c r="CR117" s="116">
        <f t="shared" si="114"/>
        <v>2769.8929216855627</v>
      </c>
      <c r="CS117" s="8">
        <f t="shared" si="10"/>
        <v>7.1616393333615053E-2</v>
      </c>
      <c r="CT117" s="8">
        <f t="shared" si="115"/>
        <v>0.26761239383409552</v>
      </c>
      <c r="CU117" s="8">
        <f t="shared" si="272"/>
        <v>7.1616393333615053E-2</v>
      </c>
      <c r="CV117" s="8">
        <f t="shared" si="116"/>
        <v>0.26761239383409552</v>
      </c>
      <c r="CW117" s="216">
        <f t="shared" si="117"/>
        <v>3.1268759037659044</v>
      </c>
      <c r="CX117" s="116">
        <f t="shared" si="118"/>
        <v>3006.9530731753116</v>
      </c>
      <c r="CY117" s="8">
        <f t="shared" si="119"/>
        <v>7.7745653031670442E-2</v>
      </c>
      <c r="CZ117" s="8">
        <f t="shared" si="120"/>
        <v>0.2788290749395953</v>
      </c>
      <c r="DA117" s="8">
        <f t="shared" si="121"/>
        <v>7.7745653031670442E-2</v>
      </c>
      <c r="DB117" s="8">
        <f t="shared" si="122"/>
        <v>0.2788290749395953</v>
      </c>
      <c r="DC117" s="216">
        <f t="shared" si="123"/>
        <v>3.1156592226604052</v>
      </c>
      <c r="DD117" s="116">
        <f t="shared" si="124"/>
        <v>3017.7784013998175</v>
      </c>
      <c r="DE117" s="8">
        <f t="shared" si="125"/>
        <v>7.802554506577114E-2</v>
      </c>
      <c r="DF117" s="8">
        <f t="shared" si="126"/>
        <v>0.27933053013548509</v>
      </c>
      <c r="DG117" s="8">
        <f t="shared" si="127"/>
        <v>7.802554506577114E-2</v>
      </c>
      <c r="DH117" s="8">
        <f t="shared" si="128"/>
        <v>0.27933053013548509</v>
      </c>
      <c r="DI117" s="216">
        <f t="shared" si="129"/>
        <v>3.1151577674645154</v>
      </c>
      <c r="DJ117" s="116">
        <f t="shared" si="130"/>
        <v>3018.2641811812559</v>
      </c>
      <c r="DK117" s="8">
        <f t="shared" si="131"/>
        <v>7.8038105044400147E-2</v>
      </c>
      <c r="DL117" s="8">
        <f t="shared" si="132"/>
        <v>0.27935301151840147</v>
      </c>
      <c r="DM117" s="8">
        <f t="shared" si="133"/>
        <v>7.8038105044400147E-2</v>
      </c>
      <c r="DN117" s="8">
        <f t="shared" si="134"/>
        <v>0.27935301151840147</v>
      </c>
      <c r="DO117" s="216">
        <f t="shared" si="135"/>
        <v>3.1151352860815984</v>
      </c>
      <c r="DP117" s="116">
        <f t="shared" si="136"/>
        <v>3018.2859634624638</v>
      </c>
      <c r="DQ117" s="170">
        <f t="shared" si="137"/>
        <v>7.8038668231665068E-2</v>
      </c>
      <c r="DR117" s="8">
        <f t="shared" si="138"/>
        <v>0.2793540195373338</v>
      </c>
      <c r="DS117" s="8">
        <f t="shared" si="139"/>
        <v>7.8038668231665068E-2</v>
      </c>
      <c r="DT117" s="134">
        <f t="shared" si="140"/>
        <v>0.2793540195373338</v>
      </c>
      <c r="DU117" s="170">
        <f t="shared" si="307"/>
        <v>0.10588389379166488</v>
      </c>
      <c r="DV117" s="170">
        <f t="shared" si="307"/>
        <v>0.32539805437596714</v>
      </c>
      <c r="DW117" s="170">
        <f t="shared" si="307"/>
        <v>0.10588389379166488</v>
      </c>
      <c r="DX117" s="272">
        <f t="shared" si="307"/>
        <v>0.32539805437596714</v>
      </c>
      <c r="DY117" s="272">
        <f t="shared" si="142"/>
        <v>2.7436921888480659</v>
      </c>
      <c r="DZ117" s="22">
        <f t="shared" si="273"/>
        <v>119.96642786204626</v>
      </c>
      <c r="EA117" s="216">
        <f t="shared" si="274"/>
        <v>7.8597008332870321E-3</v>
      </c>
      <c r="EB117" s="12">
        <f t="shared" si="143"/>
        <v>1</v>
      </c>
      <c r="EC117" s="7">
        <f>ROUND(MAX(DV117,DX117)/'Inputs-Imperial'!$E$21,0)</f>
        <v>3</v>
      </c>
      <c r="ED117" s="12">
        <f t="shared" si="144"/>
        <v>3</v>
      </c>
      <c r="EE117" s="2">
        <f t="shared" si="145"/>
        <v>2</v>
      </c>
      <c r="EF117" s="127">
        <f t="shared" si="146"/>
        <v>2</v>
      </c>
      <c r="EG117" s="2">
        <f t="shared" si="147"/>
        <v>1.5748031496062995E-2</v>
      </c>
      <c r="EH117" s="8">
        <f t="shared" si="275"/>
        <v>8.2713790773484369E-2</v>
      </c>
      <c r="EI117" s="138">
        <f t="shared" si="148"/>
        <v>0.25</v>
      </c>
      <c r="EJ117" s="12">
        <f t="shared" si="276"/>
        <v>6856.0813523159431</v>
      </c>
      <c r="EK117" s="138">
        <f t="shared" si="149"/>
        <v>0.25</v>
      </c>
      <c r="EL117" s="116">
        <f t="shared" si="150"/>
        <v>2175570</v>
      </c>
      <c r="EM117" s="2">
        <f t="shared" si="277"/>
        <v>1.5748031496062995E-2</v>
      </c>
      <c r="EN117" s="8">
        <f t="shared" si="151"/>
        <v>3.3944882976000001</v>
      </c>
      <c r="EO117" s="116">
        <f t="shared" si="152"/>
        <v>2610.6840000000002</v>
      </c>
      <c r="EP117" s="217">
        <f t="shared" si="153"/>
        <v>1.4050965112665759</v>
      </c>
      <c r="EQ117" s="207">
        <f t="shared" si="154"/>
        <v>2</v>
      </c>
      <c r="ER117" s="144">
        <f t="shared" si="155"/>
        <v>58233.674814159058</v>
      </c>
      <c r="ES117" s="138">
        <f t="shared" si="278"/>
        <v>0.25</v>
      </c>
      <c r="ET117" s="116">
        <f t="shared" si="156"/>
        <v>2175570</v>
      </c>
      <c r="EU117" s="2">
        <f t="shared" si="279"/>
        <v>1.5748031496062995E-2</v>
      </c>
      <c r="EV117" s="8">
        <f t="shared" si="157"/>
        <v>3.3944882976000001</v>
      </c>
      <c r="EW117" s="116">
        <f t="shared" si="158"/>
        <v>2610.6840000000002</v>
      </c>
      <c r="EX117" s="217">
        <f t="shared" si="159"/>
        <v>1.4050965112665759</v>
      </c>
      <c r="EY117" s="207">
        <f t="shared" si="160"/>
        <v>2</v>
      </c>
      <c r="EZ117" s="144">
        <f t="shared" si="161"/>
        <v>58233.674814159058</v>
      </c>
      <c r="FA117" s="138">
        <f t="shared" si="280"/>
        <v>0.25</v>
      </c>
      <c r="FB117" s="116">
        <f t="shared" si="162"/>
        <v>2175570</v>
      </c>
      <c r="FC117" s="2">
        <f t="shared" si="281"/>
        <v>1.5748031496062995E-2</v>
      </c>
      <c r="FD117" s="8">
        <f t="shared" si="163"/>
        <v>3.3944882976000001</v>
      </c>
      <c r="FE117" s="116">
        <f t="shared" si="164"/>
        <v>2610.6840000000002</v>
      </c>
      <c r="FF117" s="217">
        <f t="shared" si="165"/>
        <v>1.4050965112665759</v>
      </c>
      <c r="FG117" s="207">
        <f t="shared" si="166"/>
        <v>2</v>
      </c>
      <c r="FH117" s="144">
        <f t="shared" si="167"/>
        <v>58233.674814159058</v>
      </c>
      <c r="FI117" s="128">
        <f t="shared" si="168"/>
        <v>0.25</v>
      </c>
      <c r="FJ117" s="2">
        <f t="shared" si="169"/>
        <v>1.5748031496062995E-2</v>
      </c>
      <c r="FK117" s="127">
        <f t="shared" si="170"/>
        <v>1.5748031496062995E-2</v>
      </c>
      <c r="FL117" s="216">
        <f t="shared" si="171"/>
        <v>0</v>
      </c>
      <c r="FM117" s="138">
        <f t="shared" si="172"/>
        <v>0</v>
      </c>
      <c r="FN117" s="138">
        <f t="shared" si="173"/>
        <v>0.25</v>
      </c>
      <c r="FO117" s="238">
        <f t="shared" si="174"/>
        <v>0</v>
      </c>
      <c r="FP117" s="216">
        <f t="shared" si="282"/>
        <v>0</v>
      </c>
      <c r="FQ117" s="138">
        <f t="shared" si="283"/>
        <v>0</v>
      </c>
      <c r="FR117" s="138">
        <f t="shared" si="284"/>
        <v>0.25</v>
      </c>
      <c r="FS117" s="238">
        <f t="shared" si="285"/>
        <v>0</v>
      </c>
      <c r="FT117" s="216">
        <f t="shared" si="175"/>
        <v>0</v>
      </c>
      <c r="FU117" s="138">
        <f t="shared" si="176"/>
        <v>0</v>
      </c>
      <c r="FV117" s="138">
        <f t="shared" si="177"/>
        <v>1.5748031496062995E-2</v>
      </c>
      <c r="FW117" s="238">
        <f t="shared" si="178"/>
        <v>0</v>
      </c>
      <c r="FX117" s="216">
        <f t="shared" si="286"/>
        <v>0</v>
      </c>
      <c r="FY117" s="138">
        <f t="shared" si="287"/>
        <v>0</v>
      </c>
      <c r="FZ117" s="138">
        <f t="shared" si="288"/>
        <v>1.5748031496062995E-2</v>
      </c>
      <c r="GA117" s="238">
        <f t="shared" si="289"/>
        <v>0</v>
      </c>
      <c r="GB117" s="216">
        <f t="shared" si="179"/>
        <v>0</v>
      </c>
      <c r="GC117" s="138">
        <f t="shared" si="180"/>
        <v>0</v>
      </c>
      <c r="GD117" s="138">
        <f t="shared" si="181"/>
        <v>1.5748031496062995E-2</v>
      </c>
      <c r="GE117" s="238">
        <f t="shared" si="182"/>
        <v>0</v>
      </c>
      <c r="GF117" s="216">
        <f t="shared" si="290"/>
        <v>0</v>
      </c>
      <c r="GG117" s="138">
        <f t="shared" si="291"/>
        <v>0</v>
      </c>
      <c r="GH117" s="138">
        <f t="shared" si="292"/>
        <v>1.5748031496062995E-2</v>
      </c>
      <c r="GI117" s="238">
        <f t="shared" si="293"/>
        <v>0</v>
      </c>
      <c r="GJ117" s="216">
        <f t="shared" si="183"/>
        <v>0.25</v>
      </c>
      <c r="GK117" s="216">
        <f t="shared" si="184"/>
        <v>1.5748031496062995E-2</v>
      </c>
      <c r="GL117" s="17">
        <f t="shared" si="185"/>
        <v>1.5748031496062995E-2</v>
      </c>
      <c r="GM117" s="216">
        <f t="shared" si="294"/>
        <v>4.1184068034623633E-3</v>
      </c>
      <c r="GN117" s="2">
        <f t="shared" si="187"/>
        <v>1</v>
      </c>
      <c r="GO117" s="2">
        <f t="shared" si="188"/>
        <v>2</v>
      </c>
      <c r="GP117" s="142">
        <f t="shared" si="189"/>
        <v>2</v>
      </c>
      <c r="GQ117" s="2">
        <f t="shared" si="190"/>
        <v>1.5748031496062995E-2</v>
      </c>
      <c r="GR117" s="8">
        <f t="shared" si="295"/>
        <v>4.3341221999058765E-2</v>
      </c>
      <c r="GS117" s="138">
        <f t="shared" si="191"/>
        <v>0.25</v>
      </c>
      <c r="GT117" s="12">
        <f t="shared" si="296"/>
        <v>3592.519955325155</v>
      </c>
      <c r="GU117" s="138">
        <f t="shared" si="192"/>
        <v>0.25</v>
      </c>
      <c r="GV117" s="116">
        <f t="shared" si="193"/>
        <v>2175570</v>
      </c>
      <c r="GW117" s="2">
        <f t="shared" si="297"/>
        <v>1.5748031496062995E-2</v>
      </c>
      <c r="GX117" s="8">
        <f t="shared" si="298"/>
        <v>1.6972441488000001</v>
      </c>
      <c r="GY117" s="116">
        <f t="shared" si="194"/>
        <v>2610.6840000000002</v>
      </c>
      <c r="GZ117" s="217">
        <f t="shared" si="195"/>
        <v>5.6203860450663035</v>
      </c>
      <c r="HA117" s="207">
        <f t="shared" si="196"/>
        <v>2</v>
      </c>
      <c r="HB117" s="144">
        <f t="shared" si="197"/>
        <v>232934.69925663623</v>
      </c>
      <c r="HC117" s="138">
        <f t="shared" si="299"/>
        <v>0.25</v>
      </c>
      <c r="HD117" s="116">
        <f t="shared" si="198"/>
        <v>2175570</v>
      </c>
      <c r="HE117" s="2">
        <f t="shared" si="300"/>
        <v>1.5748031496062995E-2</v>
      </c>
      <c r="HF117" s="8">
        <f t="shared" si="199"/>
        <v>1.6972441488000001</v>
      </c>
      <c r="HG117" s="116">
        <f t="shared" si="200"/>
        <v>2610.6840000000002</v>
      </c>
      <c r="HH117" s="217">
        <f t="shared" si="201"/>
        <v>5.6203860450663035</v>
      </c>
      <c r="HI117" s="207">
        <f t="shared" si="202"/>
        <v>2</v>
      </c>
      <c r="HJ117" s="144">
        <f t="shared" si="203"/>
        <v>232934.69925663623</v>
      </c>
      <c r="HK117" s="138">
        <f t="shared" si="301"/>
        <v>0.25</v>
      </c>
      <c r="HL117" s="116">
        <f t="shared" si="204"/>
        <v>2175570</v>
      </c>
      <c r="HM117" s="2">
        <f t="shared" si="302"/>
        <v>1.5748031496062995E-2</v>
      </c>
      <c r="HN117" s="8">
        <f t="shared" si="205"/>
        <v>1.6972441488000001</v>
      </c>
      <c r="HO117" s="116">
        <f t="shared" si="206"/>
        <v>2610.6840000000002</v>
      </c>
      <c r="HP117" s="217">
        <f t="shared" si="207"/>
        <v>5.6203860450663035</v>
      </c>
      <c r="HQ117" s="207">
        <f t="shared" si="208"/>
        <v>2</v>
      </c>
      <c r="HR117" s="144">
        <f t="shared" si="209"/>
        <v>232934.69925663623</v>
      </c>
      <c r="HS117" s="128">
        <f t="shared" si="210"/>
        <v>0.25</v>
      </c>
      <c r="HT117" s="2">
        <f t="shared" si="211"/>
        <v>1.5748031496062995E-2</v>
      </c>
      <c r="HU117" s="127">
        <f t="shared" si="212"/>
        <v>1.5748031496062995E-2</v>
      </c>
      <c r="HV117" s="216">
        <f t="shared" si="213"/>
        <v>0</v>
      </c>
      <c r="HW117" s="138">
        <f t="shared" si="214"/>
        <v>0</v>
      </c>
      <c r="HX117" s="138">
        <f t="shared" si="215"/>
        <v>0.25</v>
      </c>
      <c r="HY117" s="238">
        <f t="shared" si="216"/>
        <v>0</v>
      </c>
      <c r="HZ117" s="138">
        <f t="shared" si="217"/>
        <v>0</v>
      </c>
      <c r="IA117" s="138">
        <f t="shared" si="218"/>
        <v>0</v>
      </c>
      <c r="IB117" s="138">
        <f t="shared" si="219"/>
        <v>0.25</v>
      </c>
      <c r="IC117" s="138">
        <f t="shared" si="220"/>
        <v>0</v>
      </c>
      <c r="ID117" s="216">
        <f t="shared" si="221"/>
        <v>0</v>
      </c>
      <c r="IE117" s="138">
        <f t="shared" si="222"/>
        <v>0</v>
      </c>
      <c r="IF117" s="138">
        <f t="shared" si="223"/>
        <v>1.5748031496062995E-2</v>
      </c>
      <c r="IG117" s="238">
        <f t="shared" si="224"/>
        <v>0</v>
      </c>
      <c r="IH117" s="138">
        <f t="shared" si="225"/>
        <v>0</v>
      </c>
      <c r="II117" s="138">
        <f t="shared" si="226"/>
        <v>0</v>
      </c>
      <c r="IJ117" s="138">
        <f t="shared" si="227"/>
        <v>1.5748031496062995E-2</v>
      </c>
      <c r="IK117" s="138">
        <f t="shared" si="228"/>
        <v>0</v>
      </c>
      <c r="IL117" s="216">
        <f t="shared" si="229"/>
        <v>0</v>
      </c>
      <c r="IM117" s="138">
        <f t="shared" si="230"/>
        <v>0</v>
      </c>
      <c r="IN117" s="138">
        <f t="shared" si="231"/>
        <v>1.5748031496062995E-2</v>
      </c>
      <c r="IO117" s="238">
        <f t="shared" si="232"/>
        <v>0</v>
      </c>
      <c r="IP117" s="138">
        <f t="shared" si="233"/>
        <v>0</v>
      </c>
      <c r="IQ117" s="138">
        <f t="shared" si="234"/>
        <v>0</v>
      </c>
      <c r="IR117" s="138">
        <f t="shared" si="235"/>
        <v>1.5748031496062995E-2</v>
      </c>
      <c r="IS117" s="138">
        <f t="shared" si="236"/>
        <v>0</v>
      </c>
      <c r="IT117" s="17">
        <f t="shared" si="237"/>
        <v>0.25</v>
      </c>
      <c r="IU117" s="17">
        <f t="shared" si="238"/>
        <v>1.5748031496062995E-2</v>
      </c>
      <c r="IV117" s="17">
        <f t="shared" si="239"/>
        <v>1.5748031496062995E-2</v>
      </c>
      <c r="IW117" s="253">
        <f t="shared" si="240"/>
        <v>9.4291341600000003</v>
      </c>
      <c r="IX117" s="116">
        <f t="shared" si="303"/>
        <v>99.716145180680243</v>
      </c>
      <c r="IY117" s="8">
        <f t="shared" si="242"/>
        <v>2.5781901600101412E-3</v>
      </c>
      <c r="IZ117" s="8">
        <f t="shared" si="243"/>
        <v>2.5781901600101412E-3</v>
      </c>
      <c r="JA117" s="8">
        <f t="shared" si="244"/>
        <v>1.2890950800050706E-3</v>
      </c>
      <c r="JB117" s="134">
        <f t="shared" si="245"/>
        <v>3.5903970254068988E-2</v>
      </c>
      <c r="JC117" s="170">
        <f t="shared" si="308"/>
        <v>1.7308826818777986E-3</v>
      </c>
      <c r="JD117" s="272">
        <f t="shared" si="309"/>
        <v>4.160387820717918E-2</v>
      </c>
      <c r="JE117" s="8"/>
      <c r="JF117" s="8"/>
    </row>
    <row r="118" spans="1:266" x14ac:dyDescent="0.25">
      <c r="A118" s="186">
        <v>58</v>
      </c>
      <c r="B118" s="187">
        <f>A118/100*'Inputs-Imperial'!$E$5</f>
        <v>5.7086616000000001</v>
      </c>
      <c r="C118" s="188">
        <f>'Inputs-Imperial'!$E$10+('Inputs-Imperial'!$E$9-'Inputs-Imperial'!$E$10)*(100-A118)/100</f>
        <v>1.56167984</v>
      </c>
      <c r="D118" s="187">
        <f t="shared" si="248"/>
        <v>9.8425200000000324E-2</v>
      </c>
      <c r="E118" s="188">
        <f t="shared" si="249"/>
        <v>0.15419302658772049</v>
      </c>
      <c r="F118" s="423">
        <f>Loads!P78</f>
        <v>39.512205424936475</v>
      </c>
      <c r="G118" s="423">
        <f>Loads!M78</f>
        <v>395.12205424936474</v>
      </c>
      <c r="H118" s="423">
        <f>Loads!N78</f>
        <v>743.44959282992511</v>
      </c>
      <c r="I118" s="423">
        <f>Loads!V78</f>
        <v>-285.43184362837536</v>
      </c>
      <c r="J118" s="423">
        <f>Loads!Q78</f>
        <v>74.344959282992505</v>
      </c>
      <c r="K118" s="2">
        <v>58</v>
      </c>
      <c r="L118" s="12">
        <f t="shared" si="41"/>
        <v>68.503939200000005</v>
      </c>
      <c r="M118" s="11">
        <f t="shared" si="42"/>
        <v>18.74015808</v>
      </c>
      <c r="N118" s="11">
        <f t="shared" si="43"/>
        <v>1.1811024000000039</v>
      </c>
      <c r="O118" s="152">
        <f t="shared" si="44"/>
        <v>22.203795828631751</v>
      </c>
      <c r="P118" s="151">
        <f t="shared" si="45"/>
        <v>39.512205424936475</v>
      </c>
      <c r="Q118" s="12">
        <f t="shared" si="46"/>
        <v>395.12205424936474</v>
      </c>
      <c r="R118" s="12">
        <f t="shared" si="47"/>
        <v>8921.3951139591009</v>
      </c>
      <c r="S118" s="12">
        <f t="shared" si="48"/>
        <v>-3425.1821235405041</v>
      </c>
      <c r="T118" s="152">
        <f t="shared" si="49"/>
        <v>892.13951139591006</v>
      </c>
      <c r="U118" s="8">
        <f t="shared" si="261"/>
        <v>3.3732284544</v>
      </c>
      <c r="V118" s="8">
        <f t="shared" si="262"/>
        <v>3.3732284544</v>
      </c>
      <c r="W118" s="134">
        <f t="shared" si="263"/>
        <v>1.6866142272</v>
      </c>
      <c r="X118" s="311">
        <f t="shared" si="264"/>
        <v>4.6850395200000001</v>
      </c>
      <c r="Y118" s="11">
        <f t="shared" si="265"/>
        <v>14.05511856</v>
      </c>
      <c r="Z118" s="11">
        <f t="shared" si="266"/>
        <v>9.3700790400000002</v>
      </c>
      <c r="AA118" s="316">
        <f t="shared" si="50"/>
        <v>14.05511856</v>
      </c>
      <c r="AB118" s="170">
        <f t="shared" si="51"/>
        <v>2.5299213408000001</v>
      </c>
      <c r="AC118" s="11">
        <f t="shared" si="52"/>
        <v>14.05511856</v>
      </c>
      <c r="AD118" s="152">
        <f t="shared" si="53"/>
        <v>27.927458379259182</v>
      </c>
      <c r="AE118" s="151">
        <f t="shared" si="267"/>
        <v>2.811232452879179</v>
      </c>
      <c r="AF118" s="12">
        <f t="shared" si="268"/>
        <v>61.322839999007499</v>
      </c>
      <c r="AG118" s="216">
        <f t="shared" si="269"/>
        <v>4.2017973834466279E-3</v>
      </c>
      <c r="AH118" s="2">
        <f t="shared" si="55"/>
        <v>1</v>
      </c>
      <c r="AI118" s="2">
        <f t="shared" si="56"/>
        <v>3</v>
      </c>
      <c r="AJ118" s="127">
        <f t="shared" si="57"/>
        <v>2</v>
      </c>
      <c r="AK118" s="2">
        <f t="shared" si="58"/>
        <v>1.5748031496062995E-2</v>
      </c>
      <c r="AL118" s="8">
        <f t="shared" si="270"/>
        <v>4.4218806417550355E-2</v>
      </c>
      <c r="AM118" s="138">
        <f t="shared" si="59"/>
        <v>0.25</v>
      </c>
      <c r="AN118" s="12">
        <f t="shared" si="271"/>
        <v>3665.2622406253231</v>
      </c>
      <c r="AO118" s="138">
        <f t="shared" si="60"/>
        <v>0.25</v>
      </c>
      <c r="AP118" s="116">
        <f t="shared" si="61"/>
        <v>2175570</v>
      </c>
      <c r="AQ118" s="2">
        <f t="shared" si="62"/>
        <v>1.5748031496062995E-2</v>
      </c>
      <c r="AR118" s="8">
        <f t="shared" si="63"/>
        <v>9.3700790400000002</v>
      </c>
      <c r="AS118" s="116">
        <f t="shared" si="64"/>
        <v>2610.6840000000002</v>
      </c>
      <c r="AT118" s="217">
        <f t="shared" si="65"/>
        <v>0.18440312576769061</v>
      </c>
      <c r="AU118" s="207">
        <f t="shared" si="66"/>
        <v>3.1974914533228529</v>
      </c>
      <c r="AV118" s="144">
        <f t="shared" si="67"/>
        <v>12218.438762541433</v>
      </c>
      <c r="AW118" s="138">
        <f t="shared" si="68"/>
        <v>0.25</v>
      </c>
      <c r="AX118" s="116">
        <f t="shared" si="69"/>
        <v>2175570</v>
      </c>
      <c r="AY118" s="2">
        <f t="shared" si="70"/>
        <v>1.5748031496062995E-2</v>
      </c>
      <c r="AZ118" s="8">
        <f t="shared" si="71"/>
        <v>9.3700790400000002</v>
      </c>
      <c r="BA118" s="116">
        <f t="shared" si="72"/>
        <v>2610.6840000000002</v>
      </c>
      <c r="BB118" s="217">
        <f t="shared" si="73"/>
        <v>0.18440312576769061</v>
      </c>
      <c r="BC118" s="207">
        <f t="shared" si="74"/>
        <v>3.1974914533228529</v>
      </c>
      <c r="BD118" s="144">
        <f t="shared" si="75"/>
        <v>12218.438762541433</v>
      </c>
      <c r="BE118" s="138">
        <f t="shared" si="76"/>
        <v>0.25</v>
      </c>
      <c r="BF118" s="116">
        <f t="shared" si="77"/>
        <v>2175570</v>
      </c>
      <c r="BG118" s="2">
        <f t="shared" si="78"/>
        <v>1.5748031496062995E-2</v>
      </c>
      <c r="BH118" s="8">
        <f t="shared" si="79"/>
        <v>9.3700790400000002</v>
      </c>
      <c r="BI118" s="116">
        <f t="shared" si="80"/>
        <v>2610.6840000000002</v>
      </c>
      <c r="BJ118" s="217">
        <f t="shared" si="81"/>
        <v>0.18440312576769061</v>
      </c>
      <c r="BK118" s="207">
        <f t="shared" si="82"/>
        <v>3.1974914533228529</v>
      </c>
      <c r="BL118" s="144">
        <f t="shared" si="83"/>
        <v>12218.438762541433</v>
      </c>
      <c r="BM118" s="216">
        <f t="shared" si="84"/>
        <v>0.25</v>
      </c>
      <c r="BN118" s="216">
        <f t="shared" si="85"/>
        <v>2.3622047244094495E-2</v>
      </c>
      <c r="BO118" s="238">
        <f t="shared" si="86"/>
        <v>1.5748031496062995E-2</v>
      </c>
      <c r="BP118" s="216">
        <f t="shared" si="87"/>
        <v>0</v>
      </c>
      <c r="BQ118" s="138">
        <f t="shared" si="88"/>
        <v>0</v>
      </c>
      <c r="BR118" s="138">
        <f t="shared" si="89"/>
        <v>0.25</v>
      </c>
      <c r="BS118" s="238">
        <f t="shared" si="90"/>
        <v>0</v>
      </c>
      <c r="BT118" s="138">
        <f t="shared" si="91"/>
        <v>0</v>
      </c>
      <c r="BU118" s="138">
        <f t="shared" si="92"/>
        <v>0</v>
      </c>
      <c r="BV118" s="138">
        <f t="shared" si="93"/>
        <v>0.25</v>
      </c>
      <c r="BW118" s="238">
        <f t="shared" si="94"/>
        <v>0</v>
      </c>
      <c r="BX118" s="216">
        <f t="shared" si="95"/>
        <v>0</v>
      </c>
      <c r="BY118" s="138">
        <f t="shared" si="96"/>
        <v>0</v>
      </c>
      <c r="BZ118" s="138">
        <f t="shared" si="97"/>
        <v>2.3622047244094495E-2</v>
      </c>
      <c r="CA118" s="238">
        <f t="shared" si="98"/>
        <v>0</v>
      </c>
      <c r="CB118" s="138">
        <f t="shared" si="99"/>
        <v>0</v>
      </c>
      <c r="CC118" s="138">
        <f t="shared" si="100"/>
        <v>0</v>
      </c>
      <c r="CD118" s="138">
        <f t="shared" si="101"/>
        <v>2.3622047244094495E-2</v>
      </c>
      <c r="CE118" s="238">
        <f t="shared" si="102"/>
        <v>0</v>
      </c>
      <c r="CF118" s="216">
        <f t="shared" si="103"/>
        <v>0</v>
      </c>
      <c r="CG118" s="138">
        <f t="shared" si="104"/>
        <v>0</v>
      </c>
      <c r="CH118" s="138">
        <f t="shared" si="105"/>
        <v>1.5748031496062995E-2</v>
      </c>
      <c r="CI118" s="238">
        <f t="shared" si="106"/>
        <v>0</v>
      </c>
      <c r="CJ118" s="138">
        <f t="shared" si="107"/>
        <v>0</v>
      </c>
      <c r="CK118" s="138">
        <f t="shared" si="108"/>
        <v>0</v>
      </c>
      <c r="CL118" s="138">
        <f t="shared" si="109"/>
        <v>1.5748031496062995E-2</v>
      </c>
      <c r="CM118" s="238">
        <f t="shared" si="110"/>
        <v>0</v>
      </c>
      <c r="CN118" s="17">
        <f t="shared" si="111"/>
        <v>0.25</v>
      </c>
      <c r="CO118" s="17">
        <f t="shared" si="112"/>
        <v>2.3622047244094495E-2</v>
      </c>
      <c r="CP118" s="17">
        <f t="shared" si="113"/>
        <v>1.5748031496062995E-2</v>
      </c>
      <c r="CQ118" s="17">
        <f>$U118-IF('Inputs-Imperial'!$E$13,0,2)*($CO118+$CN118+$CP118)</f>
        <v>3.3732284544</v>
      </c>
      <c r="CR118" s="116">
        <f t="shared" si="114"/>
        <v>2644.7645733339336</v>
      </c>
      <c r="CS118" s="8">
        <f t="shared" si="10"/>
        <v>6.8381163212415025E-2</v>
      </c>
      <c r="CT118" s="8">
        <f t="shared" si="115"/>
        <v>0.26149792200400945</v>
      </c>
      <c r="CU118" s="8">
        <f t="shared" si="272"/>
        <v>6.8381163212415025E-2</v>
      </c>
      <c r="CV118" s="8">
        <f t="shared" si="116"/>
        <v>0.26149792200400945</v>
      </c>
      <c r="CW118" s="216">
        <f t="shared" si="117"/>
        <v>3.1117305323959905</v>
      </c>
      <c r="CX118" s="116">
        <f t="shared" si="118"/>
        <v>2867.0204637191855</v>
      </c>
      <c r="CY118" s="8">
        <f t="shared" si="119"/>
        <v>7.4127654400549817E-2</v>
      </c>
      <c r="CZ118" s="8">
        <f t="shared" si="120"/>
        <v>0.27226394252737512</v>
      </c>
      <c r="DA118" s="8">
        <f t="shared" si="121"/>
        <v>7.4127654400549817E-2</v>
      </c>
      <c r="DB118" s="8">
        <f t="shared" si="122"/>
        <v>0.27226394252737512</v>
      </c>
      <c r="DC118" s="216">
        <f t="shared" si="123"/>
        <v>3.100964511872625</v>
      </c>
      <c r="DD118" s="116">
        <f t="shared" si="124"/>
        <v>2876.974270360678</v>
      </c>
      <c r="DE118" s="8">
        <f t="shared" si="125"/>
        <v>7.4385012988682567E-2</v>
      </c>
      <c r="DF118" s="8">
        <f t="shared" si="126"/>
        <v>0.27273616003141676</v>
      </c>
      <c r="DG118" s="8">
        <f t="shared" si="127"/>
        <v>7.4385012988682567E-2</v>
      </c>
      <c r="DH118" s="8">
        <f t="shared" si="128"/>
        <v>0.27273616003141676</v>
      </c>
      <c r="DI118" s="216">
        <f t="shared" si="129"/>
        <v>3.1004922943685833</v>
      </c>
      <c r="DJ118" s="116">
        <f t="shared" si="130"/>
        <v>2877.4124451665334</v>
      </c>
      <c r="DK118" s="8">
        <f t="shared" si="131"/>
        <v>7.4396342126715059E-2</v>
      </c>
      <c r="DL118" s="8">
        <f t="shared" si="132"/>
        <v>0.27275692865024542</v>
      </c>
      <c r="DM118" s="8">
        <f t="shared" si="133"/>
        <v>7.4396342126715059E-2</v>
      </c>
      <c r="DN118" s="8">
        <f t="shared" si="134"/>
        <v>0.27275692865024542</v>
      </c>
      <c r="DO118" s="216">
        <f t="shared" si="135"/>
        <v>3.1004715257497542</v>
      </c>
      <c r="DP118" s="116">
        <f t="shared" si="136"/>
        <v>2877.4317196161751</v>
      </c>
      <c r="DQ118" s="170">
        <f t="shared" si="137"/>
        <v>7.4396840473259812E-2</v>
      </c>
      <c r="DR118" s="8">
        <f t="shared" si="138"/>
        <v>0.27275784218471116</v>
      </c>
      <c r="DS118" s="8">
        <f t="shared" si="139"/>
        <v>7.4396840473259812E-2</v>
      </c>
      <c r="DT118" s="134">
        <f t="shared" si="140"/>
        <v>0.27275784218471116</v>
      </c>
      <c r="DU118" s="170">
        <f t="shared" si="307"/>
        <v>0.10588389379166488</v>
      </c>
      <c r="DV118" s="170">
        <f t="shared" si="307"/>
        <v>0.32539805437596714</v>
      </c>
      <c r="DW118" s="170">
        <f t="shared" si="307"/>
        <v>0.10588389379166488</v>
      </c>
      <c r="DX118" s="272">
        <f t="shared" si="307"/>
        <v>0.32539805437596714</v>
      </c>
      <c r="DY118" s="272">
        <f t="shared" si="142"/>
        <v>2.7224323456480657</v>
      </c>
      <c r="DZ118" s="22">
        <f t="shared" si="273"/>
        <v>117.13468553663246</v>
      </c>
      <c r="EA118" s="216">
        <f t="shared" si="274"/>
        <v>7.6741768670295502E-3</v>
      </c>
      <c r="EB118" s="12">
        <f t="shared" si="143"/>
        <v>1</v>
      </c>
      <c r="EC118" s="7">
        <f>ROUND(MAX(DV118,DX118)/'Inputs-Imperial'!$E$21,0)</f>
        <v>3</v>
      </c>
      <c r="ED118" s="12">
        <f t="shared" si="144"/>
        <v>3</v>
      </c>
      <c r="EE118" s="2">
        <f t="shared" si="145"/>
        <v>2</v>
      </c>
      <c r="EF118" s="127">
        <f t="shared" si="146"/>
        <v>2</v>
      </c>
      <c r="EG118" s="2">
        <f t="shared" si="147"/>
        <v>1.5748031496062995E-2</v>
      </c>
      <c r="EH118" s="8">
        <f t="shared" si="275"/>
        <v>8.0761376698956444E-2</v>
      </c>
      <c r="EI118" s="138">
        <f t="shared" si="148"/>
        <v>0.25</v>
      </c>
      <c r="EJ118" s="12">
        <f t="shared" si="276"/>
        <v>6694.2472784185438</v>
      </c>
      <c r="EK118" s="138">
        <f t="shared" si="149"/>
        <v>0.25</v>
      </c>
      <c r="EL118" s="116">
        <f t="shared" si="150"/>
        <v>2175570</v>
      </c>
      <c r="EM118" s="2">
        <f t="shared" si="277"/>
        <v>1.5748031496062995E-2</v>
      </c>
      <c r="EN118" s="8">
        <f t="shared" si="151"/>
        <v>3.3732284544</v>
      </c>
      <c r="EO118" s="116">
        <f t="shared" si="152"/>
        <v>2610.6840000000002</v>
      </c>
      <c r="EP118" s="217">
        <f t="shared" si="153"/>
        <v>1.4228636247506994</v>
      </c>
      <c r="EQ118" s="207">
        <f t="shared" si="154"/>
        <v>2</v>
      </c>
      <c r="ER118" s="144">
        <f t="shared" si="155"/>
        <v>58970.025876683634</v>
      </c>
      <c r="ES118" s="138">
        <f t="shared" si="278"/>
        <v>0.25</v>
      </c>
      <c r="ET118" s="116">
        <f t="shared" si="156"/>
        <v>2175570</v>
      </c>
      <c r="EU118" s="2">
        <f t="shared" si="279"/>
        <v>1.5748031496062995E-2</v>
      </c>
      <c r="EV118" s="8">
        <f t="shared" si="157"/>
        <v>3.3732284544</v>
      </c>
      <c r="EW118" s="116">
        <f t="shared" si="158"/>
        <v>2610.6840000000002</v>
      </c>
      <c r="EX118" s="217">
        <f t="shared" si="159"/>
        <v>1.4228636247506994</v>
      </c>
      <c r="EY118" s="207">
        <f t="shared" si="160"/>
        <v>2</v>
      </c>
      <c r="EZ118" s="144">
        <f t="shared" si="161"/>
        <v>58970.025876683634</v>
      </c>
      <c r="FA118" s="138">
        <f t="shared" si="280"/>
        <v>0.25</v>
      </c>
      <c r="FB118" s="116">
        <f t="shared" si="162"/>
        <v>2175570</v>
      </c>
      <c r="FC118" s="2">
        <f t="shared" si="281"/>
        <v>1.5748031496062995E-2</v>
      </c>
      <c r="FD118" s="8">
        <f t="shared" si="163"/>
        <v>3.3732284544</v>
      </c>
      <c r="FE118" s="116">
        <f t="shared" si="164"/>
        <v>2610.6840000000002</v>
      </c>
      <c r="FF118" s="217">
        <f t="shared" si="165"/>
        <v>1.4228636247506994</v>
      </c>
      <c r="FG118" s="207">
        <f t="shared" si="166"/>
        <v>2</v>
      </c>
      <c r="FH118" s="144">
        <f t="shared" si="167"/>
        <v>58970.025876683634</v>
      </c>
      <c r="FI118" s="128">
        <f t="shared" si="168"/>
        <v>0.25</v>
      </c>
      <c r="FJ118" s="2">
        <f t="shared" si="169"/>
        <v>1.5748031496062995E-2</v>
      </c>
      <c r="FK118" s="127">
        <f t="shared" si="170"/>
        <v>1.5748031496062995E-2</v>
      </c>
      <c r="FL118" s="216">
        <f t="shared" si="171"/>
        <v>0</v>
      </c>
      <c r="FM118" s="138">
        <f t="shared" si="172"/>
        <v>0</v>
      </c>
      <c r="FN118" s="138">
        <f t="shared" si="173"/>
        <v>0.25</v>
      </c>
      <c r="FO118" s="238">
        <f t="shared" si="174"/>
        <v>0</v>
      </c>
      <c r="FP118" s="216">
        <f t="shared" si="282"/>
        <v>0</v>
      </c>
      <c r="FQ118" s="138">
        <f t="shared" si="283"/>
        <v>0</v>
      </c>
      <c r="FR118" s="138">
        <f t="shared" si="284"/>
        <v>0.25</v>
      </c>
      <c r="FS118" s="238">
        <f t="shared" si="285"/>
        <v>0</v>
      </c>
      <c r="FT118" s="216">
        <f t="shared" si="175"/>
        <v>0</v>
      </c>
      <c r="FU118" s="138">
        <f t="shared" si="176"/>
        <v>0</v>
      </c>
      <c r="FV118" s="138">
        <f t="shared" si="177"/>
        <v>1.5748031496062995E-2</v>
      </c>
      <c r="FW118" s="238">
        <f t="shared" si="178"/>
        <v>0</v>
      </c>
      <c r="FX118" s="216">
        <f t="shared" si="286"/>
        <v>0</v>
      </c>
      <c r="FY118" s="138">
        <f t="shared" si="287"/>
        <v>0</v>
      </c>
      <c r="FZ118" s="138">
        <f t="shared" si="288"/>
        <v>1.5748031496062995E-2</v>
      </c>
      <c r="GA118" s="238">
        <f t="shared" si="289"/>
        <v>0</v>
      </c>
      <c r="GB118" s="216">
        <f t="shared" si="179"/>
        <v>0</v>
      </c>
      <c r="GC118" s="138">
        <f t="shared" si="180"/>
        <v>0</v>
      </c>
      <c r="GD118" s="138">
        <f t="shared" si="181"/>
        <v>1.5748031496062995E-2</v>
      </c>
      <c r="GE118" s="238">
        <f t="shared" si="182"/>
        <v>0</v>
      </c>
      <c r="GF118" s="216">
        <f t="shared" si="290"/>
        <v>0</v>
      </c>
      <c r="GG118" s="138">
        <f t="shared" si="291"/>
        <v>0</v>
      </c>
      <c r="GH118" s="138">
        <f t="shared" si="292"/>
        <v>1.5748031496062995E-2</v>
      </c>
      <c r="GI118" s="238">
        <f t="shared" si="293"/>
        <v>0</v>
      </c>
      <c r="GJ118" s="216">
        <f t="shared" si="183"/>
        <v>0.25</v>
      </c>
      <c r="GK118" s="216">
        <f t="shared" si="184"/>
        <v>1.5748031496062995E-2</v>
      </c>
      <c r="GL118" s="17">
        <f t="shared" si="185"/>
        <v>1.5748031496062995E-2</v>
      </c>
      <c r="GM118" s="216">
        <f t="shared" si="294"/>
        <v>4.0176171386379191E-3</v>
      </c>
      <c r="GN118" s="2">
        <f t="shared" si="187"/>
        <v>1</v>
      </c>
      <c r="GO118" s="2">
        <f t="shared" si="188"/>
        <v>2</v>
      </c>
      <c r="GP118" s="142">
        <f t="shared" si="189"/>
        <v>2</v>
      </c>
      <c r="GQ118" s="2">
        <f t="shared" si="190"/>
        <v>1.5748031496062995E-2</v>
      </c>
      <c r="GR118" s="8">
        <f t="shared" si="295"/>
        <v>4.2280533376775391E-2</v>
      </c>
      <c r="GS118" s="138">
        <f t="shared" si="191"/>
        <v>0.25</v>
      </c>
      <c r="GT118" s="12">
        <f t="shared" si="296"/>
        <v>3504.6003059432778</v>
      </c>
      <c r="GU118" s="138">
        <f t="shared" si="192"/>
        <v>0.25</v>
      </c>
      <c r="GV118" s="116">
        <f t="shared" si="193"/>
        <v>2175570</v>
      </c>
      <c r="GW118" s="2">
        <f t="shared" si="297"/>
        <v>1.5748031496062995E-2</v>
      </c>
      <c r="GX118" s="8">
        <f t="shared" si="298"/>
        <v>1.6866142272</v>
      </c>
      <c r="GY118" s="116">
        <f t="shared" si="194"/>
        <v>2610.6840000000002</v>
      </c>
      <c r="GZ118" s="217">
        <f t="shared" si="195"/>
        <v>5.6914544990027975</v>
      </c>
      <c r="HA118" s="207">
        <f t="shared" si="196"/>
        <v>2</v>
      </c>
      <c r="HB118" s="144">
        <f t="shared" si="197"/>
        <v>235880.10350673454</v>
      </c>
      <c r="HC118" s="138">
        <f t="shared" si="299"/>
        <v>0.25</v>
      </c>
      <c r="HD118" s="116">
        <f t="shared" si="198"/>
        <v>2175570</v>
      </c>
      <c r="HE118" s="2">
        <f t="shared" si="300"/>
        <v>1.5748031496062995E-2</v>
      </c>
      <c r="HF118" s="8">
        <f t="shared" si="199"/>
        <v>1.6866142272</v>
      </c>
      <c r="HG118" s="116">
        <f t="shared" si="200"/>
        <v>2610.6840000000002</v>
      </c>
      <c r="HH118" s="217">
        <f t="shared" si="201"/>
        <v>5.6914544990027975</v>
      </c>
      <c r="HI118" s="207">
        <f t="shared" si="202"/>
        <v>2</v>
      </c>
      <c r="HJ118" s="144">
        <f t="shared" si="203"/>
        <v>235880.10350673454</v>
      </c>
      <c r="HK118" s="138">
        <f t="shared" si="301"/>
        <v>0.25</v>
      </c>
      <c r="HL118" s="116">
        <f t="shared" si="204"/>
        <v>2175570</v>
      </c>
      <c r="HM118" s="2">
        <f t="shared" si="302"/>
        <v>1.5748031496062995E-2</v>
      </c>
      <c r="HN118" s="8">
        <f t="shared" si="205"/>
        <v>1.6866142272</v>
      </c>
      <c r="HO118" s="116">
        <f t="shared" si="206"/>
        <v>2610.6840000000002</v>
      </c>
      <c r="HP118" s="217">
        <f t="shared" si="207"/>
        <v>5.6914544990027975</v>
      </c>
      <c r="HQ118" s="207">
        <f t="shared" si="208"/>
        <v>2</v>
      </c>
      <c r="HR118" s="144">
        <f t="shared" si="209"/>
        <v>235880.10350673454</v>
      </c>
      <c r="HS118" s="128">
        <f t="shared" si="210"/>
        <v>0.25</v>
      </c>
      <c r="HT118" s="2">
        <f t="shared" si="211"/>
        <v>1.5748031496062995E-2</v>
      </c>
      <c r="HU118" s="127">
        <f t="shared" si="212"/>
        <v>1.5748031496062995E-2</v>
      </c>
      <c r="HV118" s="216">
        <f t="shared" si="213"/>
        <v>0</v>
      </c>
      <c r="HW118" s="138">
        <f t="shared" si="214"/>
        <v>0</v>
      </c>
      <c r="HX118" s="138">
        <f t="shared" si="215"/>
        <v>0.25</v>
      </c>
      <c r="HY118" s="238">
        <f t="shared" si="216"/>
        <v>0</v>
      </c>
      <c r="HZ118" s="138">
        <f t="shared" si="217"/>
        <v>0</v>
      </c>
      <c r="IA118" s="138">
        <f t="shared" si="218"/>
        <v>0</v>
      </c>
      <c r="IB118" s="138">
        <f t="shared" si="219"/>
        <v>0.25</v>
      </c>
      <c r="IC118" s="138">
        <f t="shared" si="220"/>
        <v>0</v>
      </c>
      <c r="ID118" s="216">
        <f t="shared" si="221"/>
        <v>0</v>
      </c>
      <c r="IE118" s="138">
        <f t="shared" si="222"/>
        <v>0</v>
      </c>
      <c r="IF118" s="138">
        <f t="shared" si="223"/>
        <v>1.5748031496062995E-2</v>
      </c>
      <c r="IG118" s="238">
        <f t="shared" si="224"/>
        <v>0</v>
      </c>
      <c r="IH118" s="138">
        <f t="shared" si="225"/>
        <v>0</v>
      </c>
      <c r="II118" s="138">
        <f t="shared" si="226"/>
        <v>0</v>
      </c>
      <c r="IJ118" s="138">
        <f t="shared" si="227"/>
        <v>1.5748031496062995E-2</v>
      </c>
      <c r="IK118" s="138">
        <f t="shared" si="228"/>
        <v>0</v>
      </c>
      <c r="IL118" s="216">
        <f t="shared" si="229"/>
        <v>0</v>
      </c>
      <c r="IM118" s="138">
        <f t="shared" si="230"/>
        <v>0</v>
      </c>
      <c r="IN118" s="138">
        <f t="shared" si="231"/>
        <v>1.5748031496062995E-2</v>
      </c>
      <c r="IO118" s="238">
        <f t="shared" si="232"/>
        <v>0</v>
      </c>
      <c r="IP118" s="138">
        <f t="shared" si="233"/>
        <v>0</v>
      </c>
      <c r="IQ118" s="138">
        <f t="shared" si="234"/>
        <v>0</v>
      </c>
      <c r="IR118" s="138">
        <f t="shared" si="235"/>
        <v>1.5748031496062995E-2</v>
      </c>
      <c r="IS118" s="138">
        <f t="shared" si="236"/>
        <v>0</v>
      </c>
      <c r="IT118" s="17">
        <f t="shared" si="237"/>
        <v>0.25</v>
      </c>
      <c r="IU118" s="17">
        <f t="shared" si="238"/>
        <v>1.5748031496062995E-2</v>
      </c>
      <c r="IV118" s="17">
        <f t="shared" si="239"/>
        <v>1.5748031496062995E-2</v>
      </c>
      <c r="IW118" s="253">
        <f t="shared" si="240"/>
        <v>9.3700790400000002</v>
      </c>
      <c r="IX118" s="116">
        <f t="shared" si="303"/>
        <v>95.211524640021608</v>
      </c>
      <c r="IY118" s="8">
        <f t="shared" si="242"/>
        <v>2.4617218756469409E-3</v>
      </c>
      <c r="IZ118" s="8">
        <f t="shared" si="243"/>
        <v>2.4617218756469409E-3</v>
      </c>
      <c r="JA118" s="8">
        <f t="shared" si="244"/>
        <v>1.2308609378234704E-3</v>
      </c>
      <c r="JB118" s="134">
        <f t="shared" si="245"/>
        <v>3.5083627774554191E-2</v>
      </c>
      <c r="JC118" s="170">
        <f t="shared" si="308"/>
        <v>1.7308826818777986E-3</v>
      </c>
      <c r="JD118" s="272">
        <f t="shared" si="309"/>
        <v>4.160387820717918E-2</v>
      </c>
      <c r="JE118" s="8"/>
      <c r="JF118" s="8"/>
    </row>
    <row r="119" spans="1:266" x14ac:dyDescent="0.25">
      <c r="A119" s="186">
        <v>59</v>
      </c>
      <c r="B119" s="187">
        <f>A119/100*'Inputs-Imperial'!$E$5</f>
        <v>5.8070867999999995</v>
      </c>
      <c r="C119" s="188">
        <f>'Inputs-Imperial'!$E$10+('Inputs-Imperial'!$E$9-'Inputs-Imperial'!$E$10)*(100-A119)/100</f>
        <v>1.55183732</v>
      </c>
      <c r="D119" s="187">
        <f t="shared" si="248"/>
        <v>9.8425199999999435E-2</v>
      </c>
      <c r="E119" s="188">
        <f t="shared" si="249"/>
        <v>0.15322427458821511</v>
      </c>
      <c r="F119" s="423">
        <f>Loads!P79</f>
        <v>38.311079587017041</v>
      </c>
      <c r="G119" s="423">
        <f>Loads!M79</f>
        <v>383.11079587017042</v>
      </c>
      <c r="H119" s="423">
        <f>Loads!N79</f>
        <v>704.55962561602075</v>
      </c>
      <c r="I119" s="423">
        <f>Loads!V79</f>
        <v>-274.73569793136824</v>
      </c>
      <c r="J119" s="423">
        <f>Loads!Q79</f>
        <v>70.455962561602064</v>
      </c>
      <c r="K119" s="2">
        <v>59</v>
      </c>
      <c r="L119" s="12">
        <f t="shared" si="41"/>
        <v>69.685041599999991</v>
      </c>
      <c r="M119" s="11">
        <f t="shared" si="42"/>
        <v>18.62204784</v>
      </c>
      <c r="N119" s="11">
        <f t="shared" si="43"/>
        <v>1.1811023999999932</v>
      </c>
      <c r="O119" s="152">
        <f t="shared" si="44"/>
        <v>22.064295540702979</v>
      </c>
      <c r="P119" s="151">
        <f t="shared" si="45"/>
        <v>38.311079587017041</v>
      </c>
      <c r="Q119" s="12">
        <f t="shared" si="46"/>
        <v>383.11079587017042</v>
      </c>
      <c r="R119" s="12">
        <f t="shared" si="47"/>
        <v>8454.7155073922495</v>
      </c>
      <c r="S119" s="12">
        <f t="shared" si="48"/>
        <v>-3296.8283751764188</v>
      </c>
      <c r="T119" s="152">
        <f t="shared" si="49"/>
        <v>845.47155073922477</v>
      </c>
      <c r="U119" s="8">
        <f t="shared" si="261"/>
        <v>3.3519686111999998</v>
      </c>
      <c r="V119" s="8">
        <f t="shared" si="262"/>
        <v>3.3519686111999998</v>
      </c>
      <c r="W119" s="134">
        <f t="shared" si="263"/>
        <v>1.6759843055999999</v>
      </c>
      <c r="X119" s="311">
        <f t="shared" si="264"/>
        <v>4.6555119600000001</v>
      </c>
      <c r="Y119" s="11">
        <f t="shared" si="265"/>
        <v>13.96653588</v>
      </c>
      <c r="Z119" s="11">
        <f t="shared" si="266"/>
        <v>9.3110239200000002</v>
      </c>
      <c r="AA119" s="316">
        <f t="shared" si="50"/>
        <v>13.96653588</v>
      </c>
      <c r="AB119" s="170">
        <f t="shared" si="51"/>
        <v>2.5139764583999997</v>
      </c>
      <c r="AC119" s="11">
        <f t="shared" si="52"/>
        <v>13.96653588</v>
      </c>
      <c r="AD119" s="152">
        <f t="shared" si="53"/>
        <v>27.576540921074063</v>
      </c>
      <c r="AE119" s="151">
        <f t="shared" si="267"/>
        <v>2.7430624111937654</v>
      </c>
      <c r="AF119" s="12">
        <f t="shared" si="268"/>
        <v>59.775959294752852</v>
      </c>
      <c r="AG119" s="216">
        <f t="shared" si="269"/>
        <v>4.0959859833750757E-3</v>
      </c>
      <c r="AH119" s="2">
        <f t="shared" si="55"/>
        <v>1</v>
      </c>
      <c r="AI119" s="2">
        <f t="shared" si="56"/>
        <v>3</v>
      </c>
      <c r="AJ119" s="127">
        <f t="shared" si="57"/>
        <v>2</v>
      </c>
      <c r="AK119" s="2">
        <f t="shared" si="58"/>
        <v>1.5748031496062995E-2</v>
      </c>
      <c r="AL119" s="8">
        <f t="shared" si="270"/>
        <v>4.3105270140202295E-2</v>
      </c>
      <c r="AM119" s="138">
        <f t="shared" si="59"/>
        <v>0.25</v>
      </c>
      <c r="AN119" s="12">
        <f t="shared" si="271"/>
        <v>3572.9620904948483</v>
      </c>
      <c r="AO119" s="138">
        <f t="shared" si="60"/>
        <v>0.25</v>
      </c>
      <c r="AP119" s="116">
        <f t="shared" si="61"/>
        <v>2175570</v>
      </c>
      <c r="AQ119" s="2">
        <f t="shared" si="62"/>
        <v>1.5748031496062995E-2</v>
      </c>
      <c r="AR119" s="8">
        <f t="shared" si="63"/>
        <v>9.3110239200000002</v>
      </c>
      <c r="AS119" s="116">
        <f t="shared" si="64"/>
        <v>2610.6840000000002</v>
      </c>
      <c r="AT119" s="217">
        <f t="shared" si="65"/>
        <v>0.18674969549741102</v>
      </c>
      <c r="AU119" s="207">
        <f t="shared" si="66"/>
        <v>3.1824239372336804</v>
      </c>
      <c r="AV119" s="144">
        <f t="shared" si="67"/>
        <v>12315.611503579905</v>
      </c>
      <c r="AW119" s="138">
        <f t="shared" si="68"/>
        <v>0.25</v>
      </c>
      <c r="AX119" s="116">
        <f t="shared" si="69"/>
        <v>2175570</v>
      </c>
      <c r="AY119" s="2">
        <f t="shared" si="70"/>
        <v>1.5748031496062995E-2</v>
      </c>
      <c r="AZ119" s="8">
        <f t="shared" si="71"/>
        <v>9.3110239200000002</v>
      </c>
      <c r="BA119" s="116">
        <f t="shared" si="72"/>
        <v>2610.6840000000002</v>
      </c>
      <c r="BB119" s="217">
        <f t="shared" si="73"/>
        <v>0.18674969549741102</v>
      </c>
      <c r="BC119" s="207">
        <f t="shared" si="74"/>
        <v>3.1824239372336804</v>
      </c>
      <c r="BD119" s="144">
        <f t="shared" si="75"/>
        <v>12315.611503579905</v>
      </c>
      <c r="BE119" s="138">
        <f t="shared" si="76"/>
        <v>0.25</v>
      </c>
      <c r="BF119" s="116">
        <f t="shared" si="77"/>
        <v>2175570</v>
      </c>
      <c r="BG119" s="2">
        <f t="shared" si="78"/>
        <v>1.5748031496062995E-2</v>
      </c>
      <c r="BH119" s="8">
        <f t="shared" si="79"/>
        <v>9.3110239200000002</v>
      </c>
      <c r="BI119" s="116">
        <f t="shared" si="80"/>
        <v>2610.6840000000002</v>
      </c>
      <c r="BJ119" s="217">
        <f t="shared" si="81"/>
        <v>0.18674969549741102</v>
      </c>
      <c r="BK119" s="207">
        <f t="shared" si="82"/>
        <v>3.1824239372336804</v>
      </c>
      <c r="BL119" s="144">
        <f t="shared" si="83"/>
        <v>12315.611503579905</v>
      </c>
      <c r="BM119" s="216">
        <f t="shared" si="84"/>
        <v>0.25</v>
      </c>
      <c r="BN119" s="216">
        <f t="shared" si="85"/>
        <v>2.3622047244094495E-2</v>
      </c>
      <c r="BO119" s="238">
        <f t="shared" si="86"/>
        <v>1.5748031496062995E-2</v>
      </c>
      <c r="BP119" s="216">
        <f t="shared" si="87"/>
        <v>0</v>
      </c>
      <c r="BQ119" s="138">
        <f t="shared" si="88"/>
        <v>0</v>
      </c>
      <c r="BR119" s="138">
        <f t="shared" si="89"/>
        <v>0.25</v>
      </c>
      <c r="BS119" s="238">
        <f t="shared" si="90"/>
        <v>0</v>
      </c>
      <c r="BT119" s="138">
        <f t="shared" si="91"/>
        <v>0</v>
      </c>
      <c r="BU119" s="138">
        <f t="shared" si="92"/>
        <v>0</v>
      </c>
      <c r="BV119" s="138">
        <f t="shared" si="93"/>
        <v>0.25</v>
      </c>
      <c r="BW119" s="238">
        <f t="shared" si="94"/>
        <v>0</v>
      </c>
      <c r="BX119" s="216">
        <f t="shared" si="95"/>
        <v>0</v>
      </c>
      <c r="BY119" s="138">
        <f t="shared" si="96"/>
        <v>0</v>
      </c>
      <c r="BZ119" s="138">
        <f t="shared" si="97"/>
        <v>2.3622047244094495E-2</v>
      </c>
      <c r="CA119" s="238">
        <f t="shared" si="98"/>
        <v>0</v>
      </c>
      <c r="CB119" s="138">
        <f t="shared" si="99"/>
        <v>0</v>
      </c>
      <c r="CC119" s="138">
        <f t="shared" si="100"/>
        <v>0</v>
      </c>
      <c r="CD119" s="138">
        <f t="shared" si="101"/>
        <v>2.3622047244094495E-2</v>
      </c>
      <c r="CE119" s="238">
        <f t="shared" si="102"/>
        <v>0</v>
      </c>
      <c r="CF119" s="216">
        <f t="shared" si="103"/>
        <v>0</v>
      </c>
      <c r="CG119" s="138">
        <f t="shared" si="104"/>
        <v>0</v>
      </c>
      <c r="CH119" s="138">
        <f t="shared" si="105"/>
        <v>1.5748031496062995E-2</v>
      </c>
      <c r="CI119" s="238">
        <f t="shared" si="106"/>
        <v>0</v>
      </c>
      <c r="CJ119" s="138">
        <f t="shared" si="107"/>
        <v>0</v>
      </c>
      <c r="CK119" s="138">
        <f t="shared" si="108"/>
        <v>0</v>
      </c>
      <c r="CL119" s="138">
        <f t="shared" si="109"/>
        <v>1.5748031496062995E-2</v>
      </c>
      <c r="CM119" s="238">
        <f t="shared" si="110"/>
        <v>0</v>
      </c>
      <c r="CN119" s="17">
        <f t="shared" si="111"/>
        <v>0.25</v>
      </c>
      <c r="CO119" s="17">
        <f t="shared" si="112"/>
        <v>2.3622047244094495E-2</v>
      </c>
      <c r="CP119" s="17">
        <f t="shared" si="113"/>
        <v>1.5748031496062995E-2</v>
      </c>
      <c r="CQ119" s="17">
        <f>$U119-IF('Inputs-Imperial'!$E$13,0,2)*($CO119+$CN119+$CP119)</f>
        <v>3.3519686111999998</v>
      </c>
      <c r="CR119" s="116">
        <f t="shared" si="114"/>
        <v>2522.3134486230983</v>
      </c>
      <c r="CS119" s="8">
        <f t="shared" si="10"/>
        <v>6.5215153493130201E-2</v>
      </c>
      <c r="CT119" s="8">
        <f t="shared" si="115"/>
        <v>0.25537257780178785</v>
      </c>
      <c r="CU119" s="8">
        <f t="shared" si="272"/>
        <v>6.5215153493130201E-2</v>
      </c>
      <c r="CV119" s="8">
        <f t="shared" si="116"/>
        <v>0.25537257780178785</v>
      </c>
      <c r="CW119" s="216">
        <f t="shared" si="117"/>
        <v>3.0965960333982117</v>
      </c>
      <c r="CX119" s="116">
        <f t="shared" si="118"/>
        <v>2730.3256273030956</v>
      </c>
      <c r="CY119" s="8">
        <f t="shared" si="119"/>
        <v>7.0593369340356371E-2</v>
      </c>
      <c r="CZ119" s="8">
        <f t="shared" si="120"/>
        <v>0.26569412741036708</v>
      </c>
      <c r="DA119" s="8">
        <f t="shared" si="121"/>
        <v>7.0593369340356371E-2</v>
      </c>
      <c r="DB119" s="8">
        <f t="shared" si="122"/>
        <v>0.26569412741036708</v>
      </c>
      <c r="DC119" s="216">
        <f t="shared" si="123"/>
        <v>3.0862744837896323</v>
      </c>
      <c r="DD119" s="116">
        <f t="shared" si="124"/>
        <v>2739.4567630973365</v>
      </c>
      <c r="DE119" s="8">
        <f t="shared" si="125"/>
        <v>7.0829457532612217E-2</v>
      </c>
      <c r="DF119" s="8">
        <f t="shared" si="126"/>
        <v>0.266138042249905</v>
      </c>
      <c r="DG119" s="8">
        <f t="shared" si="127"/>
        <v>7.0829457532612217E-2</v>
      </c>
      <c r="DH119" s="8">
        <f t="shared" si="128"/>
        <v>0.266138042249905</v>
      </c>
      <c r="DI119" s="216">
        <f t="shared" si="129"/>
        <v>3.0858305689500951</v>
      </c>
      <c r="DJ119" s="116">
        <f t="shared" si="130"/>
        <v>2739.8508500318708</v>
      </c>
      <c r="DK119" s="8">
        <f t="shared" si="131"/>
        <v>7.0839646765809755E-2</v>
      </c>
      <c r="DL119" s="8">
        <f t="shared" si="132"/>
        <v>0.26615718432123858</v>
      </c>
      <c r="DM119" s="8">
        <f t="shared" si="133"/>
        <v>7.0839646765809755E-2</v>
      </c>
      <c r="DN119" s="8">
        <f t="shared" si="134"/>
        <v>0.26615718432123858</v>
      </c>
      <c r="DO119" s="216">
        <f t="shared" si="135"/>
        <v>3.0858114268787609</v>
      </c>
      <c r="DP119" s="116">
        <f t="shared" si="136"/>
        <v>2739.8678460219562</v>
      </c>
      <c r="DQ119" s="170">
        <f t="shared" si="137"/>
        <v>7.0840086202114863E-2</v>
      </c>
      <c r="DR119" s="8">
        <f t="shared" si="138"/>
        <v>0.26615800984023541</v>
      </c>
      <c r="DS119" s="8">
        <f t="shared" si="139"/>
        <v>7.0840086202114863E-2</v>
      </c>
      <c r="DT119" s="134">
        <f t="shared" si="140"/>
        <v>0.26615800984023541</v>
      </c>
      <c r="DU119" s="170">
        <f t="shared" si="307"/>
        <v>0.10588389379166488</v>
      </c>
      <c r="DV119" s="170">
        <f t="shared" si="307"/>
        <v>0.32539805437596714</v>
      </c>
      <c r="DW119" s="170">
        <f t="shared" si="307"/>
        <v>0.10588389379166488</v>
      </c>
      <c r="DX119" s="272">
        <f t="shared" si="307"/>
        <v>0.32539805437596714</v>
      </c>
      <c r="DY119" s="272">
        <f t="shared" si="142"/>
        <v>2.7011725024480655</v>
      </c>
      <c r="DZ119" s="22">
        <f t="shared" si="273"/>
        <v>114.29426713307357</v>
      </c>
      <c r="EA119" s="216">
        <f t="shared" si="274"/>
        <v>7.4880844802577458E-3</v>
      </c>
      <c r="EB119" s="12">
        <f t="shared" si="143"/>
        <v>1</v>
      </c>
      <c r="EC119" s="7">
        <f>ROUND(MAX(DV119,DX119)/'Inputs-Imperial'!$E$21,0)</f>
        <v>3</v>
      </c>
      <c r="ED119" s="12">
        <f t="shared" si="144"/>
        <v>3</v>
      </c>
      <c r="EE119" s="2">
        <f t="shared" si="145"/>
        <v>2</v>
      </c>
      <c r="EF119" s="127">
        <f t="shared" si="146"/>
        <v>2</v>
      </c>
      <c r="EG119" s="2">
        <f t="shared" si="147"/>
        <v>1.5748031496062995E-2</v>
      </c>
      <c r="EH119" s="8">
        <f t="shared" si="275"/>
        <v>7.8802980689938892E-2</v>
      </c>
      <c r="EI119" s="138">
        <f t="shared" si="148"/>
        <v>0.25</v>
      </c>
      <c r="EJ119" s="12">
        <f t="shared" si="276"/>
        <v>6531.9173666551542</v>
      </c>
      <c r="EK119" s="138">
        <f t="shared" si="149"/>
        <v>0.25</v>
      </c>
      <c r="EL119" s="116">
        <f t="shared" si="150"/>
        <v>2175570</v>
      </c>
      <c r="EM119" s="2">
        <f t="shared" si="277"/>
        <v>1.5748031496062995E-2</v>
      </c>
      <c r="EN119" s="8">
        <f t="shared" si="151"/>
        <v>3.3519686111999998</v>
      </c>
      <c r="EO119" s="116">
        <f t="shared" si="152"/>
        <v>2610.6840000000002</v>
      </c>
      <c r="EP119" s="217">
        <f t="shared" si="153"/>
        <v>1.4409698726652087</v>
      </c>
      <c r="EQ119" s="207">
        <f t="shared" si="154"/>
        <v>2</v>
      </c>
      <c r="ER119" s="144">
        <f t="shared" si="155"/>
        <v>59720.432232904415</v>
      </c>
      <c r="ES119" s="138">
        <f t="shared" si="278"/>
        <v>0.25</v>
      </c>
      <c r="ET119" s="116">
        <f t="shared" si="156"/>
        <v>2175570</v>
      </c>
      <c r="EU119" s="2">
        <f t="shared" si="279"/>
        <v>1.5748031496062995E-2</v>
      </c>
      <c r="EV119" s="8">
        <f t="shared" si="157"/>
        <v>3.3519686111999998</v>
      </c>
      <c r="EW119" s="116">
        <f t="shared" si="158"/>
        <v>2610.6840000000002</v>
      </c>
      <c r="EX119" s="217">
        <f t="shared" si="159"/>
        <v>1.4409698726652087</v>
      </c>
      <c r="EY119" s="207">
        <f t="shared" si="160"/>
        <v>2</v>
      </c>
      <c r="EZ119" s="144">
        <f t="shared" si="161"/>
        <v>59720.432232904415</v>
      </c>
      <c r="FA119" s="138">
        <f t="shared" si="280"/>
        <v>0.25</v>
      </c>
      <c r="FB119" s="116">
        <f t="shared" si="162"/>
        <v>2175570</v>
      </c>
      <c r="FC119" s="2">
        <f t="shared" si="281"/>
        <v>1.5748031496062995E-2</v>
      </c>
      <c r="FD119" s="8">
        <f t="shared" si="163"/>
        <v>3.3519686111999998</v>
      </c>
      <c r="FE119" s="116">
        <f t="shared" si="164"/>
        <v>2610.6840000000002</v>
      </c>
      <c r="FF119" s="217">
        <f t="shared" si="165"/>
        <v>1.4409698726652087</v>
      </c>
      <c r="FG119" s="207">
        <f t="shared" si="166"/>
        <v>2</v>
      </c>
      <c r="FH119" s="144">
        <f t="shared" si="167"/>
        <v>59720.432232904415</v>
      </c>
      <c r="FI119" s="128">
        <f t="shared" si="168"/>
        <v>0.25</v>
      </c>
      <c r="FJ119" s="2">
        <f t="shared" si="169"/>
        <v>1.5748031496062995E-2</v>
      </c>
      <c r="FK119" s="127">
        <f t="shared" si="170"/>
        <v>1.5748031496062995E-2</v>
      </c>
      <c r="FL119" s="216">
        <f t="shared" si="171"/>
        <v>0</v>
      </c>
      <c r="FM119" s="138">
        <f t="shared" si="172"/>
        <v>0</v>
      </c>
      <c r="FN119" s="138">
        <f t="shared" si="173"/>
        <v>0.25</v>
      </c>
      <c r="FO119" s="238">
        <f t="shared" si="174"/>
        <v>0</v>
      </c>
      <c r="FP119" s="216">
        <f t="shared" si="282"/>
        <v>0</v>
      </c>
      <c r="FQ119" s="138">
        <f t="shared" si="283"/>
        <v>0</v>
      </c>
      <c r="FR119" s="138">
        <f t="shared" si="284"/>
        <v>0.25</v>
      </c>
      <c r="FS119" s="238">
        <f t="shared" si="285"/>
        <v>0</v>
      </c>
      <c r="FT119" s="216">
        <f t="shared" si="175"/>
        <v>0</v>
      </c>
      <c r="FU119" s="138">
        <f t="shared" si="176"/>
        <v>0</v>
      </c>
      <c r="FV119" s="138">
        <f t="shared" si="177"/>
        <v>1.5748031496062995E-2</v>
      </c>
      <c r="FW119" s="238">
        <f t="shared" si="178"/>
        <v>0</v>
      </c>
      <c r="FX119" s="216">
        <f t="shared" si="286"/>
        <v>0</v>
      </c>
      <c r="FY119" s="138">
        <f t="shared" si="287"/>
        <v>0</v>
      </c>
      <c r="FZ119" s="138">
        <f t="shared" si="288"/>
        <v>1.5748031496062995E-2</v>
      </c>
      <c r="GA119" s="238">
        <f t="shared" si="289"/>
        <v>0</v>
      </c>
      <c r="GB119" s="216">
        <f t="shared" si="179"/>
        <v>0</v>
      </c>
      <c r="GC119" s="138">
        <f t="shared" si="180"/>
        <v>0</v>
      </c>
      <c r="GD119" s="138">
        <f t="shared" si="181"/>
        <v>1.5748031496062995E-2</v>
      </c>
      <c r="GE119" s="238">
        <f t="shared" si="182"/>
        <v>0</v>
      </c>
      <c r="GF119" s="216">
        <f t="shared" si="290"/>
        <v>0</v>
      </c>
      <c r="GG119" s="138">
        <f t="shared" si="291"/>
        <v>0</v>
      </c>
      <c r="GH119" s="138">
        <f t="shared" si="292"/>
        <v>1.5748031496062995E-2</v>
      </c>
      <c r="GI119" s="238">
        <f t="shared" si="293"/>
        <v>0</v>
      </c>
      <c r="GJ119" s="216">
        <f t="shared" si="183"/>
        <v>0.25</v>
      </c>
      <c r="GK119" s="216">
        <f t="shared" si="184"/>
        <v>1.5748031496062995E-2</v>
      </c>
      <c r="GL119" s="17">
        <f t="shared" si="185"/>
        <v>1.5748031496062995E-2</v>
      </c>
      <c r="GM119" s="216">
        <f t="shared" si="294"/>
        <v>3.9162719558488903E-3</v>
      </c>
      <c r="GN119" s="2">
        <f t="shared" si="187"/>
        <v>1</v>
      </c>
      <c r="GO119" s="2">
        <f t="shared" si="188"/>
        <v>2</v>
      </c>
      <c r="GP119" s="142">
        <f t="shared" si="189"/>
        <v>2</v>
      </c>
      <c r="GQ119" s="2">
        <f t="shared" si="190"/>
        <v>1.5748031496062995E-2</v>
      </c>
      <c r="GR119" s="8">
        <f t="shared" si="295"/>
        <v>4.1213998603643769E-2</v>
      </c>
      <c r="GS119" s="138">
        <f t="shared" si="191"/>
        <v>0.25</v>
      </c>
      <c r="GT119" s="12">
        <f t="shared" si="296"/>
        <v>3416.1960736951246</v>
      </c>
      <c r="GU119" s="138">
        <f t="shared" si="192"/>
        <v>0.25</v>
      </c>
      <c r="GV119" s="116">
        <f t="shared" si="193"/>
        <v>2175570</v>
      </c>
      <c r="GW119" s="2">
        <f t="shared" si="297"/>
        <v>1.5748031496062995E-2</v>
      </c>
      <c r="GX119" s="8">
        <f t="shared" si="298"/>
        <v>1.6759843055999999</v>
      </c>
      <c r="GY119" s="116">
        <f t="shared" si="194"/>
        <v>2610.6840000000002</v>
      </c>
      <c r="GZ119" s="217">
        <f t="shared" si="195"/>
        <v>5.7638794906608348</v>
      </c>
      <c r="HA119" s="207">
        <f t="shared" si="196"/>
        <v>2</v>
      </c>
      <c r="HB119" s="144">
        <f t="shared" si="197"/>
        <v>238881.72893161766</v>
      </c>
      <c r="HC119" s="138">
        <f t="shared" si="299"/>
        <v>0.25</v>
      </c>
      <c r="HD119" s="116">
        <f t="shared" si="198"/>
        <v>2175570</v>
      </c>
      <c r="HE119" s="2">
        <f t="shared" si="300"/>
        <v>1.5748031496062995E-2</v>
      </c>
      <c r="HF119" s="8">
        <f t="shared" si="199"/>
        <v>1.6759843055999999</v>
      </c>
      <c r="HG119" s="116">
        <f t="shared" si="200"/>
        <v>2610.6840000000002</v>
      </c>
      <c r="HH119" s="217">
        <f t="shared" si="201"/>
        <v>5.7638794906608348</v>
      </c>
      <c r="HI119" s="207">
        <f t="shared" si="202"/>
        <v>2</v>
      </c>
      <c r="HJ119" s="144">
        <f t="shared" si="203"/>
        <v>238881.72893161766</v>
      </c>
      <c r="HK119" s="138">
        <f t="shared" si="301"/>
        <v>0.25</v>
      </c>
      <c r="HL119" s="116">
        <f t="shared" si="204"/>
        <v>2175570</v>
      </c>
      <c r="HM119" s="2">
        <f t="shared" si="302"/>
        <v>1.5748031496062995E-2</v>
      </c>
      <c r="HN119" s="8">
        <f t="shared" si="205"/>
        <v>1.6759843055999999</v>
      </c>
      <c r="HO119" s="116">
        <f t="shared" si="206"/>
        <v>2610.6840000000002</v>
      </c>
      <c r="HP119" s="217">
        <f t="shared" si="207"/>
        <v>5.7638794906608348</v>
      </c>
      <c r="HQ119" s="207">
        <f t="shared" si="208"/>
        <v>2</v>
      </c>
      <c r="HR119" s="144">
        <f t="shared" si="209"/>
        <v>238881.72893161766</v>
      </c>
      <c r="HS119" s="128">
        <f t="shared" si="210"/>
        <v>0.25</v>
      </c>
      <c r="HT119" s="2">
        <f t="shared" si="211"/>
        <v>1.5748031496062995E-2</v>
      </c>
      <c r="HU119" s="127">
        <f t="shared" si="212"/>
        <v>1.5748031496062995E-2</v>
      </c>
      <c r="HV119" s="216">
        <f t="shared" si="213"/>
        <v>0</v>
      </c>
      <c r="HW119" s="138">
        <f t="shared" si="214"/>
        <v>0</v>
      </c>
      <c r="HX119" s="138">
        <f t="shared" si="215"/>
        <v>0.25</v>
      </c>
      <c r="HY119" s="238">
        <f t="shared" si="216"/>
        <v>0</v>
      </c>
      <c r="HZ119" s="138">
        <f t="shared" si="217"/>
        <v>0</v>
      </c>
      <c r="IA119" s="138">
        <f t="shared" si="218"/>
        <v>0</v>
      </c>
      <c r="IB119" s="138">
        <f t="shared" si="219"/>
        <v>0.25</v>
      </c>
      <c r="IC119" s="138">
        <f t="shared" si="220"/>
        <v>0</v>
      </c>
      <c r="ID119" s="216">
        <f t="shared" si="221"/>
        <v>0</v>
      </c>
      <c r="IE119" s="138">
        <f t="shared" si="222"/>
        <v>0</v>
      </c>
      <c r="IF119" s="138">
        <f t="shared" si="223"/>
        <v>1.5748031496062995E-2</v>
      </c>
      <c r="IG119" s="238">
        <f t="shared" si="224"/>
        <v>0</v>
      </c>
      <c r="IH119" s="138">
        <f t="shared" si="225"/>
        <v>0</v>
      </c>
      <c r="II119" s="138">
        <f t="shared" si="226"/>
        <v>0</v>
      </c>
      <c r="IJ119" s="138">
        <f t="shared" si="227"/>
        <v>1.5748031496062995E-2</v>
      </c>
      <c r="IK119" s="138">
        <f t="shared" si="228"/>
        <v>0</v>
      </c>
      <c r="IL119" s="216">
        <f t="shared" si="229"/>
        <v>0</v>
      </c>
      <c r="IM119" s="138">
        <f t="shared" si="230"/>
        <v>0</v>
      </c>
      <c r="IN119" s="138">
        <f t="shared" si="231"/>
        <v>1.5748031496062995E-2</v>
      </c>
      <c r="IO119" s="238">
        <f t="shared" si="232"/>
        <v>0</v>
      </c>
      <c r="IP119" s="138">
        <f t="shared" si="233"/>
        <v>0</v>
      </c>
      <c r="IQ119" s="138">
        <f t="shared" si="234"/>
        <v>0</v>
      </c>
      <c r="IR119" s="138">
        <f t="shared" si="235"/>
        <v>1.5748031496062995E-2</v>
      </c>
      <c r="IS119" s="138">
        <f t="shared" si="236"/>
        <v>0</v>
      </c>
      <c r="IT119" s="17">
        <f t="shared" si="237"/>
        <v>0.25</v>
      </c>
      <c r="IU119" s="17">
        <f t="shared" si="238"/>
        <v>1.5748031496062995E-2</v>
      </c>
      <c r="IV119" s="17">
        <f t="shared" si="239"/>
        <v>1.5748031496062995E-2</v>
      </c>
      <c r="IW119" s="253">
        <f t="shared" si="240"/>
        <v>9.3110239200000002</v>
      </c>
      <c r="IX119" s="116">
        <f t="shared" si="303"/>
        <v>90.803284150431523</v>
      </c>
      <c r="IY119" s="8">
        <f t="shared" si="242"/>
        <v>2.3477455257526867E-3</v>
      </c>
      <c r="IZ119" s="8">
        <f t="shared" si="243"/>
        <v>2.3477455257526867E-3</v>
      </c>
      <c r="JA119" s="8">
        <f t="shared" si="244"/>
        <v>1.1738727628763433E-3</v>
      </c>
      <c r="JB119" s="134">
        <f t="shared" si="245"/>
        <v>3.4261826613249086E-2</v>
      </c>
      <c r="JC119" s="170">
        <f t="shared" si="308"/>
        <v>1.7308826818777986E-3</v>
      </c>
      <c r="JD119" s="272">
        <f t="shared" si="309"/>
        <v>4.160387820717918E-2</v>
      </c>
      <c r="JE119" s="8"/>
      <c r="JF119" s="8"/>
    </row>
    <row r="120" spans="1:266" x14ac:dyDescent="0.25">
      <c r="A120" s="186">
        <v>60</v>
      </c>
      <c r="B120" s="187">
        <f>A120/100*'Inputs-Imperial'!$E$5</f>
        <v>5.9055119999999999</v>
      </c>
      <c r="C120" s="188">
        <f>'Inputs-Imperial'!$E$10+('Inputs-Imperial'!$E$9-'Inputs-Imperial'!$E$10)*(100-A120)/100</f>
        <v>1.5419947999999999</v>
      </c>
      <c r="D120" s="187">
        <f t="shared" si="248"/>
        <v>9.8425200000000324E-2</v>
      </c>
      <c r="E120" s="188">
        <f t="shared" si="249"/>
        <v>0.1522555225887125</v>
      </c>
      <c r="F120" s="423">
        <f>Loads!P80</f>
        <v>37.119230749358991</v>
      </c>
      <c r="G120" s="423">
        <f>Loads!M80</f>
        <v>371.19230749358991</v>
      </c>
      <c r="H120" s="423">
        <f>Loads!N80</f>
        <v>666.85186891033993</v>
      </c>
      <c r="I120" s="423">
        <f>Loads!V80</f>
        <v>-264.20510507053365</v>
      </c>
      <c r="J120" s="423">
        <f>Loads!Q80</f>
        <v>66.685186891033979</v>
      </c>
      <c r="K120" s="2">
        <v>60</v>
      </c>
      <c r="L120" s="12">
        <f t="shared" si="41"/>
        <v>70.866143999999991</v>
      </c>
      <c r="M120" s="11">
        <f t="shared" si="42"/>
        <v>18.5039376</v>
      </c>
      <c r="N120" s="11">
        <f t="shared" si="43"/>
        <v>1.1811024000000039</v>
      </c>
      <c r="O120" s="152">
        <f t="shared" si="44"/>
        <v>21.924795252774601</v>
      </c>
      <c r="P120" s="151">
        <f t="shared" si="45"/>
        <v>37.119230749358991</v>
      </c>
      <c r="Q120" s="12">
        <f t="shared" si="46"/>
        <v>371.19230749358991</v>
      </c>
      <c r="R120" s="12">
        <f t="shared" si="47"/>
        <v>8002.2224269240796</v>
      </c>
      <c r="S120" s="12">
        <f t="shared" si="48"/>
        <v>-3170.461260846404</v>
      </c>
      <c r="T120" s="152">
        <f t="shared" si="49"/>
        <v>800.22224269240769</v>
      </c>
      <c r="U120" s="8">
        <f t="shared" si="261"/>
        <v>3.330708768</v>
      </c>
      <c r="V120" s="8">
        <f t="shared" si="262"/>
        <v>3.330708768</v>
      </c>
      <c r="W120" s="134">
        <f t="shared" si="263"/>
        <v>1.665354384</v>
      </c>
      <c r="X120" s="311">
        <f t="shared" si="264"/>
        <v>4.6259844000000001</v>
      </c>
      <c r="Y120" s="11">
        <f t="shared" si="265"/>
        <v>13.8779532</v>
      </c>
      <c r="Z120" s="11">
        <f t="shared" si="266"/>
        <v>9.2519688000000002</v>
      </c>
      <c r="AA120" s="316">
        <f t="shared" si="50"/>
        <v>13.8779532</v>
      </c>
      <c r="AB120" s="170">
        <f t="shared" si="51"/>
        <v>2.4980315759999998</v>
      </c>
      <c r="AC120" s="11">
        <f t="shared" si="52"/>
        <v>13.8779532</v>
      </c>
      <c r="AD120" s="152">
        <f t="shared" si="53"/>
        <v>27.22784211910508</v>
      </c>
      <c r="AE120" s="151">
        <f t="shared" si="267"/>
        <v>2.6746905840091024</v>
      </c>
      <c r="AF120" s="12">
        <f t="shared" si="268"/>
        <v>58.220942500283051</v>
      </c>
      <c r="AG120" s="216">
        <f t="shared" si="269"/>
        <v>3.9896283204042433E-3</v>
      </c>
      <c r="AH120" s="2">
        <f t="shared" si="55"/>
        <v>1</v>
      </c>
      <c r="AI120" s="2">
        <f t="shared" si="56"/>
        <v>3</v>
      </c>
      <c r="AJ120" s="127">
        <f t="shared" si="57"/>
        <v>2</v>
      </c>
      <c r="AK120" s="2">
        <f t="shared" si="58"/>
        <v>1.5748031496062995E-2</v>
      </c>
      <c r="AL120" s="8">
        <f t="shared" si="270"/>
        <v>4.1985985110310507E-2</v>
      </c>
      <c r="AM120" s="138">
        <f t="shared" si="59"/>
        <v>0.25</v>
      </c>
      <c r="AN120" s="12">
        <f t="shared" si="271"/>
        <v>3480.1854307672961</v>
      </c>
      <c r="AO120" s="138">
        <f t="shared" si="60"/>
        <v>0.25</v>
      </c>
      <c r="AP120" s="116">
        <f t="shared" si="61"/>
        <v>2175570</v>
      </c>
      <c r="AQ120" s="2">
        <f t="shared" si="62"/>
        <v>1.5748031496062995E-2</v>
      </c>
      <c r="AR120" s="8">
        <f t="shared" si="63"/>
        <v>9.2519688000000002</v>
      </c>
      <c r="AS120" s="116">
        <f t="shared" si="64"/>
        <v>2610.6840000000002</v>
      </c>
      <c r="AT120" s="217">
        <f t="shared" si="65"/>
        <v>0.18914134279737557</v>
      </c>
      <c r="AU120" s="207">
        <f t="shared" si="66"/>
        <v>3.1672595392262681</v>
      </c>
      <c r="AV120" s="144">
        <f t="shared" si="67"/>
        <v>12413.897828116709</v>
      </c>
      <c r="AW120" s="138">
        <f t="shared" si="68"/>
        <v>0.25</v>
      </c>
      <c r="AX120" s="116">
        <f t="shared" si="69"/>
        <v>2175570</v>
      </c>
      <c r="AY120" s="2">
        <f t="shared" si="70"/>
        <v>1.5748031496062995E-2</v>
      </c>
      <c r="AZ120" s="8">
        <f t="shared" si="71"/>
        <v>9.2519688000000002</v>
      </c>
      <c r="BA120" s="116">
        <f t="shared" si="72"/>
        <v>2610.6840000000002</v>
      </c>
      <c r="BB120" s="217">
        <f t="shared" si="73"/>
        <v>0.18914134279737557</v>
      </c>
      <c r="BC120" s="207">
        <f t="shared" si="74"/>
        <v>3.1672595392262681</v>
      </c>
      <c r="BD120" s="144">
        <f t="shared" si="75"/>
        <v>12413.897828116709</v>
      </c>
      <c r="BE120" s="138">
        <f t="shared" si="76"/>
        <v>0.25</v>
      </c>
      <c r="BF120" s="116">
        <f t="shared" si="77"/>
        <v>2175570</v>
      </c>
      <c r="BG120" s="2">
        <f t="shared" si="78"/>
        <v>1.5748031496062995E-2</v>
      </c>
      <c r="BH120" s="8">
        <f t="shared" si="79"/>
        <v>9.2519688000000002</v>
      </c>
      <c r="BI120" s="116">
        <f t="shared" si="80"/>
        <v>2610.6840000000002</v>
      </c>
      <c r="BJ120" s="217">
        <f t="shared" si="81"/>
        <v>0.18914134279737557</v>
      </c>
      <c r="BK120" s="207">
        <f t="shared" si="82"/>
        <v>3.1672595392262681</v>
      </c>
      <c r="BL120" s="144">
        <f t="shared" si="83"/>
        <v>12413.897828116709</v>
      </c>
      <c r="BM120" s="216">
        <f t="shared" si="84"/>
        <v>0.25</v>
      </c>
      <c r="BN120" s="216">
        <f t="shared" si="85"/>
        <v>2.3622047244094495E-2</v>
      </c>
      <c r="BO120" s="238">
        <f t="shared" si="86"/>
        <v>1.5748031496062995E-2</v>
      </c>
      <c r="BP120" s="216">
        <f t="shared" si="87"/>
        <v>0</v>
      </c>
      <c r="BQ120" s="138">
        <f t="shared" si="88"/>
        <v>0</v>
      </c>
      <c r="BR120" s="138">
        <f t="shared" si="89"/>
        <v>0.25</v>
      </c>
      <c r="BS120" s="238">
        <f t="shared" si="90"/>
        <v>0</v>
      </c>
      <c r="BT120" s="138">
        <f t="shared" si="91"/>
        <v>0</v>
      </c>
      <c r="BU120" s="138">
        <f t="shared" si="92"/>
        <v>0</v>
      </c>
      <c r="BV120" s="138">
        <f t="shared" si="93"/>
        <v>0.25</v>
      </c>
      <c r="BW120" s="238">
        <f t="shared" si="94"/>
        <v>0</v>
      </c>
      <c r="BX120" s="216">
        <f t="shared" si="95"/>
        <v>0</v>
      </c>
      <c r="BY120" s="138">
        <f t="shared" si="96"/>
        <v>0</v>
      </c>
      <c r="BZ120" s="138">
        <f t="shared" si="97"/>
        <v>2.3622047244094495E-2</v>
      </c>
      <c r="CA120" s="238">
        <f t="shared" si="98"/>
        <v>0</v>
      </c>
      <c r="CB120" s="138">
        <f t="shared" si="99"/>
        <v>0</v>
      </c>
      <c r="CC120" s="138">
        <f t="shared" si="100"/>
        <v>0</v>
      </c>
      <c r="CD120" s="138">
        <f t="shared" si="101"/>
        <v>2.3622047244094495E-2</v>
      </c>
      <c r="CE120" s="238">
        <f t="shared" si="102"/>
        <v>0</v>
      </c>
      <c r="CF120" s="216">
        <f t="shared" si="103"/>
        <v>0</v>
      </c>
      <c r="CG120" s="138">
        <f t="shared" si="104"/>
        <v>0</v>
      </c>
      <c r="CH120" s="138">
        <f t="shared" si="105"/>
        <v>1.5748031496062995E-2</v>
      </c>
      <c r="CI120" s="238">
        <f t="shared" si="106"/>
        <v>0</v>
      </c>
      <c r="CJ120" s="138">
        <f t="shared" si="107"/>
        <v>0</v>
      </c>
      <c r="CK120" s="138">
        <f t="shared" si="108"/>
        <v>0</v>
      </c>
      <c r="CL120" s="138">
        <f t="shared" si="109"/>
        <v>1.5748031496062995E-2</v>
      </c>
      <c r="CM120" s="238">
        <f t="shared" si="110"/>
        <v>0</v>
      </c>
      <c r="CN120" s="17">
        <f t="shared" si="111"/>
        <v>0.25</v>
      </c>
      <c r="CO120" s="17">
        <f t="shared" si="112"/>
        <v>2.3622047244094495E-2</v>
      </c>
      <c r="CP120" s="17">
        <f t="shared" si="113"/>
        <v>1.5748031496062995E-2</v>
      </c>
      <c r="CQ120" s="17">
        <f>$U120-IF('Inputs-Imperial'!$E$13,0,2)*($CO120+$CN120+$CP120)</f>
        <v>3.330708768</v>
      </c>
      <c r="CR120" s="116">
        <f t="shared" si="114"/>
        <v>2402.558429546873</v>
      </c>
      <c r="CS120" s="8">
        <f t="shared" si="10"/>
        <v>6.2118852375244921E-2</v>
      </c>
      <c r="CT120" s="8">
        <f t="shared" si="115"/>
        <v>0.24923653900510839</v>
      </c>
      <c r="CU120" s="8">
        <f t="shared" si="272"/>
        <v>6.2118852375244921E-2</v>
      </c>
      <c r="CV120" s="8">
        <f t="shared" si="116"/>
        <v>0.24923653900510839</v>
      </c>
      <c r="CW120" s="216">
        <f t="shared" si="117"/>
        <v>3.0814722289948913</v>
      </c>
      <c r="CX120" s="116">
        <f t="shared" si="118"/>
        <v>2596.8828638557061</v>
      </c>
      <c r="CY120" s="8">
        <f t="shared" si="119"/>
        <v>6.7143167579936963E-2</v>
      </c>
      <c r="CZ120" s="8">
        <f t="shared" si="120"/>
        <v>0.25911998683995213</v>
      </c>
      <c r="DA120" s="8">
        <f t="shared" si="121"/>
        <v>6.7143167579936963E-2</v>
      </c>
      <c r="DB120" s="8">
        <f t="shared" si="122"/>
        <v>0.25911998683995213</v>
      </c>
      <c r="DC120" s="216">
        <f t="shared" si="123"/>
        <v>3.071588781160048</v>
      </c>
      <c r="DD120" s="116">
        <f t="shared" si="124"/>
        <v>2605.2388509837824</v>
      </c>
      <c r="DE120" s="8">
        <f t="shared" si="125"/>
        <v>6.7359214076236462E-2</v>
      </c>
      <c r="DF120" s="8">
        <f t="shared" si="126"/>
        <v>0.25953653707375474</v>
      </c>
      <c r="DG120" s="8">
        <f t="shared" si="127"/>
        <v>6.7359214076236462E-2</v>
      </c>
      <c r="DH120" s="8">
        <f t="shared" si="128"/>
        <v>0.25953653707375474</v>
      </c>
      <c r="DI120" s="216">
        <f t="shared" si="129"/>
        <v>3.071172230926245</v>
      </c>
      <c r="DJ120" s="116">
        <f t="shared" si="130"/>
        <v>2605.5922055894152</v>
      </c>
      <c r="DK120" s="8">
        <f t="shared" si="131"/>
        <v>6.7368350163131779E-2</v>
      </c>
      <c r="DL120" s="8">
        <f t="shared" si="132"/>
        <v>0.25955413724911375</v>
      </c>
      <c r="DM120" s="8">
        <f t="shared" si="133"/>
        <v>6.7368350163131779E-2</v>
      </c>
      <c r="DN120" s="8">
        <f t="shared" si="134"/>
        <v>0.25955413724911375</v>
      </c>
      <c r="DO120" s="216">
        <f t="shared" si="135"/>
        <v>3.0711546307508861</v>
      </c>
      <c r="DP120" s="116">
        <f t="shared" si="136"/>
        <v>2605.6071377192638</v>
      </c>
      <c r="DQ120" s="170">
        <f t="shared" si="137"/>
        <v>6.7368736237725546E-2</v>
      </c>
      <c r="DR120" s="8">
        <f t="shared" si="138"/>
        <v>0.25955488097457452</v>
      </c>
      <c r="DS120" s="8">
        <f t="shared" si="139"/>
        <v>6.7368736237725546E-2</v>
      </c>
      <c r="DT120" s="134">
        <f t="shared" si="140"/>
        <v>0.25955488097457452</v>
      </c>
      <c r="DU120" s="170">
        <f>MAX(DQ$120:DQ$129)</f>
        <v>6.7368736237725546E-2</v>
      </c>
      <c r="DV120" s="170">
        <f>MAX(DR$120:DR$129)</f>
        <v>0.25955488097457452</v>
      </c>
      <c r="DW120" s="170">
        <f>MAX(DS$120:DS$129)</f>
        <v>6.7368736237725546E-2</v>
      </c>
      <c r="DX120" s="272">
        <f>MAX(DT$120:DT$129)</f>
        <v>0.25955488097457452</v>
      </c>
      <c r="DY120" s="272">
        <f t="shared" si="142"/>
        <v>2.8115990060508507</v>
      </c>
      <c r="DZ120" s="22">
        <f t="shared" si="273"/>
        <v>111.44544100037926</v>
      </c>
      <c r="EA120" s="216">
        <f t="shared" si="274"/>
        <v>7.3014412540813737E-3</v>
      </c>
      <c r="EB120" s="12">
        <f t="shared" si="143"/>
        <v>1</v>
      </c>
      <c r="EC120" s="7">
        <f>ROUND(MAX(DV120,DX120)/'Inputs-Imperial'!$E$21,0)</f>
        <v>2</v>
      </c>
      <c r="ED120" s="12">
        <f t="shared" si="144"/>
        <v>2</v>
      </c>
      <c r="EE120" s="2">
        <f t="shared" si="145"/>
        <v>2</v>
      </c>
      <c r="EF120" s="127">
        <f t="shared" si="146"/>
        <v>2</v>
      </c>
      <c r="EG120" s="2">
        <f t="shared" si="147"/>
        <v>1.5748031496062995E-2</v>
      </c>
      <c r="EH120" s="8">
        <f t="shared" si="275"/>
        <v>7.6838787766226269E-2</v>
      </c>
      <c r="EI120" s="138">
        <f t="shared" si="148"/>
        <v>0.25</v>
      </c>
      <c r="EJ120" s="12">
        <f t="shared" si="276"/>
        <v>6369.1069531716739</v>
      </c>
      <c r="EK120" s="138">
        <f t="shared" si="149"/>
        <v>0.25</v>
      </c>
      <c r="EL120" s="116">
        <f t="shared" si="150"/>
        <v>2175570</v>
      </c>
      <c r="EM120" s="2">
        <f t="shared" si="277"/>
        <v>1.5748031496062995E-2</v>
      </c>
      <c r="EN120" s="8">
        <f t="shared" si="151"/>
        <v>3.330708768</v>
      </c>
      <c r="EO120" s="116">
        <f t="shared" si="152"/>
        <v>2610.6840000000002</v>
      </c>
      <c r="EP120" s="217">
        <f t="shared" si="153"/>
        <v>1.4594239413377745</v>
      </c>
      <c r="EQ120" s="207">
        <f t="shared" si="154"/>
        <v>2</v>
      </c>
      <c r="ER120" s="144">
        <f t="shared" si="155"/>
        <v>60485.25388427102</v>
      </c>
      <c r="ES120" s="138">
        <f t="shared" si="278"/>
        <v>0.25</v>
      </c>
      <c r="ET120" s="116">
        <f t="shared" si="156"/>
        <v>2175570</v>
      </c>
      <c r="EU120" s="2">
        <f t="shared" si="279"/>
        <v>1.5748031496062995E-2</v>
      </c>
      <c r="EV120" s="8">
        <f t="shared" si="157"/>
        <v>3.330708768</v>
      </c>
      <c r="EW120" s="116">
        <f t="shared" si="158"/>
        <v>2610.6840000000002</v>
      </c>
      <c r="EX120" s="217">
        <f t="shared" si="159"/>
        <v>1.4594239413377745</v>
      </c>
      <c r="EY120" s="207">
        <f t="shared" si="160"/>
        <v>2</v>
      </c>
      <c r="EZ120" s="144">
        <f t="shared" si="161"/>
        <v>60485.25388427102</v>
      </c>
      <c r="FA120" s="138">
        <f t="shared" si="280"/>
        <v>0.25</v>
      </c>
      <c r="FB120" s="116">
        <f t="shared" si="162"/>
        <v>2175570</v>
      </c>
      <c r="FC120" s="2">
        <f t="shared" si="281"/>
        <v>1.5748031496062995E-2</v>
      </c>
      <c r="FD120" s="8">
        <f t="shared" si="163"/>
        <v>3.330708768</v>
      </c>
      <c r="FE120" s="116">
        <f t="shared" si="164"/>
        <v>2610.6840000000002</v>
      </c>
      <c r="FF120" s="217">
        <f t="shared" si="165"/>
        <v>1.4594239413377745</v>
      </c>
      <c r="FG120" s="207">
        <f t="shared" si="166"/>
        <v>2</v>
      </c>
      <c r="FH120" s="144">
        <f t="shared" si="167"/>
        <v>60485.25388427102</v>
      </c>
      <c r="FI120" s="128">
        <f t="shared" si="168"/>
        <v>0.25</v>
      </c>
      <c r="FJ120" s="2">
        <f t="shared" si="169"/>
        <v>1.5748031496062995E-2</v>
      </c>
      <c r="FK120" s="127">
        <f t="shared" si="170"/>
        <v>1.5748031496062995E-2</v>
      </c>
      <c r="FL120" s="216">
        <f t="shared" si="171"/>
        <v>0</v>
      </c>
      <c r="FM120" s="138">
        <f t="shared" si="172"/>
        <v>0</v>
      </c>
      <c r="FN120" s="138">
        <f t="shared" si="173"/>
        <v>0.25</v>
      </c>
      <c r="FO120" s="238">
        <f t="shared" si="174"/>
        <v>0</v>
      </c>
      <c r="FP120" s="216">
        <f t="shared" si="282"/>
        <v>0</v>
      </c>
      <c r="FQ120" s="138">
        <f t="shared" si="283"/>
        <v>0</v>
      </c>
      <c r="FR120" s="138">
        <f t="shared" si="284"/>
        <v>0.25</v>
      </c>
      <c r="FS120" s="238">
        <f t="shared" si="285"/>
        <v>0</v>
      </c>
      <c r="FT120" s="216">
        <f t="shared" si="175"/>
        <v>0</v>
      </c>
      <c r="FU120" s="138">
        <f t="shared" si="176"/>
        <v>0</v>
      </c>
      <c r="FV120" s="138">
        <f t="shared" si="177"/>
        <v>1.5748031496062995E-2</v>
      </c>
      <c r="FW120" s="238">
        <f t="shared" si="178"/>
        <v>0</v>
      </c>
      <c r="FX120" s="216">
        <f t="shared" si="286"/>
        <v>0</v>
      </c>
      <c r="FY120" s="138">
        <f t="shared" si="287"/>
        <v>0</v>
      </c>
      <c r="FZ120" s="138">
        <f t="shared" si="288"/>
        <v>1.5748031496062995E-2</v>
      </c>
      <c r="GA120" s="238">
        <f t="shared" si="289"/>
        <v>0</v>
      </c>
      <c r="GB120" s="216">
        <f t="shared" si="179"/>
        <v>0</v>
      </c>
      <c r="GC120" s="138">
        <f t="shared" si="180"/>
        <v>0</v>
      </c>
      <c r="GD120" s="138">
        <f t="shared" si="181"/>
        <v>1.5748031496062995E-2</v>
      </c>
      <c r="GE120" s="238">
        <f t="shared" si="182"/>
        <v>0</v>
      </c>
      <c r="GF120" s="216">
        <f t="shared" si="290"/>
        <v>0</v>
      </c>
      <c r="GG120" s="138">
        <f t="shared" si="291"/>
        <v>0</v>
      </c>
      <c r="GH120" s="138">
        <f t="shared" si="292"/>
        <v>1.5748031496062995E-2</v>
      </c>
      <c r="GI120" s="238">
        <f t="shared" si="293"/>
        <v>0</v>
      </c>
      <c r="GJ120" s="216">
        <f t="shared" si="183"/>
        <v>0.25</v>
      </c>
      <c r="GK120" s="216">
        <f t="shared" si="184"/>
        <v>1.5748031496062995E-2</v>
      </c>
      <c r="GL120" s="17">
        <f t="shared" si="185"/>
        <v>1.5748031496062995E-2</v>
      </c>
      <c r="GM120" s="216">
        <f t="shared" si="294"/>
        <v>3.8143937303062904E-3</v>
      </c>
      <c r="GN120" s="2">
        <f t="shared" si="187"/>
        <v>1</v>
      </c>
      <c r="GO120" s="2">
        <f t="shared" si="188"/>
        <v>2</v>
      </c>
      <c r="GP120" s="142">
        <f t="shared" si="189"/>
        <v>2</v>
      </c>
      <c r="GQ120" s="2">
        <f t="shared" si="190"/>
        <v>1.5748031496062995E-2</v>
      </c>
      <c r="GR120" s="8">
        <f t="shared" si="295"/>
        <v>4.0141854203921072E-2</v>
      </c>
      <c r="GS120" s="138">
        <f t="shared" si="191"/>
        <v>0.25</v>
      </c>
      <c r="GT120" s="12">
        <f t="shared" si="296"/>
        <v>3327.3268638911754</v>
      </c>
      <c r="GU120" s="138">
        <f t="shared" si="192"/>
        <v>0.25</v>
      </c>
      <c r="GV120" s="116">
        <f t="shared" si="193"/>
        <v>2175570</v>
      </c>
      <c r="GW120" s="2">
        <f t="shared" si="297"/>
        <v>1.5748031496062995E-2</v>
      </c>
      <c r="GX120" s="8">
        <f t="shared" si="298"/>
        <v>1.665354384</v>
      </c>
      <c r="GY120" s="116">
        <f t="shared" si="194"/>
        <v>2610.6840000000002</v>
      </c>
      <c r="GZ120" s="217">
        <f t="shared" si="195"/>
        <v>5.8376957653510981</v>
      </c>
      <c r="HA120" s="207">
        <f t="shared" si="196"/>
        <v>2</v>
      </c>
      <c r="HB120" s="144">
        <f t="shared" si="197"/>
        <v>241941.01553708408</v>
      </c>
      <c r="HC120" s="138">
        <f t="shared" si="299"/>
        <v>0.25</v>
      </c>
      <c r="HD120" s="116">
        <f t="shared" si="198"/>
        <v>2175570</v>
      </c>
      <c r="HE120" s="2">
        <f t="shared" si="300"/>
        <v>1.5748031496062995E-2</v>
      </c>
      <c r="HF120" s="8">
        <f t="shared" si="199"/>
        <v>1.665354384</v>
      </c>
      <c r="HG120" s="116">
        <f t="shared" si="200"/>
        <v>2610.6840000000002</v>
      </c>
      <c r="HH120" s="217">
        <f t="shared" si="201"/>
        <v>5.8376957653510981</v>
      </c>
      <c r="HI120" s="207">
        <f t="shared" si="202"/>
        <v>2</v>
      </c>
      <c r="HJ120" s="144">
        <f t="shared" si="203"/>
        <v>241941.01553708408</v>
      </c>
      <c r="HK120" s="138">
        <f t="shared" si="301"/>
        <v>0.25</v>
      </c>
      <c r="HL120" s="116">
        <f t="shared" si="204"/>
        <v>2175570</v>
      </c>
      <c r="HM120" s="2">
        <f t="shared" si="302"/>
        <v>1.5748031496062995E-2</v>
      </c>
      <c r="HN120" s="8">
        <f t="shared" si="205"/>
        <v>1.665354384</v>
      </c>
      <c r="HO120" s="116">
        <f t="shared" si="206"/>
        <v>2610.6840000000002</v>
      </c>
      <c r="HP120" s="217">
        <f t="shared" si="207"/>
        <v>5.8376957653510981</v>
      </c>
      <c r="HQ120" s="207">
        <f t="shared" si="208"/>
        <v>2</v>
      </c>
      <c r="HR120" s="144">
        <f t="shared" si="209"/>
        <v>241941.01553708408</v>
      </c>
      <c r="HS120" s="128">
        <f t="shared" si="210"/>
        <v>0.25</v>
      </c>
      <c r="HT120" s="2">
        <f t="shared" si="211"/>
        <v>1.5748031496062995E-2</v>
      </c>
      <c r="HU120" s="127">
        <f t="shared" si="212"/>
        <v>1.5748031496062995E-2</v>
      </c>
      <c r="HV120" s="216">
        <f t="shared" si="213"/>
        <v>0</v>
      </c>
      <c r="HW120" s="138">
        <f t="shared" si="214"/>
        <v>0</v>
      </c>
      <c r="HX120" s="138">
        <f t="shared" si="215"/>
        <v>0.25</v>
      </c>
      <c r="HY120" s="238">
        <f t="shared" si="216"/>
        <v>0</v>
      </c>
      <c r="HZ120" s="138">
        <f t="shared" si="217"/>
        <v>0</v>
      </c>
      <c r="IA120" s="138">
        <f t="shared" si="218"/>
        <v>0</v>
      </c>
      <c r="IB120" s="138">
        <f t="shared" si="219"/>
        <v>0.25</v>
      </c>
      <c r="IC120" s="138">
        <f t="shared" si="220"/>
        <v>0</v>
      </c>
      <c r="ID120" s="216">
        <f t="shared" si="221"/>
        <v>0</v>
      </c>
      <c r="IE120" s="138">
        <f t="shared" si="222"/>
        <v>0</v>
      </c>
      <c r="IF120" s="138">
        <f t="shared" si="223"/>
        <v>1.5748031496062995E-2</v>
      </c>
      <c r="IG120" s="238">
        <f t="shared" si="224"/>
        <v>0</v>
      </c>
      <c r="IH120" s="138">
        <f t="shared" si="225"/>
        <v>0</v>
      </c>
      <c r="II120" s="138">
        <f t="shared" si="226"/>
        <v>0</v>
      </c>
      <c r="IJ120" s="138">
        <f t="shared" si="227"/>
        <v>1.5748031496062995E-2</v>
      </c>
      <c r="IK120" s="138">
        <f t="shared" si="228"/>
        <v>0</v>
      </c>
      <c r="IL120" s="216">
        <f t="shared" si="229"/>
        <v>0</v>
      </c>
      <c r="IM120" s="138">
        <f t="shared" si="230"/>
        <v>0</v>
      </c>
      <c r="IN120" s="138">
        <f t="shared" si="231"/>
        <v>1.5748031496062995E-2</v>
      </c>
      <c r="IO120" s="238">
        <f t="shared" si="232"/>
        <v>0</v>
      </c>
      <c r="IP120" s="138">
        <f t="shared" si="233"/>
        <v>0</v>
      </c>
      <c r="IQ120" s="138">
        <f t="shared" si="234"/>
        <v>0</v>
      </c>
      <c r="IR120" s="138">
        <f t="shared" si="235"/>
        <v>1.5748031496062995E-2</v>
      </c>
      <c r="IS120" s="138">
        <f t="shared" si="236"/>
        <v>0</v>
      </c>
      <c r="IT120" s="17">
        <f t="shared" si="237"/>
        <v>0.25</v>
      </c>
      <c r="IU120" s="17">
        <f t="shared" si="238"/>
        <v>1.5748031496062995E-2</v>
      </c>
      <c r="IV120" s="17">
        <f t="shared" si="239"/>
        <v>1.5748031496062995E-2</v>
      </c>
      <c r="IW120" s="253">
        <f t="shared" si="240"/>
        <v>9.2519688000000002</v>
      </c>
      <c r="IX120" s="116">
        <f t="shared" si="303"/>
        <v>86.492103463687386</v>
      </c>
      <c r="IY120" s="8">
        <f t="shared" si="242"/>
        <v>2.2362786855088159E-3</v>
      </c>
      <c r="IZ120" s="8">
        <f t="shared" si="243"/>
        <v>2.2362786855088159E-3</v>
      </c>
      <c r="JA120" s="8">
        <f t="shared" si="244"/>
        <v>1.118139342754408E-3</v>
      </c>
      <c r="JB120" s="134">
        <f t="shared" si="245"/>
        <v>3.3438590621532004E-2</v>
      </c>
      <c r="JC120" s="170">
        <f>MAX(JA$120:JA$129)</f>
        <v>1.118139342754408E-3</v>
      </c>
      <c r="JD120" s="272">
        <f>MAX(JB$120:JB$129)</f>
        <v>3.3438590621532004E-2</v>
      </c>
      <c r="JE120" s="8"/>
      <c r="JF120" s="8"/>
    </row>
    <row r="121" spans="1:266" x14ac:dyDescent="0.25">
      <c r="A121" s="186">
        <v>61</v>
      </c>
      <c r="B121" s="187">
        <f>A121/100*'Inputs-Imperial'!$E$5</f>
        <v>6.0039372000000002</v>
      </c>
      <c r="C121" s="188">
        <f>'Inputs-Imperial'!$E$10+('Inputs-Imperial'!$E$9-'Inputs-Imperial'!$E$10)*(100-A121)/100</f>
        <v>1.53215228</v>
      </c>
      <c r="D121" s="187">
        <f t="shared" si="248"/>
        <v>9.8425200000000324E-2</v>
      </c>
      <c r="E121" s="188">
        <f t="shared" si="249"/>
        <v>0.1512867705892085</v>
      </c>
      <c r="F121" s="423">
        <f>Loads!P81</f>
        <v>35.936807613055052</v>
      </c>
      <c r="G121" s="423">
        <f>Loads!M81</f>
        <v>359.36807613055049</v>
      </c>
      <c r="H121" s="423">
        <f>Loads!N81</f>
        <v>630.31719180682171</v>
      </c>
      <c r="I121" s="423">
        <f>Loads!V81</f>
        <v>-253.84140406136569</v>
      </c>
      <c r="J121" s="423">
        <f>Loads!Q81</f>
        <v>63.031719180682153</v>
      </c>
      <c r="K121" s="2">
        <v>61</v>
      </c>
      <c r="L121" s="12">
        <f t="shared" si="41"/>
        <v>72.047246400000006</v>
      </c>
      <c r="M121" s="11">
        <f t="shared" si="42"/>
        <v>18.38582736</v>
      </c>
      <c r="N121" s="11">
        <f t="shared" si="43"/>
        <v>1.1811024000000039</v>
      </c>
      <c r="O121" s="152">
        <f t="shared" si="44"/>
        <v>21.785294964846024</v>
      </c>
      <c r="P121" s="151">
        <f t="shared" si="45"/>
        <v>35.936807613055052</v>
      </c>
      <c r="Q121" s="12">
        <f t="shared" si="46"/>
        <v>359.36807613055049</v>
      </c>
      <c r="R121" s="12">
        <f t="shared" si="47"/>
        <v>7563.8063016818605</v>
      </c>
      <c r="S121" s="12">
        <f t="shared" si="48"/>
        <v>-3046.0968487363884</v>
      </c>
      <c r="T121" s="152">
        <f t="shared" si="49"/>
        <v>756.3806301681858</v>
      </c>
      <c r="U121" s="8">
        <f t="shared" si="261"/>
        <v>3.3094489247999999</v>
      </c>
      <c r="V121" s="8">
        <f t="shared" si="262"/>
        <v>3.3094489247999999</v>
      </c>
      <c r="W121" s="134">
        <f t="shared" si="263"/>
        <v>1.6547244623999999</v>
      </c>
      <c r="X121" s="311">
        <f t="shared" si="264"/>
        <v>4.5964568400000001</v>
      </c>
      <c r="Y121" s="11">
        <f t="shared" si="265"/>
        <v>13.78937052</v>
      </c>
      <c r="Z121" s="11">
        <f t="shared" si="266"/>
        <v>9.1929136800000002</v>
      </c>
      <c r="AA121" s="316">
        <f t="shared" si="50"/>
        <v>13.78937052</v>
      </c>
      <c r="AB121" s="170">
        <f t="shared" si="51"/>
        <v>2.4820866935999999</v>
      </c>
      <c r="AC121" s="11">
        <f t="shared" si="52"/>
        <v>13.78937052</v>
      </c>
      <c r="AD121" s="152">
        <f t="shared" si="53"/>
        <v>26.881361973352231</v>
      </c>
      <c r="AE121" s="151">
        <f t="shared" si="267"/>
        <v>2.606123866273125</v>
      </c>
      <c r="AF121" s="12">
        <f t="shared" si="268"/>
        <v>56.658156899862725</v>
      </c>
      <c r="AG121" s="216">
        <f t="shared" si="269"/>
        <v>3.8827489091981158E-3</v>
      </c>
      <c r="AH121" s="2">
        <f t="shared" si="55"/>
        <v>1</v>
      </c>
      <c r="AI121" s="2">
        <f t="shared" si="56"/>
        <v>3</v>
      </c>
      <c r="AJ121" s="127">
        <f t="shared" si="57"/>
        <v>2</v>
      </c>
      <c r="AK121" s="2">
        <f t="shared" si="58"/>
        <v>1.5748031496062995E-2</v>
      </c>
      <c r="AL121" s="8">
        <f t="shared" si="270"/>
        <v>4.0861209314893919E-2</v>
      </c>
      <c r="AM121" s="138">
        <f t="shared" si="59"/>
        <v>0.25</v>
      </c>
      <c r="AN121" s="12">
        <f t="shared" si="271"/>
        <v>3386.953645784663</v>
      </c>
      <c r="AO121" s="138">
        <f t="shared" si="60"/>
        <v>0.25</v>
      </c>
      <c r="AP121" s="116">
        <f t="shared" si="61"/>
        <v>2175570</v>
      </c>
      <c r="AQ121" s="2">
        <f t="shared" si="62"/>
        <v>1.5748031496062995E-2</v>
      </c>
      <c r="AR121" s="8">
        <f t="shared" si="63"/>
        <v>9.1929136800000002</v>
      </c>
      <c r="AS121" s="116">
        <f t="shared" si="64"/>
        <v>2610.6840000000002</v>
      </c>
      <c r="AT121" s="217">
        <f t="shared" si="65"/>
        <v>0.19157922969035698</v>
      </c>
      <c r="AU121" s="207">
        <f t="shared" si="66"/>
        <v>3.151997718234818</v>
      </c>
      <c r="AV121" s="144">
        <f t="shared" si="67"/>
        <v>12513.314587363966</v>
      </c>
      <c r="AW121" s="138">
        <f t="shared" si="68"/>
        <v>0.25</v>
      </c>
      <c r="AX121" s="116">
        <f t="shared" si="69"/>
        <v>2175570</v>
      </c>
      <c r="AY121" s="2">
        <f t="shared" si="70"/>
        <v>1.5748031496062995E-2</v>
      </c>
      <c r="AZ121" s="8">
        <f t="shared" si="71"/>
        <v>9.1929136800000002</v>
      </c>
      <c r="BA121" s="116">
        <f t="shared" si="72"/>
        <v>2610.6840000000002</v>
      </c>
      <c r="BB121" s="217">
        <f t="shared" si="73"/>
        <v>0.19157922969035698</v>
      </c>
      <c r="BC121" s="207">
        <f t="shared" si="74"/>
        <v>3.151997718234818</v>
      </c>
      <c r="BD121" s="144">
        <f t="shared" si="75"/>
        <v>12513.314587363966</v>
      </c>
      <c r="BE121" s="138">
        <f t="shared" si="76"/>
        <v>0.25</v>
      </c>
      <c r="BF121" s="116">
        <f t="shared" si="77"/>
        <v>2175570</v>
      </c>
      <c r="BG121" s="2">
        <f t="shared" si="78"/>
        <v>1.5748031496062995E-2</v>
      </c>
      <c r="BH121" s="8">
        <f t="shared" si="79"/>
        <v>9.1929136800000002</v>
      </c>
      <c r="BI121" s="116">
        <f t="shared" si="80"/>
        <v>2610.6840000000002</v>
      </c>
      <c r="BJ121" s="217">
        <f t="shared" si="81"/>
        <v>0.19157922969035698</v>
      </c>
      <c r="BK121" s="207">
        <f t="shared" si="82"/>
        <v>3.151997718234818</v>
      </c>
      <c r="BL121" s="144">
        <f t="shared" si="83"/>
        <v>12513.314587363966</v>
      </c>
      <c r="BM121" s="216">
        <f t="shared" si="84"/>
        <v>0.25</v>
      </c>
      <c r="BN121" s="216">
        <f t="shared" si="85"/>
        <v>2.3622047244094495E-2</v>
      </c>
      <c r="BO121" s="238">
        <f t="shared" si="86"/>
        <v>1.5748031496062995E-2</v>
      </c>
      <c r="BP121" s="216">
        <f t="shared" si="87"/>
        <v>0</v>
      </c>
      <c r="BQ121" s="138">
        <f t="shared" si="88"/>
        <v>0</v>
      </c>
      <c r="BR121" s="138">
        <f t="shared" si="89"/>
        <v>0.25</v>
      </c>
      <c r="BS121" s="238">
        <f t="shared" si="90"/>
        <v>0</v>
      </c>
      <c r="BT121" s="138">
        <f t="shared" si="91"/>
        <v>0</v>
      </c>
      <c r="BU121" s="138">
        <f t="shared" si="92"/>
        <v>0</v>
      </c>
      <c r="BV121" s="138">
        <f t="shared" si="93"/>
        <v>0.25</v>
      </c>
      <c r="BW121" s="238">
        <f t="shared" si="94"/>
        <v>0</v>
      </c>
      <c r="BX121" s="216">
        <f t="shared" si="95"/>
        <v>0</v>
      </c>
      <c r="BY121" s="138">
        <f t="shared" si="96"/>
        <v>0</v>
      </c>
      <c r="BZ121" s="138">
        <f t="shared" si="97"/>
        <v>2.3622047244094495E-2</v>
      </c>
      <c r="CA121" s="238">
        <f t="shared" si="98"/>
        <v>0</v>
      </c>
      <c r="CB121" s="138">
        <f t="shared" si="99"/>
        <v>0</v>
      </c>
      <c r="CC121" s="138">
        <f t="shared" si="100"/>
        <v>0</v>
      </c>
      <c r="CD121" s="138">
        <f t="shared" si="101"/>
        <v>2.3622047244094495E-2</v>
      </c>
      <c r="CE121" s="238">
        <f t="shared" si="102"/>
        <v>0</v>
      </c>
      <c r="CF121" s="216">
        <f t="shared" si="103"/>
        <v>0</v>
      </c>
      <c r="CG121" s="138">
        <f t="shared" si="104"/>
        <v>0</v>
      </c>
      <c r="CH121" s="138">
        <f t="shared" si="105"/>
        <v>1.5748031496062995E-2</v>
      </c>
      <c r="CI121" s="238">
        <f t="shared" si="106"/>
        <v>0</v>
      </c>
      <c r="CJ121" s="138">
        <f t="shared" si="107"/>
        <v>0</v>
      </c>
      <c r="CK121" s="138">
        <f t="shared" si="108"/>
        <v>0</v>
      </c>
      <c r="CL121" s="138">
        <f t="shared" si="109"/>
        <v>1.5748031496062995E-2</v>
      </c>
      <c r="CM121" s="238">
        <f t="shared" si="110"/>
        <v>0</v>
      </c>
      <c r="CN121" s="17">
        <f t="shared" si="111"/>
        <v>0.25</v>
      </c>
      <c r="CO121" s="17">
        <f t="shared" si="112"/>
        <v>2.3622047244094495E-2</v>
      </c>
      <c r="CP121" s="17">
        <f t="shared" si="113"/>
        <v>1.5748031496062995E-2</v>
      </c>
      <c r="CQ121" s="17">
        <f>$U121-IF('Inputs-Imperial'!$E$13,0,2)*($CO121+$CN121+$CP121)</f>
        <v>3.3094489247999999</v>
      </c>
      <c r="CR121" s="116">
        <f t="shared" si="114"/>
        <v>2285.5183668196255</v>
      </c>
      <c r="CS121" s="8">
        <f t="shared" si="10"/>
        <v>5.9092747249504231E-2</v>
      </c>
      <c r="CT121" s="8">
        <f t="shared" si="115"/>
        <v>0.24308999825065661</v>
      </c>
      <c r="CU121" s="8">
        <f t="shared" si="272"/>
        <v>5.9092747249504231E-2</v>
      </c>
      <c r="CV121" s="8">
        <f t="shared" si="116"/>
        <v>0.24308999825065661</v>
      </c>
      <c r="CW121" s="216">
        <f t="shared" si="117"/>
        <v>3.0663589265493432</v>
      </c>
      <c r="CX121" s="116">
        <f t="shared" si="118"/>
        <v>2466.7061106879673</v>
      </c>
      <c r="CY121" s="8">
        <f t="shared" si="119"/>
        <v>6.3777409472551172E-2</v>
      </c>
      <c r="CZ121" s="8">
        <f t="shared" si="120"/>
        <v>0.25254189646977621</v>
      </c>
      <c r="DA121" s="8">
        <f t="shared" si="121"/>
        <v>6.3777409472551172E-2</v>
      </c>
      <c r="DB121" s="8">
        <f t="shared" si="122"/>
        <v>0.25254189646977621</v>
      </c>
      <c r="DC121" s="216">
        <f t="shared" si="123"/>
        <v>3.0569070283302233</v>
      </c>
      <c r="DD121" s="116">
        <f t="shared" si="124"/>
        <v>2474.3331189282012</v>
      </c>
      <c r="DE121" s="8">
        <f t="shared" si="125"/>
        <v>6.3974608006045E-2</v>
      </c>
      <c r="DF121" s="8">
        <f t="shared" si="126"/>
        <v>0.25293202250020658</v>
      </c>
      <c r="DG121" s="8">
        <f t="shared" si="127"/>
        <v>6.3974608006045E-2</v>
      </c>
      <c r="DH121" s="8">
        <f t="shared" si="128"/>
        <v>0.25293202250020658</v>
      </c>
      <c r="DI121" s="216">
        <f t="shared" si="129"/>
        <v>3.0565169022997933</v>
      </c>
      <c r="DJ121" s="116">
        <f t="shared" si="130"/>
        <v>2474.6489365037305</v>
      </c>
      <c r="DK121" s="8">
        <f t="shared" si="131"/>
        <v>6.3982773562025044E-2</v>
      </c>
      <c r="DL121" s="8">
        <f t="shared" si="132"/>
        <v>0.25294816378464785</v>
      </c>
      <c r="DM121" s="8">
        <f t="shared" si="133"/>
        <v>6.3982773562025044E-2</v>
      </c>
      <c r="DN121" s="8">
        <f t="shared" si="134"/>
        <v>0.25294816378464785</v>
      </c>
      <c r="DO121" s="216">
        <f t="shared" si="135"/>
        <v>3.0565007610153518</v>
      </c>
      <c r="DP121" s="116">
        <f t="shared" si="136"/>
        <v>2474.6620050469764</v>
      </c>
      <c r="DQ121" s="170">
        <f t="shared" si="137"/>
        <v>6.3983111453041003E-2</v>
      </c>
      <c r="DR121" s="8">
        <f t="shared" si="138"/>
        <v>0.25294883168941701</v>
      </c>
      <c r="DS121" s="8">
        <f t="shared" si="139"/>
        <v>6.3983111453041003E-2</v>
      </c>
      <c r="DT121" s="134">
        <f t="shared" si="140"/>
        <v>0.25294883168941701</v>
      </c>
      <c r="DU121" s="170">
        <f t="shared" ref="DU121:DX129" si="310">MAX(DQ$120:DQ$129)</f>
        <v>6.7368736237725546E-2</v>
      </c>
      <c r="DV121" s="170">
        <f t="shared" si="310"/>
        <v>0.25955488097457452</v>
      </c>
      <c r="DW121" s="170">
        <f t="shared" si="310"/>
        <v>6.7368736237725546E-2</v>
      </c>
      <c r="DX121" s="272">
        <f t="shared" si="310"/>
        <v>0.25955488097457452</v>
      </c>
      <c r="DY121" s="272">
        <f t="shared" si="142"/>
        <v>2.7903391628508505</v>
      </c>
      <c r="DZ121" s="22">
        <f t="shared" si="273"/>
        <v>108.58849442804687</v>
      </c>
      <c r="EA121" s="216">
        <f t="shared" si="274"/>
        <v>7.1142660105120731E-3</v>
      </c>
      <c r="EB121" s="12">
        <f t="shared" si="143"/>
        <v>1</v>
      </c>
      <c r="EC121" s="7">
        <f>ROUND(MAX(DV121,DX121)/'Inputs-Imperial'!$E$21,0)</f>
        <v>2</v>
      </c>
      <c r="ED121" s="12">
        <f t="shared" si="144"/>
        <v>2</v>
      </c>
      <c r="EE121" s="2">
        <f t="shared" si="145"/>
        <v>2</v>
      </c>
      <c r="EF121" s="127">
        <f t="shared" si="146"/>
        <v>2</v>
      </c>
      <c r="EG121" s="2">
        <f t="shared" si="147"/>
        <v>1.5748031496062995E-2</v>
      </c>
      <c r="EH121" s="8">
        <f t="shared" si="275"/>
        <v>7.4868996006596106E-2</v>
      </c>
      <c r="EI121" s="138">
        <f t="shared" si="148"/>
        <v>0.25</v>
      </c>
      <c r="EJ121" s="12">
        <f t="shared" si="276"/>
        <v>6205.8324565628773</v>
      </c>
      <c r="EK121" s="138">
        <f t="shared" si="149"/>
        <v>0.25</v>
      </c>
      <c r="EL121" s="116">
        <f t="shared" si="150"/>
        <v>2175570</v>
      </c>
      <c r="EM121" s="2">
        <f t="shared" si="277"/>
        <v>1.5748031496062995E-2</v>
      </c>
      <c r="EN121" s="8">
        <f t="shared" si="151"/>
        <v>3.3094489247999999</v>
      </c>
      <c r="EO121" s="116">
        <f t="shared" si="152"/>
        <v>2610.6840000000002</v>
      </c>
      <c r="EP121" s="217">
        <f t="shared" si="153"/>
        <v>1.4782347969934957</v>
      </c>
      <c r="EQ121" s="207">
        <f t="shared" si="154"/>
        <v>2</v>
      </c>
      <c r="ER121" s="144">
        <f t="shared" si="155"/>
        <v>61264.862432472393</v>
      </c>
      <c r="ES121" s="138">
        <f t="shared" si="278"/>
        <v>0.25</v>
      </c>
      <c r="ET121" s="116">
        <f t="shared" si="156"/>
        <v>2175570</v>
      </c>
      <c r="EU121" s="2">
        <f t="shared" si="279"/>
        <v>1.5748031496062995E-2</v>
      </c>
      <c r="EV121" s="8">
        <f t="shared" si="157"/>
        <v>3.3094489247999999</v>
      </c>
      <c r="EW121" s="116">
        <f t="shared" si="158"/>
        <v>2610.6840000000002</v>
      </c>
      <c r="EX121" s="217">
        <f t="shared" si="159"/>
        <v>1.4782347969934957</v>
      </c>
      <c r="EY121" s="207">
        <f t="shared" si="160"/>
        <v>2</v>
      </c>
      <c r="EZ121" s="144">
        <f t="shared" si="161"/>
        <v>61264.862432472393</v>
      </c>
      <c r="FA121" s="138">
        <f t="shared" si="280"/>
        <v>0.25</v>
      </c>
      <c r="FB121" s="116">
        <f t="shared" si="162"/>
        <v>2175570</v>
      </c>
      <c r="FC121" s="2">
        <f t="shared" si="281"/>
        <v>1.5748031496062995E-2</v>
      </c>
      <c r="FD121" s="8">
        <f t="shared" si="163"/>
        <v>3.3094489247999999</v>
      </c>
      <c r="FE121" s="116">
        <f t="shared" si="164"/>
        <v>2610.6840000000002</v>
      </c>
      <c r="FF121" s="217">
        <f t="shared" si="165"/>
        <v>1.4782347969934957</v>
      </c>
      <c r="FG121" s="207">
        <f t="shared" si="166"/>
        <v>2</v>
      </c>
      <c r="FH121" s="144">
        <f t="shared" si="167"/>
        <v>61264.862432472393</v>
      </c>
      <c r="FI121" s="128">
        <f t="shared" si="168"/>
        <v>0.25</v>
      </c>
      <c r="FJ121" s="2">
        <f t="shared" si="169"/>
        <v>1.5748031496062995E-2</v>
      </c>
      <c r="FK121" s="127">
        <f t="shared" si="170"/>
        <v>1.5748031496062995E-2</v>
      </c>
      <c r="FL121" s="216">
        <f t="shared" si="171"/>
        <v>0</v>
      </c>
      <c r="FM121" s="138">
        <f t="shared" si="172"/>
        <v>0</v>
      </c>
      <c r="FN121" s="138">
        <f t="shared" si="173"/>
        <v>0.25</v>
      </c>
      <c r="FO121" s="238">
        <f t="shared" si="174"/>
        <v>0</v>
      </c>
      <c r="FP121" s="216">
        <f t="shared" si="282"/>
        <v>0</v>
      </c>
      <c r="FQ121" s="138">
        <f t="shared" si="283"/>
        <v>0</v>
      </c>
      <c r="FR121" s="138">
        <f t="shared" si="284"/>
        <v>0.25</v>
      </c>
      <c r="FS121" s="238">
        <f t="shared" si="285"/>
        <v>0</v>
      </c>
      <c r="FT121" s="216">
        <f t="shared" si="175"/>
        <v>0</v>
      </c>
      <c r="FU121" s="138">
        <f t="shared" si="176"/>
        <v>0</v>
      </c>
      <c r="FV121" s="138">
        <f t="shared" si="177"/>
        <v>1.5748031496062995E-2</v>
      </c>
      <c r="FW121" s="238">
        <f t="shared" si="178"/>
        <v>0</v>
      </c>
      <c r="FX121" s="216">
        <f t="shared" si="286"/>
        <v>0</v>
      </c>
      <c r="FY121" s="138">
        <f t="shared" si="287"/>
        <v>0</v>
      </c>
      <c r="FZ121" s="138">
        <f t="shared" si="288"/>
        <v>1.5748031496062995E-2</v>
      </c>
      <c r="GA121" s="238">
        <f t="shared" si="289"/>
        <v>0</v>
      </c>
      <c r="GB121" s="216">
        <f t="shared" si="179"/>
        <v>0</v>
      </c>
      <c r="GC121" s="138">
        <f t="shared" si="180"/>
        <v>0</v>
      </c>
      <c r="GD121" s="138">
        <f t="shared" si="181"/>
        <v>1.5748031496062995E-2</v>
      </c>
      <c r="GE121" s="238">
        <f t="shared" si="182"/>
        <v>0</v>
      </c>
      <c r="GF121" s="216">
        <f t="shared" si="290"/>
        <v>0</v>
      </c>
      <c r="GG121" s="138">
        <f t="shared" si="291"/>
        <v>0</v>
      </c>
      <c r="GH121" s="138">
        <f t="shared" si="292"/>
        <v>1.5748031496062995E-2</v>
      </c>
      <c r="GI121" s="238">
        <f t="shared" si="293"/>
        <v>0</v>
      </c>
      <c r="GJ121" s="216">
        <f t="shared" si="183"/>
        <v>0.25</v>
      </c>
      <c r="GK121" s="216">
        <f t="shared" si="184"/>
        <v>1.5748031496062995E-2</v>
      </c>
      <c r="GL121" s="17">
        <f t="shared" si="185"/>
        <v>1.5748031496062995E-2</v>
      </c>
      <c r="GM121" s="216">
        <f t="shared" si="294"/>
        <v>3.7120065249458263E-3</v>
      </c>
      <c r="GN121" s="2">
        <f t="shared" si="187"/>
        <v>1</v>
      </c>
      <c r="GO121" s="2">
        <f t="shared" si="188"/>
        <v>2</v>
      </c>
      <c r="GP121" s="142">
        <f t="shared" si="189"/>
        <v>2</v>
      </c>
      <c r="GQ121" s="2">
        <f t="shared" si="190"/>
        <v>1.5748031496062995E-2</v>
      </c>
      <c r="GR121" s="8">
        <f t="shared" si="295"/>
        <v>3.9064353410735615E-2</v>
      </c>
      <c r="GS121" s="138">
        <f t="shared" si="191"/>
        <v>0.25</v>
      </c>
      <c r="GT121" s="12">
        <f t="shared" si="296"/>
        <v>3238.0136668271539</v>
      </c>
      <c r="GU121" s="138">
        <f t="shared" si="192"/>
        <v>0.25</v>
      </c>
      <c r="GV121" s="116">
        <f t="shared" si="193"/>
        <v>2175570</v>
      </c>
      <c r="GW121" s="2">
        <f t="shared" si="297"/>
        <v>1.5748031496062995E-2</v>
      </c>
      <c r="GX121" s="8">
        <f t="shared" si="298"/>
        <v>1.6547244623999999</v>
      </c>
      <c r="GY121" s="116">
        <f t="shared" si="194"/>
        <v>2610.6840000000002</v>
      </c>
      <c r="GZ121" s="217">
        <f t="shared" si="195"/>
        <v>5.9129391879739828</v>
      </c>
      <c r="HA121" s="207">
        <f t="shared" si="196"/>
        <v>2</v>
      </c>
      <c r="HB121" s="144">
        <f t="shared" si="197"/>
        <v>245059.44972988957</v>
      </c>
      <c r="HC121" s="138">
        <f t="shared" si="299"/>
        <v>0.25</v>
      </c>
      <c r="HD121" s="116">
        <f t="shared" si="198"/>
        <v>2175570</v>
      </c>
      <c r="HE121" s="2">
        <f t="shared" si="300"/>
        <v>1.5748031496062995E-2</v>
      </c>
      <c r="HF121" s="8">
        <f t="shared" si="199"/>
        <v>1.6547244623999999</v>
      </c>
      <c r="HG121" s="116">
        <f t="shared" si="200"/>
        <v>2610.6840000000002</v>
      </c>
      <c r="HH121" s="217">
        <f t="shared" si="201"/>
        <v>5.9129391879739828</v>
      </c>
      <c r="HI121" s="207">
        <f t="shared" si="202"/>
        <v>2</v>
      </c>
      <c r="HJ121" s="144">
        <f t="shared" si="203"/>
        <v>245059.44972988957</v>
      </c>
      <c r="HK121" s="138">
        <f t="shared" si="301"/>
        <v>0.25</v>
      </c>
      <c r="HL121" s="116">
        <f t="shared" si="204"/>
        <v>2175570</v>
      </c>
      <c r="HM121" s="2">
        <f t="shared" si="302"/>
        <v>1.5748031496062995E-2</v>
      </c>
      <c r="HN121" s="8">
        <f t="shared" si="205"/>
        <v>1.6547244623999999</v>
      </c>
      <c r="HO121" s="116">
        <f t="shared" si="206"/>
        <v>2610.6840000000002</v>
      </c>
      <c r="HP121" s="217">
        <f t="shared" si="207"/>
        <v>5.9129391879739828</v>
      </c>
      <c r="HQ121" s="207">
        <f t="shared" si="208"/>
        <v>2</v>
      </c>
      <c r="HR121" s="144">
        <f t="shared" si="209"/>
        <v>245059.44972988957</v>
      </c>
      <c r="HS121" s="128">
        <f t="shared" si="210"/>
        <v>0.25</v>
      </c>
      <c r="HT121" s="2">
        <f t="shared" si="211"/>
        <v>1.5748031496062995E-2</v>
      </c>
      <c r="HU121" s="127">
        <f t="shared" si="212"/>
        <v>1.5748031496062995E-2</v>
      </c>
      <c r="HV121" s="216">
        <f t="shared" si="213"/>
        <v>0</v>
      </c>
      <c r="HW121" s="138">
        <f t="shared" si="214"/>
        <v>0</v>
      </c>
      <c r="HX121" s="138">
        <f t="shared" si="215"/>
        <v>0.25</v>
      </c>
      <c r="HY121" s="238">
        <f t="shared" si="216"/>
        <v>0</v>
      </c>
      <c r="HZ121" s="138">
        <f t="shared" si="217"/>
        <v>0</v>
      </c>
      <c r="IA121" s="138">
        <f t="shared" si="218"/>
        <v>0</v>
      </c>
      <c r="IB121" s="138">
        <f t="shared" si="219"/>
        <v>0.25</v>
      </c>
      <c r="IC121" s="138">
        <f t="shared" si="220"/>
        <v>0</v>
      </c>
      <c r="ID121" s="216">
        <f t="shared" si="221"/>
        <v>0</v>
      </c>
      <c r="IE121" s="138">
        <f t="shared" si="222"/>
        <v>0</v>
      </c>
      <c r="IF121" s="138">
        <f t="shared" si="223"/>
        <v>1.5748031496062995E-2</v>
      </c>
      <c r="IG121" s="238">
        <f t="shared" si="224"/>
        <v>0</v>
      </c>
      <c r="IH121" s="138">
        <f t="shared" si="225"/>
        <v>0</v>
      </c>
      <c r="II121" s="138">
        <f t="shared" si="226"/>
        <v>0</v>
      </c>
      <c r="IJ121" s="138">
        <f t="shared" si="227"/>
        <v>1.5748031496062995E-2</v>
      </c>
      <c r="IK121" s="138">
        <f t="shared" si="228"/>
        <v>0</v>
      </c>
      <c r="IL121" s="216">
        <f t="shared" si="229"/>
        <v>0</v>
      </c>
      <c r="IM121" s="138">
        <f t="shared" si="230"/>
        <v>0</v>
      </c>
      <c r="IN121" s="138">
        <f t="shared" si="231"/>
        <v>1.5748031496062995E-2</v>
      </c>
      <c r="IO121" s="238">
        <f t="shared" si="232"/>
        <v>0</v>
      </c>
      <c r="IP121" s="138">
        <f t="shared" si="233"/>
        <v>0</v>
      </c>
      <c r="IQ121" s="138">
        <f t="shared" si="234"/>
        <v>0</v>
      </c>
      <c r="IR121" s="138">
        <f t="shared" si="235"/>
        <v>1.5748031496062995E-2</v>
      </c>
      <c r="IS121" s="138">
        <f t="shared" si="236"/>
        <v>0</v>
      </c>
      <c r="IT121" s="17">
        <f t="shared" si="237"/>
        <v>0.25</v>
      </c>
      <c r="IU121" s="17">
        <f t="shared" si="238"/>
        <v>1.5748031496062995E-2</v>
      </c>
      <c r="IV121" s="17">
        <f t="shared" si="239"/>
        <v>1.5748031496062995E-2</v>
      </c>
      <c r="IW121" s="253">
        <f t="shared" si="240"/>
        <v>9.1929136800000002</v>
      </c>
      <c r="IX121" s="116">
        <f t="shared" si="303"/>
        <v>82.278661205506481</v>
      </c>
      <c r="IY121" s="8">
        <f t="shared" si="242"/>
        <v>2.1273389009821516E-3</v>
      </c>
      <c r="IZ121" s="8">
        <f t="shared" si="243"/>
        <v>2.1273389009821516E-3</v>
      </c>
      <c r="JA121" s="8">
        <f t="shared" si="244"/>
        <v>1.0636694504910758E-3</v>
      </c>
      <c r="JB121" s="134">
        <f t="shared" si="245"/>
        <v>3.2613945644326382E-2</v>
      </c>
      <c r="JC121" s="170">
        <f t="shared" ref="JC121:JC129" si="311">MAX(JA$120:JA$129)</f>
        <v>1.118139342754408E-3</v>
      </c>
      <c r="JD121" s="272">
        <f t="shared" ref="JD121:JD129" si="312">MAX(JB$120:JB$129)</f>
        <v>3.3438590621532004E-2</v>
      </c>
      <c r="JE121" s="8"/>
      <c r="JF121" s="8"/>
    </row>
    <row r="122" spans="1:266" x14ac:dyDescent="0.25">
      <c r="A122" s="186">
        <v>62</v>
      </c>
      <c r="B122" s="187">
        <f>A122/100*'Inputs-Imperial'!$E$5</f>
        <v>6.1023624000000005</v>
      </c>
      <c r="C122" s="188">
        <f>'Inputs-Imperial'!$E$10+('Inputs-Imperial'!$E$9-'Inputs-Imperial'!$E$10)*(100-A122)/100</f>
        <v>1.52230976</v>
      </c>
      <c r="D122" s="187">
        <f t="shared" si="248"/>
        <v>9.8425200000000324E-2</v>
      </c>
      <c r="E122" s="188">
        <f t="shared" si="249"/>
        <v>0.15031801858970448</v>
      </c>
      <c r="F122" s="423">
        <f>Loads!P82</f>
        <v>34.763963124337913</v>
      </c>
      <c r="G122" s="423">
        <f>Loads!M82</f>
        <v>347.63963124337909</v>
      </c>
      <c r="H122" s="423">
        <f>Loads!N82</f>
        <v>594.9463170400569</v>
      </c>
      <c r="I122" s="423">
        <f>Loads!V82</f>
        <v>-243.64594578347888</v>
      </c>
      <c r="J122" s="423">
        <f>Loads!Q82</f>
        <v>59.494631704005677</v>
      </c>
      <c r="K122" s="2">
        <v>62</v>
      </c>
      <c r="L122" s="12">
        <f t="shared" si="41"/>
        <v>73.228348800000006</v>
      </c>
      <c r="M122" s="11">
        <f t="shared" si="42"/>
        <v>18.26771712</v>
      </c>
      <c r="N122" s="11">
        <f t="shared" si="43"/>
        <v>1.1811024000000039</v>
      </c>
      <c r="O122" s="152">
        <f t="shared" si="44"/>
        <v>21.645794676917443</v>
      </c>
      <c r="P122" s="151">
        <f t="shared" si="45"/>
        <v>34.763963124337913</v>
      </c>
      <c r="Q122" s="12">
        <f t="shared" si="46"/>
        <v>347.63963124337909</v>
      </c>
      <c r="R122" s="12">
        <f t="shared" si="47"/>
        <v>7139.3558044806832</v>
      </c>
      <c r="S122" s="12">
        <f t="shared" si="48"/>
        <v>-2923.7513494017467</v>
      </c>
      <c r="T122" s="152">
        <f t="shared" si="49"/>
        <v>713.93558044806809</v>
      </c>
      <c r="U122" s="8">
        <f t="shared" si="261"/>
        <v>3.2881890816000001</v>
      </c>
      <c r="V122" s="8">
        <f t="shared" si="262"/>
        <v>3.2881890816000001</v>
      </c>
      <c r="W122" s="134">
        <f t="shared" si="263"/>
        <v>1.6440945408000001</v>
      </c>
      <c r="X122" s="311">
        <f t="shared" si="264"/>
        <v>4.5669292800000001</v>
      </c>
      <c r="Y122" s="11">
        <f t="shared" si="265"/>
        <v>13.70078784</v>
      </c>
      <c r="Z122" s="11">
        <f t="shared" si="266"/>
        <v>9.1338585600000002</v>
      </c>
      <c r="AA122" s="316">
        <f t="shared" si="50"/>
        <v>13.70078784</v>
      </c>
      <c r="AB122" s="170">
        <f t="shared" si="51"/>
        <v>2.4661418112</v>
      </c>
      <c r="AC122" s="11">
        <f t="shared" si="52"/>
        <v>13.70078784</v>
      </c>
      <c r="AD122" s="152">
        <f t="shared" si="53"/>
        <v>26.537100483815518</v>
      </c>
      <c r="AE122" s="151">
        <f t="shared" si="267"/>
        <v>2.5373696410978006</v>
      </c>
      <c r="AF122" s="12">
        <f t="shared" si="268"/>
        <v>55.087995600440372</v>
      </c>
      <c r="AG122" s="216">
        <f t="shared" si="269"/>
        <v>3.7753739881978827E-3</v>
      </c>
      <c r="AH122" s="2">
        <f t="shared" si="55"/>
        <v>1</v>
      </c>
      <c r="AI122" s="2">
        <f t="shared" si="56"/>
        <v>3</v>
      </c>
      <c r="AJ122" s="127">
        <f t="shared" si="57"/>
        <v>2</v>
      </c>
      <c r="AK122" s="2">
        <f t="shared" si="58"/>
        <v>1.5748031496062995E-2</v>
      </c>
      <c r="AL122" s="8">
        <f t="shared" si="270"/>
        <v>3.9731218881629761E-2</v>
      </c>
      <c r="AM122" s="138">
        <f t="shared" si="59"/>
        <v>0.25</v>
      </c>
      <c r="AN122" s="12">
        <f t="shared" si="271"/>
        <v>3293.289623553906</v>
      </c>
      <c r="AO122" s="138">
        <f t="shared" si="60"/>
        <v>0.25</v>
      </c>
      <c r="AP122" s="116">
        <f t="shared" si="61"/>
        <v>2175570</v>
      </c>
      <c r="AQ122" s="2">
        <f t="shared" si="62"/>
        <v>1.5748031496062995E-2</v>
      </c>
      <c r="AR122" s="8">
        <f t="shared" si="63"/>
        <v>9.1338585600000002</v>
      </c>
      <c r="AS122" s="116">
        <f t="shared" si="64"/>
        <v>2610.6840000000002</v>
      </c>
      <c r="AT122" s="217">
        <f t="shared" si="65"/>
        <v>0.19406455588557273</v>
      </c>
      <c r="AU122" s="207">
        <f t="shared" si="66"/>
        <v>3.1366377930686005</v>
      </c>
      <c r="AV122" s="144">
        <f t="shared" si="67"/>
        <v>12613.878384846055</v>
      </c>
      <c r="AW122" s="138">
        <f t="shared" si="68"/>
        <v>0.25</v>
      </c>
      <c r="AX122" s="116">
        <f t="shared" si="69"/>
        <v>2175570</v>
      </c>
      <c r="AY122" s="2">
        <f t="shared" si="70"/>
        <v>1.5748031496062995E-2</v>
      </c>
      <c r="AZ122" s="8">
        <f t="shared" si="71"/>
        <v>9.1338585600000002</v>
      </c>
      <c r="BA122" s="116">
        <f t="shared" si="72"/>
        <v>2610.6840000000002</v>
      </c>
      <c r="BB122" s="217">
        <f t="shared" si="73"/>
        <v>0.19406455588557273</v>
      </c>
      <c r="BC122" s="207">
        <f t="shared" si="74"/>
        <v>3.1366377930686005</v>
      </c>
      <c r="BD122" s="144">
        <f t="shared" si="75"/>
        <v>12613.878384846055</v>
      </c>
      <c r="BE122" s="138">
        <f t="shared" si="76"/>
        <v>0.25</v>
      </c>
      <c r="BF122" s="116">
        <f t="shared" si="77"/>
        <v>2175570</v>
      </c>
      <c r="BG122" s="2">
        <f t="shared" si="78"/>
        <v>1.5748031496062995E-2</v>
      </c>
      <c r="BH122" s="8">
        <f t="shared" si="79"/>
        <v>9.1338585600000002</v>
      </c>
      <c r="BI122" s="116">
        <f t="shared" si="80"/>
        <v>2610.6840000000002</v>
      </c>
      <c r="BJ122" s="217">
        <f t="shared" si="81"/>
        <v>0.19406455588557273</v>
      </c>
      <c r="BK122" s="207">
        <f t="shared" si="82"/>
        <v>3.1366377930686005</v>
      </c>
      <c r="BL122" s="144">
        <f t="shared" si="83"/>
        <v>12613.878384846055</v>
      </c>
      <c r="BM122" s="216">
        <f t="shared" si="84"/>
        <v>0.25</v>
      </c>
      <c r="BN122" s="216">
        <f t="shared" si="85"/>
        <v>2.3622047244094495E-2</v>
      </c>
      <c r="BO122" s="238">
        <f t="shared" si="86"/>
        <v>1.5748031496062995E-2</v>
      </c>
      <c r="BP122" s="216">
        <f t="shared" si="87"/>
        <v>0</v>
      </c>
      <c r="BQ122" s="138">
        <f t="shared" si="88"/>
        <v>0</v>
      </c>
      <c r="BR122" s="138">
        <f t="shared" si="89"/>
        <v>0.25</v>
      </c>
      <c r="BS122" s="238">
        <f t="shared" si="90"/>
        <v>0</v>
      </c>
      <c r="BT122" s="138">
        <f t="shared" si="91"/>
        <v>0</v>
      </c>
      <c r="BU122" s="138">
        <f t="shared" si="92"/>
        <v>0</v>
      </c>
      <c r="BV122" s="138">
        <f t="shared" si="93"/>
        <v>0.25</v>
      </c>
      <c r="BW122" s="238">
        <f t="shared" si="94"/>
        <v>0</v>
      </c>
      <c r="BX122" s="216">
        <f t="shared" si="95"/>
        <v>0</v>
      </c>
      <c r="BY122" s="138">
        <f t="shared" si="96"/>
        <v>0</v>
      </c>
      <c r="BZ122" s="138">
        <f t="shared" si="97"/>
        <v>2.3622047244094495E-2</v>
      </c>
      <c r="CA122" s="238">
        <f t="shared" si="98"/>
        <v>0</v>
      </c>
      <c r="CB122" s="138">
        <f t="shared" si="99"/>
        <v>0</v>
      </c>
      <c r="CC122" s="138">
        <f t="shared" si="100"/>
        <v>0</v>
      </c>
      <c r="CD122" s="138">
        <f t="shared" si="101"/>
        <v>2.3622047244094495E-2</v>
      </c>
      <c r="CE122" s="238">
        <f t="shared" si="102"/>
        <v>0</v>
      </c>
      <c r="CF122" s="216">
        <f t="shared" si="103"/>
        <v>0</v>
      </c>
      <c r="CG122" s="138">
        <f t="shared" si="104"/>
        <v>0</v>
      </c>
      <c r="CH122" s="138">
        <f t="shared" si="105"/>
        <v>1.5748031496062995E-2</v>
      </c>
      <c r="CI122" s="238">
        <f t="shared" si="106"/>
        <v>0</v>
      </c>
      <c r="CJ122" s="138">
        <f t="shared" si="107"/>
        <v>0</v>
      </c>
      <c r="CK122" s="138">
        <f t="shared" si="108"/>
        <v>0</v>
      </c>
      <c r="CL122" s="138">
        <f t="shared" si="109"/>
        <v>1.5748031496062995E-2</v>
      </c>
      <c r="CM122" s="238">
        <f t="shared" si="110"/>
        <v>0</v>
      </c>
      <c r="CN122" s="17">
        <f t="shared" si="111"/>
        <v>0.25</v>
      </c>
      <c r="CO122" s="17">
        <f t="shared" si="112"/>
        <v>2.3622047244094495E-2</v>
      </c>
      <c r="CP122" s="17">
        <f t="shared" si="113"/>
        <v>1.5748031496062995E-2</v>
      </c>
      <c r="CQ122" s="17">
        <f>$U122-IF('Inputs-Imperial'!$E$13,0,2)*($CO122+$CN122+$CP122)</f>
        <v>3.2881890816000001</v>
      </c>
      <c r="CR122" s="116">
        <f t="shared" si="114"/>
        <v>2171.2120645467089</v>
      </c>
      <c r="CS122" s="8">
        <f t="shared" si="10"/>
        <v>5.6137324301563436E-2</v>
      </c>
      <c r="CT122" s="8">
        <f t="shared" si="115"/>
        <v>0.23693316420789098</v>
      </c>
      <c r="CU122" s="8">
        <f t="shared" si="272"/>
        <v>5.6137324301563436E-2</v>
      </c>
      <c r="CV122" s="8">
        <f t="shared" si="116"/>
        <v>0.23693316420789098</v>
      </c>
      <c r="CW122" s="216">
        <f t="shared" si="117"/>
        <v>3.0512559173921088</v>
      </c>
      <c r="CX122" s="116">
        <f t="shared" si="118"/>
        <v>2339.8089173007324</v>
      </c>
      <c r="CY122" s="8">
        <f t="shared" si="119"/>
        <v>6.0496445344514857E-2</v>
      </c>
      <c r="CZ122" s="8">
        <f t="shared" si="120"/>
        <v>0.24596025155401605</v>
      </c>
      <c r="DA122" s="8">
        <f t="shared" si="121"/>
        <v>6.0496445344514857E-2</v>
      </c>
      <c r="DB122" s="8">
        <f t="shared" si="122"/>
        <v>0.24596025155401605</v>
      </c>
      <c r="DC122" s="216">
        <f t="shared" si="123"/>
        <v>3.0422288300459841</v>
      </c>
      <c r="DD122" s="116">
        <f t="shared" si="124"/>
        <v>2346.7517413451014</v>
      </c>
      <c r="DE122" s="8">
        <f t="shared" si="125"/>
        <v>6.0675954095093215E-2</v>
      </c>
      <c r="DF122" s="8">
        <f t="shared" si="126"/>
        <v>0.24632489540258251</v>
      </c>
      <c r="DG122" s="8">
        <f t="shared" si="127"/>
        <v>6.0675954095093215E-2</v>
      </c>
      <c r="DH122" s="8">
        <f t="shared" si="128"/>
        <v>0.24632489540258251</v>
      </c>
      <c r="DI122" s="216">
        <f t="shared" si="129"/>
        <v>3.0418641861974174</v>
      </c>
      <c r="DJ122" s="116">
        <f t="shared" si="130"/>
        <v>2347.0330585026777</v>
      </c>
      <c r="DK122" s="8">
        <f t="shared" si="131"/>
        <v>6.0683227632655171E-2</v>
      </c>
      <c r="DL122" s="8">
        <f t="shared" si="132"/>
        <v>0.24633965907392008</v>
      </c>
      <c r="DM122" s="8">
        <f t="shared" si="133"/>
        <v>6.0683227632655171E-2</v>
      </c>
      <c r="DN122" s="8">
        <f t="shared" si="134"/>
        <v>0.24633965907392008</v>
      </c>
      <c r="DO122" s="216">
        <f t="shared" si="135"/>
        <v>3.0418494225260804</v>
      </c>
      <c r="DP122" s="116">
        <f t="shared" si="136"/>
        <v>2347.0444498701913</v>
      </c>
      <c r="DQ122" s="170">
        <f t="shared" si="137"/>
        <v>6.0683522159800996E-2</v>
      </c>
      <c r="DR122" s="8">
        <f t="shared" si="138"/>
        <v>0.24634025688019609</v>
      </c>
      <c r="DS122" s="8">
        <f t="shared" si="139"/>
        <v>6.0683522159800996E-2</v>
      </c>
      <c r="DT122" s="134">
        <f t="shared" si="140"/>
        <v>0.24634025688019609</v>
      </c>
      <c r="DU122" s="170">
        <f t="shared" si="310"/>
        <v>6.7368736237725546E-2</v>
      </c>
      <c r="DV122" s="170">
        <f t="shared" si="310"/>
        <v>0.25955488097457452</v>
      </c>
      <c r="DW122" s="170">
        <f t="shared" si="310"/>
        <v>6.7368736237725546E-2</v>
      </c>
      <c r="DX122" s="272">
        <f t="shared" si="310"/>
        <v>0.25955488097457452</v>
      </c>
      <c r="DY122" s="272">
        <f t="shared" si="142"/>
        <v>2.7690793196508507</v>
      </c>
      <c r="DZ122" s="22">
        <f t="shared" si="273"/>
        <v>105.72373504574168</v>
      </c>
      <c r="EA122" s="216">
        <f t="shared" si="274"/>
        <v>6.9265789041645948E-3</v>
      </c>
      <c r="EB122" s="12">
        <f t="shared" si="143"/>
        <v>1</v>
      </c>
      <c r="EC122" s="7">
        <f>ROUND(MAX(DV122,DX122)/'Inputs-Imperial'!$E$21,0)</f>
        <v>2</v>
      </c>
      <c r="ED122" s="12">
        <f t="shared" si="144"/>
        <v>2</v>
      </c>
      <c r="EE122" s="2">
        <f t="shared" si="145"/>
        <v>2</v>
      </c>
      <c r="EF122" s="127">
        <f t="shared" si="146"/>
        <v>2</v>
      </c>
      <c r="EG122" s="2">
        <f t="shared" si="147"/>
        <v>1.5748031496062995E-2</v>
      </c>
      <c r="EH122" s="8">
        <f t="shared" si="275"/>
        <v>7.2893817513852696E-2</v>
      </c>
      <c r="EI122" s="138">
        <f t="shared" si="148"/>
        <v>0.25</v>
      </c>
      <c r="EJ122" s="12">
        <f t="shared" si="276"/>
        <v>6042.1114578641364</v>
      </c>
      <c r="EK122" s="138">
        <f t="shared" si="149"/>
        <v>0.25</v>
      </c>
      <c r="EL122" s="116">
        <f t="shared" si="150"/>
        <v>2175570</v>
      </c>
      <c r="EM122" s="2">
        <f t="shared" si="277"/>
        <v>1.5748031496062995E-2</v>
      </c>
      <c r="EN122" s="8">
        <f t="shared" si="151"/>
        <v>3.2881890816000001</v>
      </c>
      <c r="EO122" s="116">
        <f t="shared" si="152"/>
        <v>2610.6840000000002</v>
      </c>
      <c r="EP122" s="217">
        <f t="shared" si="153"/>
        <v>1.4974116966479376</v>
      </c>
      <c r="EQ122" s="207">
        <f t="shared" si="154"/>
        <v>2</v>
      </c>
      <c r="ER122" s="144">
        <f t="shared" si="155"/>
        <v>62059.641530894529</v>
      </c>
      <c r="ES122" s="138">
        <f t="shared" si="278"/>
        <v>0.25</v>
      </c>
      <c r="ET122" s="116">
        <f t="shared" si="156"/>
        <v>2175570</v>
      </c>
      <c r="EU122" s="2">
        <f t="shared" si="279"/>
        <v>1.5748031496062995E-2</v>
      </c>
      <c r="EV122" s="8">
        <f t="shared" si="157"/>
        <v>3.2881890816000001</v>
      </c>
      <c r="EW122" s="116">
        <f t="shared" si="158"/>
        <v>2610.6840000000002</v>
      </c>
      <c r="EX122" s="217">
        <f t="shared" si="159"/>
        <v>1.4974116966479376</v>
      </c>
      <c r="EY122" s="207">
        <f t="shared" si="160"/>
        <v>2</v>
      </c>
      <c r="EZ122" s="144">
        <f t="shared" si="161"/>
        <v>62059.641530894529</v>
      </c>
      <c r="FA122" s="138">
        <f t="shared" si="280"/>
        <v>0.25</v>
      </c>
      <c r="FB122" s="116">
        <f t="shared" si="162"/>
        <v>2175570</v>
      </c>
      <c r="FC122" s="2">
        <f t="shared" si="281"/>
        <v>1.5748031496062995E-2</v>
      </c>
      <c r="FD122" s="8">
        <f t="shared" si="163"/>
        <v>3.2881890816000001</v>
      </c>
      <c r="FE122" s="116">
        <f t="shared" si="164"/>
        <v>2610.6840000000002</v>
      </c>
      <c r="FF122" s="217">
        <f t="shared" si="165"/>
        <v>1.4974116966479376</v>
      </c>
      <c r="FG122" s="207">
        <f t="shared" si="166"/>
        <v>2</v>
      </c>
      <c r="FH122" s="144">
        <f t="shared" si="167"/>
        <v>62059.641530894529</v>
      </c>
      <c r="FI122" s="128">
        <f t="shared" si="168"/>
        <v>0.25</v>
      </c>
      <c r="FJ122" s="2">
        <f t="shared" si="169"/>
        <v>1.5748031496062995E-2</v>
      </c>
      <c r="FK122" s="127">
        <f t="shared" si="170"/>
        <v>1.5748031496062995E-2</v>
      </c>
      <c r="FL122" s="216">
        <f t="shared" si="171"/>
        <v>0</v>
      </c>
      <c r="FM122" s="138">
        <f t="shared" si="172"/>
        <v>0</v>
      </c>
      <c r="FN122" s="138">
        <f t="shared" si="173"/>
        <v>0.25</v>
      </c>
      <c r="FO122" s="238">
        <f t="shared" si="174"/>
        <v>0</v>
      </c>
      <c r="FP122" s="216">
        <f t="shared" si="282"/>
        <v>0</v>
      </c>
      <c r="FQ122" s="138">
        <f t="shared" si="283"/>
        <v>0</v>
      </c>
      <c r="FR122" s="138">
        <f t="shared" si="284"/>
        <v>0.25</v>
      </c>
      <c r="FS122" s="238">
        <f t="shared" si="285"/>
        <v>0</v>
      </c>
      <c r="FT122" s="216">
        <f t="shared" si="175"/>
        <v>0</v>
      </c>
      <c r="FU122" s="138">
        <f t="shared" si="176"/>
        <v>0</v>
      </c>
      <c r="FV122" s="138">
        <f t="shared" si="177"/>
        <v>1.5748031496062995E-2</v>
      </c>
      <c r="FW122" s="238">
        <f t="shared" si="178"/>
        <v>0</v>
      </c>
      <c r="FX122" s="216">
        <f t="shared" si="286"/>
        <v>0</v>
      </c>
      <c r="FY122" s="138">
        <f t="shared" si="287"/>
        <v>0</v>
      </c>
      <c r="FZ122" s="138">
        <f t="shared" si="288"/>
        <v>1.5748031496062995E-2</v>
      </c>
      <c r="GA122" s="238">
        <f t="shared" si="289"/>
        <v>0</v>
      </c>
      <c r="GB122" s="216">
        <f t="shared" si="179"/>
        <v>0</v>
      </c>
      <c r="GC122" s="138">
        <f t="shared" si="180"/>
        <v>0</v>
      </c>
      <c r="GD122" s="138">
        <f t="shared" si="181"/>
        <v>1.5748031496062995E-2</v>
      </c>
      <c r="GE122" s="238">
        <f t="shared" si="182"/>
        <v>0</v>
      </c>
      <c r="GF122" s="216">
        <f t="shared" si="290"/>
        <v>0</v>
      </c>
      <c r="GG122" s="138">
        <f t="shared" si="291"/>
        <v>0</v>
      </c>
      <c r="GH122" s="138">
        <f t="shared" si="292"/>
        <v>1.5748031496062995E-2</v>
      </c>
      <c r="GI122" s="238">
        <f t="shared" si="293"/>
        <v>0</v>
      </c>
      <c r="GJ122" s="216">
        <f t="shared" si="183"/>
        <v>0.25</v>
      </c>
      <c r="GK122" s="216">
        <f t="shared" si="184"/>
        <v>1.5748031496062995E-2</v>
      </c>
      <c r="GL122" s="17">
        <f t="shared" si="185"/>
        <v>1.5748031496062995E-2</v>
      </c>
      <c r="GM122" s="216">
        <f t="shared" si="294"/>
        <v>3.6091360944979323E-3</v>
      </c>
      <c r="GN122" s="2">
        <f t="shared" si="187"/>
        <v>1</v>
      </c>
      <c r="GO122" s="2">
        <f t="shared" si="188"/>
        <v>2</v>
      </c>
      <c r="GP122" s="142">
        <f t="shared" si="189"/>
        <v>2</v>
      </c>
      <c r="GQ122" s="2">
        <f t="shared" si="190"/>
        <v>1.5748031496062995E-2</v>
      </c>
      <c r="GR122" s="8">
        <f t="shared" si="295"/>
        <v>3.7981767261297289E-2</v>
      </c>
      <c r="GS122" s="138">
        <f t="shared" si="191"/>
        <v>0.25</v>
      </c>
      <c r="GT122" s="12">
        <f t="shared" si="296"/>
        <v>3148.2789485651665</v>
      </c>
      <c r="GU122" s="138">
        <f t="shared" si="192"/>
        <v>0.25</v>
      </c>
      <c r="GV122" s="116">
        <f t="shared" si="193"/>
        <v>2175570</v>
      </c>
      <c r="GW122" s="2">
        <f t="shared" si="297"/>
        <v>1.5748031496062995E-2</v>
      </c>
      <c r="GX122" s="8">
        <f t="shared" si="298"/>
        <v>1.6440945408000001</v>
      </c>
      <c r="GY122" s="116">
        <f t="shared" si="194"/>
        <v>2610.6840000000002</v>
      </c>
      <c r="GZ122" s="217">
        <f t="shared" si="195"/>
        <v>5.9896467865917504</v>
      </c>
      <c r="HA122" s="207">
        <f t="shared" si="196"/>
        <v>2</v>
      </c>
      <c r="HB122" s="144">
        <f t="shared" si="197"/>
        <v>248238.56612357812</v>
      </c>
      <c r="HC122" s="138">
        <f t="shared" si="299"/>
        <v>0.25</v>
      </c>
      <c r="HD122" s="116">
        <f t="shared" si="198"/>
        <v>2175570</v>
      </c>
      <c r="HE122" s="2">
        <f t="shared" si="300"/>
        <v>1.5748031496062995E-2</v>
      </c>
      <c r="HF122" s="8">
        <f t="shared" si="199"/>
        <v>1.6440945408000001</v>
      </c>
      <c r="HG122" s="116">
        <f t="shared" si="200"/>
        <v>2610.6840000000002</v>
      </c>
      <c r="HH122" s="217">
        <f t="shared" si="201"/>
        <v>5.9896467865917504</v>
      </c>
      <c r="HI122" s="207">
        <f t="shared" si="202"/>
        <v>2</v>
      </c>
      <c r="HJ122" s="144">
        <f t="shared" si="203"/>
        <v>248238.56612357812</v>
      </c>
      <c r="HK122" s="138">
        <f t="shared" si="301"/>
        <v>0.25</v>
      </c>
      <c r="HL122" s="116">
        <f t="shared" si="204"/>
        <v>2175570</v>
      </c>
      <c r="HM122" s="2">
        <f t="shared" si="302"/>
        <v>1.5748031496062995E-2</v>
      </c>
      <c r="HN122" s="8">
        <f t="shared" si="205"/>
        <v>1.6440945408000001</v>
      </c>
      <c r="HO122" s="116">
        <f t="shared" si="206"/>
        <v>2610.6840000000002</v>
      </c>
      <c r="HP122" s="217">
        <f t="shared" si="207"/>
        <v>5.9896467865917504</v>
      </c>
      <c r="HQ122" s="207">
        <f t="shared" si="208"/>
        <v>2</v>
      </c>
      <c r="HR122" s="144">
        <f t="shared" si="209"/>
        <v>248238.56612357812</v>
      </c>
      <c r="HS122" s="128">
        <f t="shared" si="210"/>
        <v>0.25</v>
      </c>
      <c r="HT122" s="2">
        <f t="shared" si="211"/>
        <v>1.5748031496062995E-2</v>
      </c>
      <c r="HU122" s="127">
        <f t="shared" si="212"/>
        <v>1.5748031496062995E-2</v>
      </c>
      <c r="HV122" s="216">
        <f t="shared" si="213"/>
        <v>0</v>
      </c>
      <c r="HW122" s="138">
        <f t="shared" si="214"/>
        <v>0</v>
      </c>
      <c r="HX122" s="138">
        <f t="shared" si="215"/>
        <v>0.25</v>
      </c>
      <c r="HY122" s="238">
        <f t="shared" si="216"/>
        <v>0</v>
      </c>
      <c r="HZ122" s="138">
        <f t="shared" si="217"/>
        <v>0</v>
      </c>
      <c r="IA122" s="138">
        <f t="shared" si="218"/>
        <v>0</v>
      </c>
      <c r="IB122" s="138">
        <f t="shared" si="219"/>
        <v>0.25</v>
      </c>
      <c r="IC122" s="138">
        <f t="shared" si="220"/>
        <v>0</v>
      </c>
      <c r="ID122" s="216">
        <f t="shared" si="221"/>
        <v>0</v>
      </c>
      <c r="IE122" s="138">
        <f t="shared" si="222"/>
        <v>0</v>
      </c>
      <c r="IF122" s="138">
        <f t="shared" si="223"/>
        <v>1.5748031496062995E-2</v>
      </c>
      <c r="IG122" s="238">
        <f t="shared" si="224"/>
        <v>0</v>
      </c>
      <c r="IH122" s="138">
        <f t="shared" si="225"/>
        <v>0</v>
      </c>
      <c r="II122" s="138">
        <f t="shared" si="226"/>
        <v>0</v>
      </c>
      <c r="IJ122" s="138">
        <f t="shared" si="227"/>
        <v>1.5748031496062995E-2</v>
      </c>
      <c r="IK122" s="138">
        <f t="shared" si="228"/>
        <v>0</v>
      </c>
      <c r="IL122" s="216">
        <f t="shared" si="229"/>
        <v>0</v>
      </c>
      <c r="IM122" s="138">
        <f t="shared" si="230"/>
        <v>0</v>
      </c>
      <c r="IN122" s="138">
        <f t="shared" si="231"/>
        <v>1.5748031496062995E-2</v>
      </c>
      <c r="IO122" s="238">
        <f t="shared" si="232"/>
        <v>0</v>
      </c>
      <c r="IP122" s="138">
        <f t="shared" si="233"/>
        <v>0</v>
      </c>
      <c r="IQ122" s="138">
        <f t="shared" si="234"/>
        <v>0</v>
      </c>
      <c r="IR122" s="138">
        <f t="shared" si="235"/>
        <v>1.5748031496062995E-2</v>
      </c>
      <c r="IS122" s="138">
        <f t="shared" si="236"/>
        <v>0</v>
      </c>
      <c r="IT122" s="17">
        <f t="shared" si="237"/>
        <v>0.25</v>
      </c>
      <c r="IU122" s="17">
        <f t="shared" si="238"/>
        <v>1.5748031496062995E-2</v>
      </c>
      <c r="IV122" s="17">
        <f t="shared" si="239"/>
        <v>1.5748031496062995E-2</v>
      </c>
      <c r="IW122" s="253">
        <f t="shared" si="240"/>
        <v>9.1338585600000002</v>
      </c>
      <c r="IX122" s="116">
        <f t="shared" si="303"/>
        <v>78.163634323681507</v>
      </c>
      <c r="IY122" s="8">
        <f t="shared" si="242"/>
        <v>2.0209436748562836E-3</v>
      </c>
      <c r="IZ122" s="8">
        <f t="shared" si="243"/>
        <v>2.0209436748562836E-3</v>
      </c>
      <c r="JA122" s="8">
        <f t="shared" si="244"/>
        <v>1.0104718374281418E-3</v>
      </c>
      <c r="JB122" s="134">
        <f t="shared" si="245"/>
        <v>3.178791967757786E-2</v>
      </c>
      <c r="JC122" s="170">
        <f t="shared" si="311"/>
        <v>1.118139342754408E-3</v>
      </c>
      <c r="JD122" s="272">
        <f t="shared" si="312"/>
        <v>3.3438590621532004E-2</v>
      </c>
      <c r="JE122" s="8"/>
      <c r="JF122" s="8"/>
    </row>
    <row r="123" spans="1:266" x14ac:dyDescent="0.25">
      <c r="A123" s="186">
        <v>63</v>
      </c>
      <c r="B123" s="187">
        <f>A123/100*'Inputs-Imperial'!$E$5</f>
        <v>6.2007876</v>
      </c>
      <c r="C123" s="188">
        <f>'Inputs-Imperial'!$E$10+('Inputs-Imperial'!$E$9-'Inputs-Imperial'!$E$10)*(100-A123)/100</f>
        <v>1.5124672399999999</v>
      </c>
      <c r="D123" s="187">
        <f t="shared" si="248"/>
        <v>9.8425199999999435E-2</v>
      </c>
      <c r="E123" s="188">
        <f t="shared" si="249"/>
        <v>0.14934926659019915</v>
      </c>
      <c r="F123" s="423">
        <f>Loads!P83</f>
        <v>33.600854756580439</v>
      </c>
      <c r="G123" s="423">
        <f>Loads!M83</f>
        <v>336.00854756580435</v>
      </c>
      <c r="H123" s="423">
        <f>Loads!N83</f>
        <v>560.72981680700127</v>
      </c>
      <c r="I123" s="423">
        <f>Loads!V83</f>
        <v>-233.62009444870466</v>
      </c>
      <c r="J123" s="423">
        <f>Loads!Q83</f>
        <v>56.07298168070011</v>
      </c>
      <c r="K123" s="2">
        <v>63</v>
      </c>
      <c r="L123" s="12">
        <f t="shared" si="41"/>
        <v>74.409451200000007</v>
      </c>
      <c r="M123" s="11">
        <f t="shared" si="42"/>
        <v>18.14960688</v>
      </c>
      <c r="N123" s="11">
        <f t="shared" si="43"/>
        <v>1.1811023999999932</v>
      </c>
      <c r="O123" s="152">
        <f t="shared" si="44"/>
        <v>21.506294388988678</v>
      </c>
      <c r="P123" s="151">
        <f t="shared" si="45"/>
        <v>33.600854756580439</v>
      </c>
      <c r="Q123" s="12">
        <f t="shared" si="46"/>
        <v>336.00854756580435</v>
      </c>
      <c r="R123" s="12">
        <f t="shared" si="47"/>
        <v>6728.7578016840152</v>
      </c>
      <c r="S123" s="12">
        <f t="shared" si="48"/>
        <v>-2803.441133384456</v>
      </c>
      <c r="T123" s="152">
        <f t="shared" si="49"/>
        <v>672.87578016840132</v>
      </c>
      <c r="U123" s="8">
        <f t="shared" si="261"/>
        <v>3.2669292383999999</v>
      </c>
      <c r="V123" s="8">
        <f t="shared" si="262"/>
        <v>3.2669292383999999</v>
      </c>
      <c r="W123" s="134">
        <f t="shared" si="263"/>
        <v>1.6334646192</v>
      </c>
      <c r="X123" s="311">
        <f t="shared" si="264"/>
        <v>4.5374017200000001</v>
      </c>
      <c r="Y123" s="11">
        <f t="shared" si="265"/>
        <v>13.61220516</v>
      </c>
      <c r="Z123" s="11">
        <f t="shared" si="266"/>
        <v>9.0748034400000002</v>
      </c>
      <c r="AA123" s="316">
        <f t="shared" si="50"/>
        <v>13.61220516</v>
      </c>
      <c r="AB123" s="170">
        <f t="shared" si="51"/>
        <v>2.4501969288000001</v>
      </c>
      <c r="AC123" s="11">
        <f t="shared" si="52"/>
        <v>13.61220516</v>
      </c>
      <c r="AD123" s="152">
        <f t="shared" si="53"/>
        <v>26.195057650494935</v>
      </c>
      <c r="AE123" s="151">
        <f t="shared" si="267"/>
        <v>2.4684358163597087</v>
      </c>
      <c r="AF123" s="12">
        <f t="shared" si="268"/>
        <v>53.510879242739271</v>
      </c>
      <c r="AG123" s="216">
        <f t="shared" si="269"/>
        <v>3.6675316341234004E-3</v>
      </c>
      <c r="AH123" s="2">
        <f t="shared" si="55"/>
        <v>1</v>
      </c>
      <c r="AI123" s="2">
        <f t="shared" si="56"/>
        <v>3</v>
      </c>
      <c r="AJ123" s="127">
        <f t="shared" si="57"/>
        <v>2</v>
      </c>
      <c r="AK123" s="2">
        <f t="shared" si="58"/>
        <v>1.5748031496062995E-2</v>
      </c>
      <c r="AL123" s="8">
        <f t="shared" si="270"/>
        <v>3.8596309283842146E-2</v>
      </c>
      <c r="AM123" s="138">
        <f t="shared" si="59"/>
        <v>0.25</v>
      </c>
      <c r="AN123" s="12">
        <f t="shared" si="271"/>
        <v>3199.2178556275062</v>
      </c>
      <c r="AO123" s="138">
        <f t="shared" si="60"/>
        <v>0.25</v>
      </c>
      <c r="AP123" s="116">
        <f t="shared" si="61"/>
        <v>2175570</v>
      </c>
      <c r="AQ123" s="2">
        <f t="shared" si="62"/>
        <v>1.5748031496062995E-2</v>
      </c>
      <c r="AR123" s="8">
        <f t="shared" si="63"/>
        <v>9.0748034400000002</v>
      </c>
      <c r="AS123" s="116">
        <f t="shared" si="64"/>
        <v>2610.6840000000002</v>
      </c>
      <c r="AT123" s="217">
        <f t="shared" si="65"/>
        <v>0.19659856025494077</v>
      </c>
      <c r="AU123" s="207">
        <f t="shared" si="66"/>
        <v>3.1211789206437066</v>
      </c>
      <c r="AV123" s="144">
        <f t="shared" si="67"/>
        <v>12715.605457272792</v>
      </c>
      <c r="AW123" s="138">
        <f t="shared" si="68"/>
        <v>0.25</v>
      </c>
      <c r="AX123" s="116">
        <f t="shared" si="69"/>
        <v>2175570</v>
      </c>
      <c r="AY123" s="2">
        <f t="shared" si="70"/>
        <v>1.5748031496062995E-2</v>
      </c>
      <c r="AZ123" s="8">
        <f t="shared" si="71"/>
        <v>9.0748034400000002</v>
      </c>
      <c r="BA123" s="116">
        <f t="shared" si="72"/>
        <v>2610.6840000000002</v>
      </c>
      <c r="BB123" s="217">
        <f t="shared" si="73"/>
        <v>0.19659856025494077</v>
      </c>
      <c r="BC123" s="207">
        <f t="shared" si="74"/>
        <v>3.1211789206437066</v>
      </c>
      <c r="BD123" s="144">
        <f t="shared" si="75"/>
        <v>12715.605457272792</v>
      </c>
      <c r="BE123" s="138">
        <f t="shared" si="76"/>
        <v>0.25</v>
      </c>
      <c r="BF123" s="116">
        <f t="shared" si="77"/>
        <v>2175570</v>
      </c>
      <c r="BG123" s="2">
        <f t="shared" si="78"/>
        <v>1.5748031496062995E-2</v>
      </c>
      <c r="BH123" s="8">
        <f t="shared" si="79"/>
        <v>9.0748034400000002</v>
      </c>
      <c r="BI123" s="116">
        <f t="shared" si="80"/>
        <v>2610.6840000000002</v>
      </c>
      <c r="BJ123" s="217">
        <f t="shared" si="81"/>
        <v>0.19659856025494077</v>
      </c>
      <c r="BK123" s="207">
        <f t="shared" si="82"/>
        <v>3.1211789206437066</v>
      </c>
      <c r="BL123" s="144">
        <f t="shared" si="83"/>
        <v>12715.605457272792</v>
      </c>
      <c r="BM123" s="216">
        <f t="shared" si="84"/>
        <v>0.25</v>
      </c>
      <c r="BN123" s="216">
        <f t="shared" si="85"/>
        <v>2.3622047244094495E-2</v>
      </c>
      <c r="BO123" s="238">
        <f t="shared" si="86"/>
        <v>1.5748031496062995E-2</v>
      </c>
      <c r="BP123" s="216">
        <f t="shared" si="87"/>
        <v>0</v>
      </c>
      <c r="BQ123" s="138">
        <f t="shared" si="88"/>
        <v>0</v>
      </c>
      <c r="BR123" s="138">
        <f t="shared" si="89"/>
        <v>0.25</v>
      </c>
      <c r="BS123" s="238">
        <f t="shared" si="90"/>
        <v>0</v>
      </c>
      <c r="BT123" s="138">
        <f t="shared" si="91"/>
        <v>0</v>
      </c>
      <c r="BU123" s="138">
        <f t="shared" si="92"/>
        <v>0</v>
      </c>
      <c r="BV123" s="138">
        <f t="shared" si="93"/>
        <v>0.25</v>
      </c>
      <c r="BW123" s="238">
        <f t="shared" si="94"/>
        <v>0</v>
      </c>
      <c r="BX123" s="216">
        <f t="shared" si="95"/>
        <v>0</v>
      </c>
      <c r="BY123" s="138">
        <f t="shared" si="96"/>
        <v>0</v>
      </c>
      <c r="BZ123" s="138">
        <f t="shared" si="97"/>
        <v>2.3622047244094495E-2</v>
      </c>
      <c r="CA123" s="238">
        <f t="shared" si="98"/>
        <v>0</v>
      </c>
      <c r="CB123" s="138">
        <f t="shared" si="99"/>
        <v>0</v>
      </c>
      <c r="CC123" s="138">
        <f t="shared" si="100"/>
        <v>0</v>
      </c>
      <c r="CD123" s="138">
        <f t="shared" si="101"/>
        <v>2.3622047244094495E-2</v>
      </c>
      <c r="CE123" s="238">
        <f t="shared" si="102"/>
        <v>0</v>
      </c>
      <c r="CF123" s="216">
        <f t="shared" si="103"/>
        <v>0</v>
      </c>
      <c r="CG123" s="138">
        <f t="shared" si="104"/>
        <v>0</v>
      </c>
      <c r="CH123" s="138">
        <f t="shared" si="105"/>
        <v>1.5748031496062995E-2</v>
      </c>
      <c r="CI123" s="238">
        <f t="shared" si="106"/>
        <v>0</v>
      </c>
      <c r="CJ123" s="138">
        <f t="shared" si="107"/>
        <v>0</v>
      </c>
      <c r="CK123" s="138">
        <f t="shared" si="108"/>
        <v>0</v>
      </c>
      <c r="CL123" s="138">
        <f t="shared" si="109"/>
        <v>1.5748031496062995E-2</v>
      </c>
      <c r="CM123" s="238">
        <f t="shared" si="110"/>
        <v>0</v>
      </c>
      <c r="CN123" s="17">
        <f t="shared" si="111"/>
        <v>0.25</v>
      </c>
      <c r="CO123" s="17">
        <f t="shared" si="112"/>
        <v>2.3622047244094495E-2</v>
      </c>
      <c r="CP123" s="17">
        <f t="shared" si="113"/>
        <v>1.5748031496062995E-2</v>
      </c>
      <c r="CQ123" s="17">
        <f>$U123-IF('Inputs-Imperial'!$E$13,0,2)*($CO123+$CN123+$CP123)</f>
        <v>3.2669292383999999</v>
      </c>
      <c r="CR123" s="116">
        <f t="shared" si="114"/>
        <v>2059.6582633603257</v>
      </c>
      <c r="CS123" s="8">
        <f t="shared" si="10"/>
        <v>5.3253068075960926E-2</v>
      </c>
      <c r="CT123" s="8">
        <f t="shared" si="115"/>
        <v>0.2307662628634457</v>
      </c>
      <c r="CU123" s="8">
        <f t="shared" si="272"/>
        <v>5.3253068075960926E-2</v>
      </c>
      <c r="CV123" s="8">
        <f t="shared" si="116"/>
        <v>0.2307662628634457</v>
      </c>
      <c r="CW123" s="216">
        <f t="shared" si="117"/>
        <v>3.0361629755365542</v>
      </c>
      <c r="CX123" s="116">
        <f t="shared" si="118"/>
        <v>2216.2044185045438</v>
      </c>
      <c r="CY123" s="8">
        <f t="shared" si="119"/>
        <v>5.7300614800204354E-2</v>
      </c>
      <c r="CZ123" s="8">
        <f t="shared" si="120"/>
        <v>0.23937546825062161</v>
      </c>
      <c r="DA123" s="8">
        <f t="shared" si="121"/>
        <v>5.7300614800204354E-2</v>
      </c>
      <c r="DB123" s="8">
        <f t="shared" si="122"/>
        <v>0.23937546825062161</v>
      </c>
      <c r="DC123" s="216">
        <f t="shared" si="123"/>
        <v>3.0275537701493787</v>
      </c>
      <c r="DD123" s="116">
        <f t="shared" si="124"/>
        <v>2222.5064565416524</v>
      </c>
      <c r="DE123" s="8">
        <f t="shared" si="125"/>
        <v>5.7463555840753432E-2</v>
      </c>
      <c r="DF123" s="8">
        <f t="shared" si="126"/>
        <v>0.2397155727956643</v>
      </c>
      <c r="DG123" s="8">
        <f t="shared" si="127"/>
        <v>5.7463555840753432E-2</v>
      </c>
      <c r="DH123" s="8">
        <f t="shared" si="128"/>
        <v>0.2397155727956643</v>
      </c>
      <c r="DI123" s="216">
        <f t="shared" si="129"/>
        <v>3.0272136656043354</v>
      </c>
      <c r="DJ123" s="116">
        <f t="shared" si="130"/>
        <v>2222.7561530053827</v>
      </c>
      <c r="DK123" s="8">
        <f t="shared" si="131"/>
        <v>5.747001181600811E-2</v>
      </c>
      <c r="DL123" s="8">
        <f t="shared" si="132"/>
        <v>0.23972903832453862</v>
      </c>
      <c r="DM123" s="8">
        <f t="shared" si="133"/>
        <v>5.747001181600811E-2</v>
      </c>
      <c r="DN123" s="8">
        <f t="shared" si="134"/>
        <v>0.23972903832453862</v>
      </c>
      <c r="DO123" s="216">
        <f t="shared" si="135"/>
        <v>3.0272002000754612</v>
      </c>
      <c r="DP123" s="116">
        <f t="shared" si="136"/>
        <v>2222.7660402230031</v>
      </c>
      <c r="DQ123" s="170">
        <f t="shared" si="137"/>
        <v>5.7470267452917584E-2</v>
      </c>
      <c r="DR123" s="8">
        <f t="shared" si="138"/>
        <v>0.23972957150280311</v>
      </c>
      <c r="DS123" s="8">
        <f t="shared" si="139"/>
        <v>5.7470267452917584E-2</v>
      </c>
      <c r="DT123" s="134">
        <f t="shared" si="140"/>
        <v>0.23972957150280311</v>
      </c>
      <c r="DU123" s="170">
        <f t="shared" si="310"/>
        <v>6.7368736237725546E-2</v>
      </c>
      <c r="DV123" s="170">
        <f t="shared" si="310"/>
        <v>0.25955488097457452</v>
      </c>
      <c r="DW123" s="170">
        <f t="shared" si="310"/>
        <v>6.7368736237725546E-2</v>
      </c>
      <c r="DX123" s="272">
        <f t="shared" si="310"/>
        <v>0.25955488097457452</v>
      </c>
      <c r="DY123" s="272">
        <f t="shared" si="142"/>
        <v>2.7478194764508506</v>
      </c>
      <c r="DZ123" s="22">
        <f t="shared" si="273"/>
        <v>102.85149234832119</v>
      </c>
      <c r="EA123" s="216">
        <f t="shared" si="274"/>
        <v>6.7384015221700405E-3</v>
      </c>
      <c r="EB123" s="12">
        <f t="shared" si="143"/>
        <v>1</v>
      </c>
      <c r="EC123" s="7">
        <f>ROUND(MAX(DV123,DX123)/'Inputs-Imperial'!$E$21,0)</f>
        <v>2</v>
      </c>
      <c r="ED123" s="12">
        <f t="shared" si="144"/>
        <v>2</v>
      </c>
      <c r="EE123" s="2">
        <f t="shared" si="145"/>
        <v>2</v>
      </c>
      <c r="EF123" s="127">
        <f t="shared" si="146"/>
        <v>2</v>
      </c>
      <c r="EG123" s="2">
        <f t="shared" si="147"/>
        <v>1.5748031496062995E-2</v>
      </c>
      <c r="EH123" s="8">
        <f t="shared" si="275"/>
        <v>7.0913479466292409E-2</v>
      </c>
      <c r="EI123" s="138">
        <f t="shared" si="148"/>
        <v>0.25</v>
      </c>
      <c r="EJ123" s="12">
        <f t="shared" si="276"/>
        <v>5877.962787706555</v>
      </c>
      <c r="EK123" s="138">
        <f t="shared" si="149"/>
        <v>0.25</v>
      </c>
      <c r="EL123" s="116">
        <f t="shared" si="150"/>
        <v>2175570</v>
      </c>
      <c r="EM123" s="2">
        <f t="shared" si="277"/>
        <v>1.5748031496062995E-2</v>
      </c>
      <c r="EN123" s="8">
        <f t="shared" si="151"/>
        <v>3.2669292383999999</v>
      </c>
      <c r="EO123" s="116">
        <f t="shared" si="152"/>
        <v>2610.6840000000002</v>
      </c>
      <c r="EP123" s="217">
        <f t="shared" si="153"/>
        <v>1.5169641994980001</v>
      </c>
      <c r="EQ123" s="207">
        <f t="shared" si="154"/>
        <v>2</v>
      </c>
      <c r="ER123" s="144">
        <f t="shared" si="155"/>
        <v>62869.987356710495</v>
      </c>
      <c r="ES123" s="138">
        <f t="shared" si="278"/>
        <v>0.25</v>
      </c>
      <c r="ET123" s="116">
        <f t="shared" si="156"/>
        <v>2175570</v>
      </c>
      <c r="EU123" s="2">
        <f t="shared" si="279"/>
        <v>1.5748031496062995E-2</v>
      </c>
      <c r="EV123" s="8">
        <f t="shared" si="157"/>
        <v>3.2669292383999999</v>
      </c>
      <c r="EW123" s="116">
        <f t="shared" si="158"/>
        <v>2610.6840000000002</v>
      </c>
      <c r="EX123" s="217">
        <f t="shared" si="159"/>
        <v>1.5169641994980001</v>
      </c>
      <c r="EY123" s="207">
        <f t="shared" si="160"/>
        <v>2</v>
      </c>
      <c r="EZ123" s="144">
        <f t="shared" si="161"/>
        <v>62869.987356710495</v>
      </c>
      <c r="FA123" s="138">
        <f t="shared" si="280"/>
        <v>0.25</v>
      </c>
      <c r="FB123" s="116">
        <f t="shared" si="162"/>
        <v>2175570</v>
      </c>
      <c r="FC123" s="2">
        <f t="shared" si="281"/>
        <v>1.5748031496062995E-2</v>
      </c>
      <c r="FD123" s="8">
        <f t="shared" si="163"/>
        <v>3.2669292383999999</v>
      </c>
      <c r="FE123" s="116">
        <f t="shared" si="164"/>
        <v>2610.6840000000002</v>
      </c>
      <c r="FF123" s="217">
        <f t="shared" si="165"/>
        <v>1.5169641994980001</v>
      </c>
      <c r="FG123" s="207">
        <f t="shared" si="166"/>
        <v>2</v>
      </c>
      <c r="FH123" s="144">
        <f t="shared" si="167"/>
        <v>62869.987356710495</v>
      </c>
      <c r="FI123" s="128">
        <f t="shared" si="168"/>
        <v>0.25</v>
      </c>
      <c r="FJ123" s="2">
        <f t="shared" si="169"/>
        <v>1.5748031496062995E-2</v>
      </c>
      <c r="FK123" s="127">
        <f t="shared" si="170"/>
        <v>1.5748031496062995E-2</v>
      </c>
      <c r="FL123" s="216">
        <f t="shared" si="171"/>
        <v>0</v>
      </c>
      <c r="FM123" s="138">
        <f t="shared" si="172"/>
        <v>0</v>
      </c>
      <c r="FN123" s="138">
        <f t="shared" si="173"/>
        <v>0.25</v>
      </c>
      <c r="FO123" s="238">
        <f t="shared" si="174"/>
        <v>0</v>
      </c>
      <c r="FP123" s="216">
        <f t="shared" si="282"/>
        <v>0</v>
      </c>
      <c r="FQ123" s="138">
        <f t="shared" si="283"/>
        <v>0</v>
      </c>
      <c r="FR123" s="138">
        <f t="shared" si="284"/>
        <v>0.25</v>
      </c>
      <c r="FS123" s="238">
        <f t="shared" si="285"/>
        <v>0</v>
      </c>
      <c r="FT123" s="216">
        <f t="shared" si="175"/>
        <v>0</v>
      </c>
      <c r="FU123" s="138">
        <f t="shared" si="176"/>
        <v>0</v>
      </c>
      <c r="FV123" s="138">
        <f t="shared" si="177"/>
        <v>1.5748031496062995E-2</v>
      </c>
      <c r="FW123" s="238">
        <f t="shared" si="178"/>
        <v>0</v>
      </c>
      <c r="FX123" s="216">
        <f t="shared" si="286"/>
        <v>0</v>
      </c>
      <c r="FY123" s="138">
        <f t="shared" si="287"/>
        <v>0</v>
      </c>
      <c r="FZ123" s="138">
        <f t="shared" si="288"/>
        <v>1.5748031496062995E-2</v>
      </c>
      <c r="GA123" s="238">
        <f t="shared" si="289"/>
        <v>0</v>
      </c>
      <c r="GB123" s="216">
        <f t="shared" si="179"/>
        <v>0</v>
      </c>
      <c r="GC123" s="138">
        <f t="shared" si="180"/>
        <v>0</v>
      </c>
      <c r="GD123" s="138">
        <f t="shared" si="181"/>
        <v>1.5748031496062995E-2</v>
      </c>
      <c r="GE123" s="238">
        <f t="shared" si="182"/>
        <v>0</v>
      </c>
      <c r="GF123" s="216">
        <f t="shared" si="290"/>
        <v>0</v>
      </c>
      <c r="GG123" s="138">
        <f t="shared" si="291"/>
        <v>0</v>
      </c>
      <c r="GH123" s="138">
        <f t="shared" si="292"/>
        <v>1.5748031496062995E-2</v>
      </c>
      <c r="GI123" s="238">
        <f t="shared" si="293"/>
        <v>0</v>
      </c>
      <c r="GJ123" s="216">
        <f t="shared" si="183"/>
        <v>0.25</v>
      </c>
      <c r="GK123" s="216">
        <f t="shared" si="184"/>
        <v>1.5748031496062995E-2</v>
      </c>
      <c r="GL123" s="17">
        <f t="shared" si="185"/>
        <v>1.5748031496062995E-2</v>
      </c>
      <c r="GM123" s="216">
        <f t="shared" si="294"/>
        <v>3.5058099975913198E-3</v>
      </c>
      <c r="GN123" s="2">
        <f t="shared" si="187"/>
        <v>1</v>
      </c>
      <c r="GO123" s="2">
        <f t="shared" si="188"/>
        <v>2</v>
      </c>
      <c r="GP123" s="142">
        <f t="shared" si="189"/>
        <v>2</v>
      </c>
      <c r="GQ123" s="2">
        <f t="shared" si="190"/>
        <v>1.5748031496062995E-2</v>
      </c>
      <c r="GR123" s="8">
        <f t="shared" si="295"/>
        <v>3.6894385776651134E-2</v>
      </c>
      <c r="GS123" s="138">
        <f t="shared" si="191"/>
        <v>0.25</v>
      </c>
      <c r="GT123" s="12">
        <f t="shared" si="296"/>
        <v>3058.1467487225486</v>
      </c>
      <c r="GU123" s="138">
        <f t="shared" si="192"/>
        <v>0.25</v>
      </c>
      <c r="GV123" s="116">
        <f t="shared" si="193"/>
        <v>2175570</v>
      </c>
      <c r="GW123" s="2">
        <f t="shared" si="297"/>
        <v>1.5748031496062995E-2</v>
      </c>
      <c r="GX123" s="8">
        <f t="shared" si="298"/>
        <v>1.6334646192</v>
      </c>
      <c r="GY123" s="116">
        <f t="shared" si="194"/>
        <v>2610.6840000000002</v>
      </c>
      <c r="GZ123" s="217">
        <f t="shared" si="195"/>
        <v>6.0678567979920004</v>
      </c>
      <c r="HA123" s="207">
        <f t="shared" si="196"/>
        <v>2</v>
      </c>
      <c r="HB123" s="144">
        <f t="shared" si="197"/>
        <v>251479.94942684198</v>
      </c>
      <c r="HC123" s="138">
        <f t="shared" si="299"/>
        <v>0.25</v>
      </c>
      <c r="HD123" s="116">
        <f t="shared" si="198"/>
        <v>2175570</v>
      </c>
      <c r="HE123" s="2">
        <f t="shared" si="300"/>
        <v>1.5748031496062995E-2</v>
      </c>
      <c r="HF123" s="8">
        <f t="shared" si="199"/>
        <v>1.6334646192</v>
      </c>
      <c r="HG123" s="116">
        <f t="shared" si="200"/>
        <v>2610.6840000000002</v>
      </c>
      <c r="HH123" s="217">
        <f t="shared" si="201"/>
        <v>6.0678567979920004</v>
      </c>
      <c r="HI123" s="207">
        <f t="shared" si="202"/>
        <v>2</v>
      </c>
      <c r="HJ123" s="144">
        <f t="shared" si="203"/>
        <v>251479.94942684198</v>
      </c>
      <c r="HK123" s="138">
        <f t="shared" si="301"/>
        <v>0.25</v>
      </c>
      <c r="HL123" s="116">
        <f t="shared" si="204"/>
        <v>2175570</v>
      </c>
      <c r="HM123" s="2">
        <f t="shared" si="302"/>
        <v>1.5748031496062995E-2</v>
      </c>
      <c r="HN123" s="8">
        <f t="shared" si="205"/>
        <v>1.6334646192</v>
      </c>
      <c r="HO123" s="116">
        <f t="shared" si="206"/>
        <v>2610.6840000000002</v>
      </c>
      <c r="HP123" s="217">
        <f t="shared" si="207"/>
        <v>6.0678567979920004</v>
      </c>
      <c r="HQ123" s="207">
        <f t="shared" si="208"/>
        <v>2</v>
      </c>
      <c r="HR123" s="144">
        <f t="shared" si="209"/>
        <v>251479.94942684198</v>
      </c>
      <c r="HS123" s="128">
        <f t="shared" si="210"/>
        <v>0.25</v>
      </c>
      <c r="HT123" s="2">
        <f t="shared" si="211"/>
        <v>1.5748031496062995E-2</v>
      </c>
      <c r="HU123" s="127">
        <f t="shared" si="212"/>
        <v>1.5748031496062995E-2</v>
      </c>
      <c r="HV123" s="216">
        <f t="shared" si="213"/>
        <v>0</v>
      </c>
      <c r="HW123" s="138">
        <f t="shared" si="214"/>
        <v>0</v>
      </c>
      <c r="HX123" s="138">
        <f t="shared" si="215"/>
        <v>0.25</v>
      </c>
      <c r="HY123" s="238">
        <f t="shared" si="216"/>
        <v>0</v>
      </c>
      <c r="HZ123" s="138">
        <f t="shared" si="217"/>
        <v>0</v>
      </c>
      <c r="IA123" s="138">
        <f t="shared" si="218"/>
        <v>0</v>
      </c>
      <c r="IB123" s="138">
        <f t="shared" si="219"/>
        <v>0.25</v>
      </c>
      <c r="IC123" s="138">
        <f t="shared" si="220"/>
        <v>0</v>
      </c>
      <c r="ID123" s="216">
        <f t="shared" si="221"/>
        <v>0</v>
      </c>
      <c r="IE123" s="138">
        <f t="shared" si="222"/>
        <v>0</v>
      </c>
      <c r="IF123" s="138">
        <f t="shared" si="223"/>
        <v>1.5748031496062995E-2</v>
      </c>
      <c r="IG123" s="238">
        <f t="shared" si="224"/>
        <v>0</v>
      </c>
      <c r="IH123" s="138">
        <f t="shared" si="225"/>
        <v>0</v>
      </c>
      <c r="II123" s="138">
        <f t="shared" si="226"/>
        <v>0</v>
      </c>
      <c r="IJ123" s="138">
        <f t="shared" si="227"/>
        <v>1.5748031496062995E-2</v>
      </c>
      <c r="IK123" s="138">
        <f t="shared" si="228"/>
        <v>0</v>
      </c>
      <c r="IL123" s="216">
        <f t="shared" si="229"/>
        <v>0</v>
      </c>
      <c r="IM123" s="138">
        <f t="shared" si="230"/>
        <v>0</v>
      </c>
      <c r="IN123" s="138">
        <f t="shared" si="231"/>
        <v>1.5748031496062995E-2</v>
      </c>
      <c r="IO123" s="238">
        <f t="shared" si="232"/>
        <v>0</v>
      </c>
      <c r="IP123" s="138">
        <f t="shared" si="233"/>
        <v>0</v>
      </c>
      <c r="IQ123" s="138">
        <f t="shared" si="234"/>
        <v>0</v>
      </c>
      <c r="IR123" s="138">
        <f t="shared" si="235"/>
        <v>1.5748031496062995E-2</v>
      </c>
      <c r="IS123" s="138">
        <f t="shared" si="236"/>
        <v>0</v>
      </c>
      <c r="IT123" s="17">
        <f t="shared" si="237"/>
        <v>0.25</v>
      </c>
      <c r="IU123" s="17">
        <f t="shared" si="238"/>
        <v>1.5748031496062995E-2</v>
      </c>
      <c r="IV123" s="17">
        <f t="shared" si="239"/>
        <v>1.5748031496062995E-2</v>
      </c>
      <c r="IW123" s="253">
        <f t="shared" si="240"/>
        <v>9.0748034400000002</v>
      </c>
      <c r="IX123" s="116">
        <f t="shared" si="303"/>
        <v>74.147697480971701</v>
      </c>
      <c r="IY123" s="8">
        <f t="shared" si="242"/>
        <v>1.9171104507345927E-3</v>
      </c>
      <c r="IZ123" s="8">
        <f t="shared" si="243"/>
        <v>1.9171104507345927E-3</v>
      </c>
      <c r="JA123" s="8">
        <f t="shared" si="244"/>
        <v>9.5855522536729637E-4</v>
      </c>
      <c r="JB123" s="134">
        <f t="shared" si="245"/>
        <v>3.0960543040574988E-2</v>
      </c>
      <c r="JC123" s="170">
        <f t="shared" si="311"/>
        <v>1.118139342754408E-3</v>
      </c>
      <c r="JD123" s="272">
        <f t="shared" si="312"/>
        <v>3.3438590621532004E-2</v>
      </c>
      <c r="JE123" s="8"/>
      <c r="JF123" s="8"/>
    </row>
    <row r="124" spans="1:266" x14ac:dyDescent="0.25">
      <c r="A124" s="186">
        <v>64</v>
      </c>
      <c r="B124" s="187">
        <f>A124/100*'Inputs-Imperial'!$E$5</f>
        <v>6.2992128000000003</v>
      </c>
      <c r="C124" s="188">
        <f>'Inputs-Imperial'!$E$10+('Inputs-Imperial'!$E$9-'Inputs-Imperial'!$E$10)*(100-A124)/100</f>
        <v>1.50262472</v>
      </c>
      <c r="D124" s="187">
        <f t="shared" si="248"/>
        <v>9.8425200000000324E-2</v>
      </c>
      <c r="E124" s="188">
        <f t="shared" si="249"/>
        <v>0.14838051459069648</v>
      </c>
      <c r="F124" s="423">
        <f>Loads!P84</f>
        <v>32.447644818167149</v>
      </c>
      <c r="G124" s="423">
        <f>Loads!M84</f>
        <v>324.47644818167146</v>
      </c>
      <c r="H124" s="423">
        <f>Loads!N84</f>
        <v>527.65810831112731</v>
      </c>
      <c r="I124" s="423">
        <f>Loads!V84</f>
        <v>-223.76522921171465</v>
      </c>
      <c r="J124" s="423">
        <f>Loads!Q84</f>
        <v>52.765810831112717</v>
      </c>
      <c r="K124" s="2">
        <v>64</v>
      </c>
      <c r="L124" s="12">
        <f t="shared" si="41"/>
        <v>75.590553600000007</v>
      </c>
      <c r="M124" s="11">
        <f t="shared" si="42"/>
        <v>18.03149664</v>
      </c>
      <c r="N124" s="11">
        <f t="shared" si="43"/>
        <v>1.1811024000000039</v>
      </c>
      <c r="O124" s="152">
        <f t="shared" si="44"/>
        <v>21.366794101060293</v>
      </c>
      <c r="P124" s="151">
        <f t="shared" si="45"/>
        <v>32.447644818167149</v>
      </c>
      <c r="Q124" s="12">
        <f t="shared" si="46"/>
        <v>324.47644818167146</v>
      </c>
      <c r="R124" s="12">
        <f t="shared" si="47"/>
        <v>6331.8972997335277</v>
      </c>
      <c r="S124" s="12">
        <f t="shared" si="48"/>
        <v>-2685.1827505405759</v>
      </c>
      <c r="T124" s="152">
        <f t="shared" si="49"/>
        <v>633.18972997335254</v>
      </c>
      <c r="U124" s="8">
        <f t="shared" ref="U124:U160" si="313">M124*$E$17</f>
        <v>3.2456693951999998</v>
      </c>
      <c r="V124" s="8">
        <f t="shared" ref="V124:V160" si="314">M124*$E$17</f>
        <v>3.2456693951999998</v>
      </c>
      <c r="W124" s="134">
        <f t="shared" ref="W124:W160" si="315">M124*$E$19</f>
        <v>1.6228346975999999</v>
      </c>
      <c r="X124" s="311">
        <f t="shared" ref="X124:X160" si="316">M124*$E$18</f>
        <v>4.5078741600000001</v>
      </c>
      <c r="Y124" s="11">
        <f t="shared" ref="Y124:Y160" si="317">M124*$E$20</f>
        <v>13.52362248</v>
      </c>
      <c r="Z124" s="11">
        <f t="shared" ref="Z124:Z155" si="318">Y124-X124</f>
        <v>9.0157483200000001</v>
      </c>
      <c r="AA124" s="316">
        <f t="shared" si="50"/>
        <v>13.52362248</v>
      </c>
      <c r="AB124" s="170">
        <f t="shared" si="51"/>
        <v>2.4342520463999997</v>
      </c>
      <c r="AC124" s="11">
        <f t="shared" si="52"/>
        <v>13.52362248</v>
      </c>
      <c r="AD124" s="152">
        <f t="shared" si="53"/>
        <v>25.855233473390484</v>
      </c>
      <c r="AE124" s="151">
        <f t="shared" ref="AE124:AE160" si="319">ABS(P124)/AA124</f>
        <v>2.3993308646521125</v>
      </c>
      <c r="AF124" s="12">
        <f t="shared" ref="AF124:AF160" si="320">ABS(S124)/2/AD124</f>
        <v>51.927257847122021</v>
      </c>
      <c r="AG124" s="216">
        <f t="shared" ref="AG124:AG155" si="321">((AE124+AF124)/$E$46)</f>
        <v>3.5592518855240497E-3</v>
      </c>
      <c r="AH124" s="2">
        <f t="shared" si="55"/>
        <v>1</v>
      </c>
      <c r="AI124" s="2">
        <f t="shared" si="56"/>
        <v>3</v>
      </c>
      <c r="AJ124" s="127">
        <f t="shared" si="57"/>
        <v>2</v>
      </c>
      <c r="AK124" s="2">
        <f t="shared" si="58"/>
        <v>1.5748031496062995E-2</v>
      </c>
      <c r="AL124" s="8">
        <f t="shared" ref="AL124:AL160" si="322">$E$22*(AE124+AF124)/$E$34</f>
        <v>3.7456796640724592E-2</v>
      </c>
      <c r="AM124" s="138">
        <f t="shared" si="59"/>
        <v>0.25</v>
      </c>
      <c r="AN124" s="12">
        <f t="shared" ref="AN124:AN160" si="323">$E$22*(AE124+AF124)/(2*AK124)</f>
        <v>3104.7645448778917</v>
      </c>
      <c r="AO124" s="138">
        <f t="shared" si="60"/>
        <v>0.25</v>
      </c>
      <c r="AP124" s="116">
        <f t="shared" si="61"/>
        <v>2175570</v>
      </c>
      <c r="AQ124" s="2">
        <f t="shared" si="62"/>
        <v>1.5748031496062995E-2</v>
      </c>
      <c r="AR124" s="8">
        <f t="shared" si="63"/>
        <v>9.0157483200000001</v>
      </c>
      <c r="AS124" s="116">
        <f t="shared" si="64"/>
        <v>2610.6840000000002</v>
      </c>
      <c r="AT124" s="217">
        <f t="shared" si="65"/>
        <v>0.19918252237724426</v>
      </c>
      <c r="AU124" s="207">
        <f t="shared" si="66"/>
        <v>3.1056200717084699</v>
      </c>
      <c r="AV124" s="144">
        <f t="shared" si="67"/>
        <v>12818.511535992144</v>
      </c>
      <c r="AW124" s="138">
        <f t="shared" si="68"/>
        <v>0.25</v>
      </c>
      <c r="AX124" s="116">
        <f t="shared" si="69"/>
        <v>2175570</v>
      </c>
      <c r="AY124" s="2">
        <f t="shared" si="70"/>
        <v>1.5748031496062995E-2</v>
      </c>
      <c r="AZ124" s="8">
        <f t="shared" si="71"/>
        <v>9.0157483200000001</v>
      </c>
      <c r="BA124" s="116">
        <f t="shared" si="72"/>
        <v>2610.6840000000002</v>
      </c>
      <c r="BB124" s="217">
        <f t="shared" si="73"/>
        <v>0.19918252237724426</v>
      </c>
      <c r="BC124" s="207">
        <f t="shared" si="74"/>
        <v>3.1056200717084699</v>
      </c>
      <c r="BD124" s="144">
        <f t="shared" si="75"/>
        <v>12818.511535992144</v>
      </c>
      <c r="BE124" s="138">
        <f t="shared" si="76"/>
        <v>0.25</v>
      </c>
      <c r="BF124" s="116">
        <f t="shared" si="77"/>
        <v>2175570</v>
      </c>
      <c r="BG124" s="2">
        <f t="shared" si="78"/>
        <v>1.5748031496062995E-2</v>
      </c>
      <c r="BH124" s="8">
        <f t="shared" si="79"/>
        <v>9.0157483200000001</v>
      </c>
      <c r="BI124" s="116">
        <f t="shared" si="80"/>
        <v>2610.6840000000002</v>
      </c>
      <c r="BJ124" s="217">
        <f t="shared" si="81"/>
        <v>0.19918252237724426</v>
      </c>
      <c r="BK124" s="207">
        <f t="shared" si="82"/>
        <v>3.1056200717084699</v>
      </c>
      <c r="BL124" s="144">
        <f t="shared" si="83"/>
        <v>12818.511535992144</v>
      </c>
      <c r="BM124" s="216">
        <f t="shared" si="84"/>
        <v>0.25</v>
      </c>
      <c r="BN124" s="216">
        <f t="shared" si="85"/>
        <v>2.3622047244094495E-2</v>
      </c>
      <c r="BO124" s="238">
        <f t="shared" si="86"/>
        <v>1.5748031496062995E-2</v>
      </c>
      <c r="BP124" s="216">
        <f t="shared" si="87"/>
        <v>0</v>
      </c>
      <c r="BQ124" s="138">
        <f t="shared" si="88"/>
        <v>0</v>
      </c>
      <c r="BR124" s="138">
        <f t="shared" si="89"/>
        <v>0.25</v>
      </c>
      <c r="BS124" s="238">
        <f t="shared" si="90"/>
        <v>0</v>
      </c>
      <c r="BT124" s="138">
        <f t="shared" si="91"/>
        <v>0</v>
      </c>
      <c r="BU124" s="138">
        <f t="shared" si="92"/>
        <v>0</v>
      </c>
      <c r="BV124" s="138">
        <f t="shared" si="93"/>
        <v>0.25</v>
      </c>
      <c r="BW124" s="238">
        <f t="shared" si="94"/>
        <v>0</v>
      </c>
      <c r="BX124" s="216">
        <f t="shared" si="95"/>
        <v>0</v>
      </c>
      <c r="BY124" s="138">
        <f t="shared" si="96"/>
        <v>0</v>
      </c>
      <c r="BZ124" s="138">
        <f t="shared" si="97"/>
        <v>2.3622047244094495E-2</v>
      </c>
      <c r="CA124" s="238">
        <f t="shared" si="98"/>
        <v>0</v>
      </c>
      <c r="CB124" s="138">
        <f t="shared" si="99"/>
        <v>0</v>
      </c>
      <c r="CC124" s="138">
        <f t="shared" si="100"/>
        <v>0</v>
      </c>
      <c r="CD124" s="138">
        <f t="shared" si="101"/>
        <v>2.3622047244094495E-2</v>
      </c>
      <c r="CE124" s="238">
        <f t="shared" si="102"/>
        <v>0</v>
      </c>
      <c r="CF124" s="216">
        <f t="shared" si="103"/>
        <v>0</v>
      </c>
      <c r="CG124" s="138">
        <f t="shared" si="104"/>
        <v>0</v>
      </c>
      <c r="CH124" s="138">
        <f t="shared" si="105"/>
        <v>1.5748031496062995E-2</v>
      </c>
      <c r="CI124" s="238">
        <f t="shared" si="106"/>
        <v>0</v>
      </c>
      <c r="CJ124" s="138">
        <f t="shared" si="107"/>
        <v>0</v>
      </c>
      <c r="CK124" s="138">
        <f t="shared" si="108"/>
        <v>0</v>
      </c>
      <c r="CL124" s="138">
        <f t="shared" si="109"/>
        <v>1.5748031496062995E-2</v>
      </c>
      <c r="CM124" s="238">
        <f t="shared" si="110"/>
        <v>0</v>
      </c>
      <c r="CN124" s="17">
        <f t="shared" si="111"/>
        <v>0.25</v>
      </c>
      <c r="CO124" s="17">
        <f t="shared" si="112"/>
        <v>2.3622047244094495E-2</v>
      </c>
      <c r="CP124" s="17">
        <f t="shared" si="113"/>
        <v>1.5748031496062995E-2</v>
      </c>
      <c r="CQ124" s="17">
        <f>$U124-IF('Inputs-Imperial'!$E$13,0,2)*($CO124+$CN124+$CP124)</f>
        <v>3.2456693951999998</v>
      </c>
      <c r="CR124" s="116">
        <f t="shared" si="114"/>
        <v>1950.8756218663957</v>
      </c>
      <c r="CS124" s="8">
        <f t="shared" ref="CS124:CS160" si="324">CR124/($E$23/$E$21)</f>
        <v>5.0440460996421514E-2</v>
      </c>
      <c r="CT124" s="8">
        <f t="shared" si="115"/>
        <v>0.22458953892917968</v>
      </c>
      <c r="CU124" s="8">
        <f t="shared" ref="CU124:CU160" si="325">CR124/($E$24/$E$21)</f>
        <v>5.0440460996421514E-2</v>
      </c>
      <c r="CV124" s="8">
        <f t="shared" si="116"/>
        <v>0.22458953892917968</v>
      </c>
      <c r="CW124" s="216">
        <f t="shared" si="117"/>
        <v>3.0210798562708203</v>
      </c>
      <c r="CX124" s="116">
        <f t="shared" si="118"/>
        <v>2095.9053057106325</v>
      </c>
      <c r="CY124" s="8">
        <f t="shared" si="119"/>
        <v>5.4190245979776827E-2</v>
      </c>
      <c r="CZ124" s="8">
        <f t="shared" si="120"/>
        <v>0.23278798504170448</v>
      </c>
      <c r="DA124" s="8">
        <f t="shared" si="121"/>
        <v>5.4190245979776827E-2</v>
      </c>
      <c r="DB124" s="8">
        <f t="shared" si="122"/>
        <v>0.23278798504170448</v>
      </c>
      <c r="DC124" s="216">
        <f t="shared" si="123"/>
        <v>3.0128814101582955</v>
      </c>
      <c r="DD124" s="116">
        <f t="shared" si="124"/>
        <v>2101.608539381858</v>
      </c>
      <c r="DE124" s="8">
        <f t="shared" si="125"/>
        <v>5.4337704757939073E-2</v>
      </c>
      <c r="DF124" s="8">
        <f t="shared" si="126"/>
        <v>0.23310449321696713</v>
      </c>
      <c r="DG124" s="8">
        <f t="shared" si="127"/>
        <v>5.4337704757939073E-2</v>
      </c>
      <c r="DH124" s="8">
        <f t="shared" si="128"/>
        <v>0.23310449321696713</v>
      </c>
      <c r="DI124" s="216">
        <f t="shared" si="129"/>
        <v>3.012564901983033</v>
      </c>
      <c r="DJ124" s="116">
        <f t="shared" si="130"/>
        <v>2101.8293400303278</v>
      </c>
      <c r="DK124" s="8">
        <f t="shared" si="131"/>
        <v>5.4343413623420954E-2</v>
      </c>
      <c r="DL124" s="8">
        <f t="shared" si="132"/>
        <v>0.23311673818801806</v>
      </c>
      <c r="DM124" s="8">
        <f t="shared" si="133"/>
        <v>5.4343413623420954E-2</v>
      </c>
      <c r="DN124" s="8">
        <f t="shared" si="134"/>
        <v>0.23311673818801806</v>
      </c>
      <c r="DO124" s="216">
        <f t="shared" si="135"/>
        <v>3.0125526570119816</v>
      </c>
      <c r="DP124" s="116">
        <f t="shared" si="136"/>
        <v>2101.8378832301833</v>
      </c>
      <c r="DQ124" s="170">
        <f t="shared" si="137"/>
        <v>5.4343634510357196E-2</v>
      </c>
      <c r="DR124" s="8">
        <f t="shared" si="138"/>
        <v>0.23311721195646878</v>
      </c>
      <c r="DS124" s="8">
        <f t="shared" si="139"/>
        <v>5.4343634510357196E-2</v>
      </c>
      <c r="DT124" s="134">
        <f t="shared" si="140"/>
        <v>0.23311721195646878</v>
      </c>
      <c r="DU124" s="170">
        <f t="shared" si="310"/>
        <v>6.7368736237725546E-2</v>
      </c>
      <c r="DV124" s="170">
        <f t="shared" si="310"/>
        <v>0.25955488097457452</v>
      </c>
      <c r="DW124" s="170">
        <f t="shared" si="310"/>
        <v>6.7368736237725546E-2</v>
      </c>
      <c r="DX124" s="272">
        <f t="shared" si="310"/>
        <v>0.25955488097457452</v>
      </c>
      <c r="DY124" s="272">
        <f t="shared" si="142"/>
        <v>2.7265596332508504</v>
      </c>
      <c r="DZ124" s="22">
        <f t="shared" ref="DZ124:DZ160" si="326">ABS(Q124)/CQ124</f>
        <v>99.972119360504692</v>
      </c>
      <c r="EA124" s="216">
        <f t="shared" ref="EA124:EA155" si="327">(DZ124/$E$46)</f>
        <v>6.5497569932380824E-3</v>
      </c>
      <c r="EB124" s="12">
        <f t="shared" si="143"/>
        <v>1</v>
      </c>
      <c r="EC124" s="7">
        <f>ROUND(MAX(DV124,DX124)/'Inputs-Imperial'!$E$21,0)</f>
        <v>2</v>
      </c>
      <c r="ED124" s="12">
        <f t="shared" si="144"/>
        <v>2</v>
      </c>
      <c r="EE124" s="2">
        <f t="shared" si="145"/>
        <v>2</v>
      </c>
      <c r="EF124" s="127">
        <f t="shared" si="146"/>
        <v>2</v>
      </c>
      <c r="EG124" s="2">
        <f t="shared" si="147"/>
        <v>1.5748031496062995E-2</v>
      </c>
      <c r="EH124" s="8">
        <f t="shared" ref="EH124:EH160" si="328">$E$22*DZ124/$E$34</f>
        <v>6.8928225265450907E-2</v>
      </c>
      <c r="EI124" s="138">
        <f t="shared" si="148"/>
        <v>0.25</v>
      </c>
      <c r="EJ124" s="12">
        <f t="shared" ref="EJ124:EJ160" si="329">$E$22*DZ124/(2*EG124)</f>
        <v>5713.406621452842</v>
      </c>
      <c r="EK124" s="138">
        <f t="shared" si="149"/>
        <v>0.25</v>
      </c>
      <c r="EL124" s="116">
        <f t="shared" si="150"/>
        <v>2175570</v>
      </c>
      <c r="EM124" s="2">
        <f t="shared" ref="EM124:EM160" si="330">$EG124</f>
        <v>1.5748031496062995E-2</v>
      </c>
      <c r="EN124" s="8">
        <f t="shared" si="151"/>
        <v>3.2456693951999998</v>
      </c>
      <c r="EO124" s="116">
        <f t="shared" si="152"/>
        <v>2610.6840000000002</v>
      </c>
      <c r="EP124" s="217">
        <f t="shared" si="153"/>
        <v>1.5369021788367616</v>
      </c>
      <c r="EQ124" s="207">
        <f t="shared" si="154"/>
        <v>2</v>
      </c>
      <c r="ER124" s="144">
        <f t="shared" si="155"/>
        <v>63696.309104686552</v>
      </c>
      <c r="ES124" s="138">
        <f t="shared" ref="ES124:ES155" si="331">IF(ER124&gt;$EJ124,EK124,ROUNDUP(EK124*$EJ124/ER124/$E$42,0)*$E$42)</f>
        <v>0.25</v>
      </c>
      <c r="ET124" s="116">
        <f t="shared" si="156"/>
        <v>2175570</v>
      </c>
      <c r="EU124" s="2">
        <f t="shared" ref="EU124:EU160" si="332">$EG124</f>
        <v>1.5748031496062995E-2</v>
      </c>
      <c r="EV124" s="8">
        <f t="shared" si="157"/>
        <v>3.2456693951999998</v>
      </c>
      <c r="EW124" s="116">
        <f t="shared" si="158"/>
        <v>2610.6840000000002</v>
      </c>
      <c r="EX124" s="217">
        <f t="shared" si="159"/>
        <v>1.5369021788367616</v>
      </c>
      <c r="EY124" s="207">
        <f t="shared" si="160"/>
        <v>2</v>
      </c>
      <c r="EZ124" s="144">
        <f t="shared" si="161"/>
        <v>63696.309104686552</v>
      </c>
      <c r="FA124" s="138">
        <f t="shared" ref="FA124:FA155" si="333">IF(EZ124&gt;$EJ124,ES124,ROUNDUP(ES124*$EJ124/EZ124/$E$42,0)*$E$42)</f>
        <v>0.25</v>
      </c>
      <c r="FB124" s="116">
        <f t="shared" si="162"/>
        <v>2175570</v>
      </c>
      <c r="FC124" s="2">
        <f t="shared" ref="FC124:FC160" si="334">$EG124</f>
        <v>1.5748031496062995E-2</v>
      </c>
      <c r="FD124" s="8">
        <f t="shared" si="163"/>
        <v>3.2456693951999998</v>
      </c>
      <c r="FE124" s="116">
        <f t="shared" si="164"/>
        <v>2610.6840000000002</v>
      </c>
      <c r="FF124" s="217">
        <f t="shared" si="165"/>
        <v>1.5369021788367616</v>
      </c>
      <c r="FG124" s="207">
        <f t="shared" si="166"/>
        <v>2</v>
      </c>
      <c r="FH124" s="144">
        <f t="shared" si="167"/>
        <v>63696.309104686552</v>
      </c>
      <c r="FI124" s="128">
        <f t="shared" si="168"/>
        <v>0.25</v>
      </c>
      <c r="FJ124" s="2">
        <f t="shared" si="169"/>
        <v>1.5748031496062995E-2</v>
      </c>
      <c r="FK124" s="127">
        <f t="shared" si="170"/>
        <v>1.5748031496062995E-2</v>
      </c>
      <c r="FL124" s="216">
        <f t="shared" si="171"/>
        <v>0</v>
      </c>
      <c r="FM124" s="138">
        <f t="shared" si="172"/>
        <v>0</v>
      </c>
      <c r="FN124" s="138">
        <f t="shared" si="173"/>
        <v>0.25</v>
      </c>
      <c r="FO124" s="238">
        <f t="shared" si="174"/>
        <v>0</v>
      </c>
      <c r="FP124" s="216">
        <f t="shared" ref="FP124:FP160" si="335">IF(FL124&gt;0,MAX(FL$60:FL$160),0)</f>
        <v>0</v>
      </c>
      <c r="FQ124" s="138">
        <f t="shared" ref="FQ124:FQ160" si="336">IF(FM124&gt;0,MAX(FM$60:FM$160),0)</f>
        <v>0</v>
      </c>
      <c r="FR124" s="138">
        <f t="shared" ref="FR124:FR160" si="337">IF(FN124&gt;0,MAX(FN$60:FN$160),0)</f>
        <v>0.25</v>
      </c>
      <c r="FS124" s="238">
        <f t="shared" ref="FS124:FS160" si="338">IF(FO124&gt;0,MAX(FO$60:FO$160),0)</f>
        <v>0</v>
      </c>
      <c r="FT124" s="216">
        <f t="shared" si="175"/>
        <v>0</v>
      </c>
      <c r="FU124" s="138">
        <f t="shared" si="176"/>
        <v>0</v>
      </c>
      <c r="FV124" s="138">
        <f t="shared" si="177"/>
        <v>1.5748031496062995E-2</v>
      </c>
      <c r="FW124" s="238">
        <f t="shared" si="178"/>
        <v>0</v>
      </c>
      <c r="FX124" s="216">
        <f t="shared" ref="FX124:FX160" si="339">IF(FT124&gt;0,MAX(FT$60:FT$160),0)</f>
        <v>0</v>
      </c>
      <c r="FY124" s="138">
        <f t="shared" ref="FY124:FY160" si="340">IF(FU124&gt;0,MAX(FU$60:FU$160),0)</f>
        <v>0</v>
      </c>
      <c r="FZ124" s="138">
        <f t="shared" ref="FZ124:FZ160" si="341">IF(FV124&gt;0,MAX(FV$60:FV$160),0)</f>
        <v>1.5748031496062995E-2</v>
      </c>
      <c r="GA124" s="238">
        <f t="shared" ref="GA124:GA160" si="342">IF(FW124&gt;0,MAX(FW$60:FW$160),0)</f>
        <v>0</v>
      </c>
      <c r="GB124" s="216">
        <f t="shared" si="179"/>
        <v>0</v>
      </c>
      <c r="GC124" s="138">
        <f t="shared" si="180"/>
        <v>0</v>
      </c>
      <c r="GD124" s="138">
        <f t="shared" si="181"/>
        <v>1.5748031496062995E-2</v>
      </c>
      <c r="GE124" s="238">
        <f t="shared" si="182"/>
        <v>0</v>
      </c>
      <c r="GF124" s="216">
        <f t="shared" ref="GF124:GF160" si="343">IF(GB124&gt;0,MAX(GB$60:GB$160),0)</f>
        <v>0</v>
      </c>
      <c r="GG124" s="138">
        <f t="shared" ref="GG124:GG160" si="344">IF(GC124&gt;0,MAX(GC$60:GC$160),0)</f>
        <v>0</v>
      </c>
      <c r="GH124" s="138">
        <f t="shared" ref="GH124:GH160" si="345">IF(GD124&gt;0,MAX(GD$60:GD$160),0)</f>
        <v>1.5748031496062995E-2</v>
      </c>
      <c r="GI124" s="238">
        <f t="shared" ref="GI124:GI160" si="346">IF(GE124&gt;0,MAX(GE$60:GE$160),0)</f>
        <v>0</v>
      </c>
      <c r="GJ124" s="216">
        <f t="shared" si="183"/>
        <v>0.25</v>
      </c>
      <c r="GK124" s="216">
        <f t="shared" si="184"/>
        <v>1.5748031496062995E-2</v>
      </c>
      <c r="GL124" s="17">
        <f t="shared" si="185"/>
        <v>1.5748031496062995E-2</v>
      </c>
      <c r="GM124" s="216">
        <f t="shared" ref="GM124:GM160" si="347">(AF124/$E$46)</f>
        <v>3.4020577176863357E-3</v>
      </c>
      <c r="GN124" s="2">
        <f t="shared" si="187"/>
        <v>1</v>
      </c>
      <c r="GO124" s="2">
        <f t="shared" si="188"/>
        <v>2</v>
      </c>
      <c r="GP124" s="142">
        <f t="shared" si="189"/>
        <v>2</v>
      </c>
      <c r="GQ124" s="2">
        <f t="shared" si="190"/>
        <v>1.5748031496062995E-2</v>
      </c>
      <c r="GR124" s="8">
        <f t="shared" ref="GR124:GR160" si="348">$E$22*AF124/$E$34</f>
        <v>3.580251923435377E-2</v>
      </c>
      <c r="GS124" s="138">
        <f t="shared" si="191"/>
        <v>0.25</v>
      </c>
      <c r="GT124" s="12">
        <f t="shared" ref="GT124:GT160" si="349">$E$22*AF124/(2*GQ124)</f>
        <v>2967.642785963023</v>
      </c>
      <c r="GU124" s="138">
        <f t="shared" si="192"/>
        <v>0.25</v>
      </c>
      <c r="GV124" s="116">
        <f t="shared" si="193"/>
        <v>2175570</v>
      </c>
      <c r="GW124" s="2">
        <f t="shared" ref="GW124:GW160" si="350">$EG124</f>
        <v>1.5748031496062995E-2</v>
      </c>
      <c r="GX124" s="8">
        <f t="shared" ref="GX124:GX160" si="351">W124</f>
        <v>1.6228346975999999</v>
      </c>
      <c r="GY124" s="116">
        <f t="shared" si="194"/>
        <v>2610.6840000000002</v>
      </c>
      <c r="GZ124" s="217">
        <f t="shared" si="195"/>
        <v>6.1476087153470464</v>
      </c>
      <c r="HA124" s="207">
        <f t="shared" si="196"/>
        <v>2</v>
      </c>
      <c r="HB124" s="144">
        <f t="shared" si="197"/>
        <v>254785.23641874621</v>
      </c>
      <c r="HC124" s="138">
        <f t="shared" ref="HC124:HC155" si="352">IF(HB124&gt;$GT124,GU124,ROUNDUP(GU124*$GT124/HB124/$E$42,0)*$E$42)</f>
        <v>0.25</v>
      </c>
      <c r="HD124" s="116">
        <f t="shared" si="198"/>
        <v>2175570</v>
      </c>
      <c r="HE124" s="2">
        <f t="shared" ref="HE124:HE160" si="353">$EG124</f>
        <v>1.5748031496062995E-2</v>
      </c>
      <c r="HF124" s="8">
        <f t="shared" si="199"/>
        <v>1.6228346975999999</v>
      </c>
      <c r="HG124" s="116">
        <f t="shared" si="200"/>
        <v>2610.6840000000002</v>
      </c>
      <c r="HH124" s="217">
        <f t="shared" si="201"/>
        <v>6.1476087153470464</v>
      </c>
      <c r="HI124" s="207">
        <f t="shared" si="202"/>
        <v>2</v>
      </c>
      <c r="HJ124" s="144">
        <f t="shared" si="203"/>
        <v>254785.23641874621</v>
      </c>
      <c r="HK124" s="138">
        <f t="shared" ref="HK124:HK155" si="354">IF(HJ124&gt;$GT124,HC124,ROUNDUP(HC124*$GT124/HJ124/$E$42,0)*$E$42)</f>
        <v>0.25</v>
      </c>
      <c r="HL124" s="116">
        <f t="shared" si="204"/>
        <v>2175570</v>
      </c>
      <c r="HM124" s="2">
        <f t="shared" ref="HM124:HM160" si="355">$EG124</f>
        <v>1.5748031496062995E-2</v>
      </c>
      <c r="HN124" s="8">
        <f t="shared" si="205"/>
        <v>1.6228346975999999</v>
      </c>
      <c r="HO124" s="116">
        <f t="shared" si="206"/>
        <v>2610.6840000000002</v>
      </c>
      <c r="HP124" s="217">
        <f t="shared" si="207"/>
        <v>6.1476087153470464</v>
      </c>
      <c r="HQ124" s="207">
        <f t="shared" si="208"/>
        <v>2</v>
      </c>
      <c r="HR124" s="144">
        <f t="shared" si="209"/>
        <v>254785.23641874621</v>
      </c>
      <c r="HS124" s="128">
        <f t="shared" si="210"/>
        <v>0.25</v>
      </c>
      <c r="HT124" s="2">
        <f t="shared" si="211"/>
        <v>1.5748031496062995E-2</v>
      </c>
      <c r="HU124" s="127">
        <f t="shared" si="212"/>
        <v>1.5748031496062995E-2</v>
      </c>
      <c r="HV124" s="216">
        <f t="shared" si="213"/>
        <v>0</v>
      </c>
      <c r="HW124" s="138">
        <f t="shared" si="214"/>
        <v>0</v>
      </c>
      <c r="HX124" s="138">
        <f t="shared" si="215"/>
        <v>0.25</v>
      </c>
      <c r="HY124" s="238">
        <f t="shared" si="216"/>
        <v>0</v>
      </c>
      <c r="HZ124" s="138">
        <f t="shared" si="217"/>
        <v>0</v>
      </c>
      <c r="IA124" s="138">
        <f t="shared" si="218"/>
        <v>0</v>
      </c>
      <c r="IB124" s="138">
        <f t="shared" si="219"/>
        <v>0.25</v>
      </c>
      <c r="IC124" s="138">
        <f t="shared" si="220"/>
        <v>0</v>
      </c>
      <c r="ID124" s="216">
        <f t="shared" si="221"/>
        <v>0</v>
      </c>
      <c r="IE124" s="138">
        <f t="shared" si="222"/>
        <v>0</v>
      </c>
      <c r="IF124" s="138">
        <f t="shared" si="223"/>
        <v>1.5748031496062995E-2</v>
      </c>
      <c r="IG124" s="238">
        <f t="shared" si="224"/>
        <v>0</v>
      </c>
      <c r="IH124" s="138">
        <f t="shared" si="225"/>
        <v>0</v>
      </c>
      <c r="II124" s="138">
        <f t="shared" si="226"/>
        <v>0</v>
      </c>
      <c r="IJ124" s="138">
        <f t="shared" si="227"/>
        <v>1.5748031496062995E-2</v>
      </c>
      <c r="IK124" s="138">
        <f t="shared" si="228"/>
        <v>0</v>
      </c>
      <c r="IL124" s="216">
        <f t="shared" si="229"/>
        <v>0</v>
      </c>
      <c r="IM124" s="138">
        <f t="shared" si="230"/>
        <v>0</v>
      </c>
      <c r="IN124" s="138">
        <f t="shared" si="231"/>
        <v>1.5748031496062995E-2</v>
      </c>
      <c r="IO124" s="238">
        <f t="shared" si="232"/>
        <v>0</v>
      </c>
      <c r="IP124" s="138">
        <f t="shared" si="233"/>
        <v>0</v>
      </c>
      <c r="IQ124" s="138">
        <f t="shared" si="234"/>
        <v>0</v>
      </c>
      <c r="IR124" s="138">
        <f t="shared" si="235"/>
        <v>1.5748031496062995E-2</v>
      </c>
      <c r="IS124" s="138">
        <f t="shared" si="236"/>
        <v>0</v>
      </c>
      <c r="IT124" s="17">
        <f t="shared" si="237"/>
        <v>0.25</v>
      </c>
      <c r="IU124" s="17">
        <f t="shared" si="238"/>
        <v>1.5748031496062995E-2</v>
      </c>
      <c r="IV124" s="17">
        <f t="shared" si="239"/>
        <v>1.5748031496062995E-2</v>
      </c>
      <c r="IW124" s="253">
        <f t="shared" si="240"/>
        <v>9.0157483200000001</v>
      </c>
      <c r="IX124" s="116">
        <f t="shared" ref="IX124:IX155" si="356">$T124/IW124</f>
        <v>70.231522387190211</v>
      </c>
      <c r="IY124" s="8">
        <f t="shared" ref="IY124:IY160" si="357">IX124/($E$23/$E$21)</f>
        <v>1.8158565958711736E-3</v>
      </c>
      <c r="IZ124" s="8">
        <f t="shared" si="243"/>
        <v>1.8158565958711736E-3</v>
      </c>
      <c r="JA124" s="8">
        <f t="shared" si="244"/>
        <v>9.079282979355868E-4</v>
      </c>
      <c r="JB124" s="134">
        <f t="shared" si="245"/>
        <v>3.0131848564858857E-2</v>
      </c>
      <c r="JC124" s="170">
        <f t="shared" si="311"/>
        <v>1.118139342754408E-3</v>
      </c>
      <c r="JD124" s="272">
        <f t="shared" si="312"/>
        <v>3.3438590621532004E-2</v>
      </c>
      <c r="JE124" s="8"/>
      <c r="JF124" s="8"/>
    </row>
    <row r="125" spans="1:266" x14ac:dyDescent="0.25">
      <c r="A125" s="186">
        <v>65</v>
      </c>
      <c r="B125" s="187">
        <f>A125/100*'Inputs-Imperial'!$E$5</f>
        <v>6.3976380000000006</v>
      </c>
      <c r="C125" s="188">
        <f>'Inputs-Imperial'!$E$10+('Inputs-Imperial'!$E$9-'Inputs-Imperial'!$E$10)*(100-A125)/100</f>
        <v>1.4927821999999999</v>
      </c>
      <c r="D125" s="187">
        <f t="shared" si="248"/>
        <v>9.8425200000000324E-2</v>
      </c>
      <c r="E125" s="188">
        <f t="shared" si="249"/>
        <v>0.14741176259119249</v>
      </c>
      <c r="F125" s="423">
        <f>Loads!P85</f>
        <v>31.304500789432982</v>
      </c>
      <c r="G125" s="423">
        <f>Loads!M85</f>
        <v>313.04500789432984</v>
      </c>
      <c r="H125" s="423">
        <f>Loads!N85</f>
        <v>495.72144900355653</v>
      </c>
      <c r="I125" s="423">
        <f>Loads!V85</f>
        <v>-214.08274594177726</v>
      </c>
      <c r="J125" s="423">
        <f>Loads!Q85</f>
        <v>49.572144900355639</v>
      </c>
      <c r="K125" s="2">
        <v>65</v>
      </c>
      <c r="L125" s="12">
        <f t="shared" ref="L125:L160" si="358">B125*12</f>
        <v>76.771656000000007</v>
      </c>
      <c r="M125" s="11">
        <f t="shared" ref="M125:M160" si="359">C125*12</f>
        <v>17.9133864</v>
      </c>
      <c r="N125" s="11">
        <f t="shared" ref="N125:N160" si="360">D125*12</f>
        <v>1.1811024000000039</v>
      </c>
      <c r="O125" s="152">
        <f t="shared" ref="O125:O160" si="361">E125*12*12</f>
        <v>21.227293813131716</v>
      </c>
      <c r="P125" s="151">
        <f t="shared" ref="P125:P160" si="362">F125</f>
        <v>31.304500789432982</v>
      </c>
      <c r="Q125" s="12">
        <f t="shared" ref="Q125:Q160" si="363">G125</f>
        <v>313.04500789432984</v>
      </c>
      <c r="R125" s="12">
        <f t="shared" ref="R125:R160" si="364">ABS(H125*12)</f>
        <v>5948.6573880426786</v>
      </c>
      <c r="S125" s="12">
        <f t="shared" ref="S125:S160" si="365">I125*12</f>
        <v>-2568.9929513013271</v>
      </c>
      <c r="T125" s="152">
        <f t="shared" ref="T125:T160" si="366">J125*12</f>
        <v>594.86573880426772</v>
      </c>
      <c r="U125" s="8">
        <f t="shared" si="313"/>
        <v>3.224409552</v>
      </c>
      <c r="V125" s="8">
        <f t="shared" si="314"/>
        <v>3.224409552</v>
      </c>
      <c r="W125" s="134">
        <f t="shared" si="315"/>
        <v>1.612204776</v>
      </c>
      <c r="X125" s="311">
        <f t="shared" si="316"/>
        <v>4.4783466000000001</v>
      </c>
      <c r="Y125" s="11">
        <f t="shared" si="317"/>
        <v>13.4350398</v>
      </c>
      <c r="Z125" s="11">
        <f t="shared" si="318"/>
        <v>8.9566932000000001</v>
      </c>
      <c r="AA125" s="316">
        <f t="shared" ref="AA125:AA160" si="367">Y125</f>
        <v>13.4350398</v>
      </c>
      <c r="AB125" s="170">
        <f t="shared" ref="AB125:AB160" si="368">AVERAGE(W125,V125)</f>
        <v>2.4183071639999998</v>
      </c>
      <c r="AC125" s="11">
        <f t="shared" ref="AC125:AC160" si="369">AA125</f>
        <v>13.4350398</v>
      </c>
      <c r="AD125" s="152">
        <f t="shared" ref="AD125:AD160" si="370">PI()*AB125/2*AC125/2</f>
        <v>25.517627952502167</v>
      </c>
      <c r="AE125" s="151">
        <f t="shared" si="319"/>
        <v>2.3300638669810998</v>
      </c>
      <c r="AF125" s="12">
        <f t="shared" si="320"/>
        <v>50.337612807961271</v>
      </c>
      <c r="AG125" s="216">
        <f t="shared" si="321"/>
        <v>3.4505668763043871E-3</v>
      </c>
      <c r="AH125" s="2">
        <f t="shared" ref="AH125:AH160" si="371">ROUNDUP(AG125/$E$32,0)</f>
        <v>1</v>
      </c>
      <c r="AI125" s="2">
        <f t="shared" ref="AI125:AI160" si="372">IF(AH125&lt;$E$40,$E$40,MAX($E$40,ROUNDUP(AH125/2,0)))</f>
        <v>3</v>
      </c>
      <c r="AJ125" s="127">
        <f t="shared" ref="AJ125:AJ160" si="373">IF(AH125&lt;$E$41,$E$41,MAX($E$41,ROUNDUP(AH125/2,0)))</f>
        <v>2</v>
      </c>
      <c r="AK125" s="2">
        <f t="shared" ref="AK125:AK160" si="374">MIN(AI125*$E$32,AJ125*$E$32)</f>
        <v>1.5748031496062995E-2</v>
      </c>
      <c r="AL125" s="8">
        <f t="shared" si="322"/>
        <v>3.631301912253504E-2</v>
      </c>
      <c r="AM125" s="138">
        <f t="shared" ref="AM125:AM160" si="375">IF(ROUNDUP(AL125/$E$42,0)*$E$42&gt;$E$42,ROUNDUP(AL125/$E$42,0)*$E$42,$E$42)</f>
        <v>0.25</v>
      </c>
      <c r="AN125" s="12">
        <f t="shared" si="323"/>
        <v>3009.9577219729558</v>
      </c>
      <c r="AO125" s="138">
        <f t="shared" ref="AO125:AO160" si="376">AM125</f>
        <v>0.25</v>
      </c>
      <c r="AP125" s="116">
        <f t="shared" ref="AP125:AP160" si="377">$E$29</f>
        <v>2175570</v>
      </c>
      <c r="AQ125" s="2">
        <f t="shared" ref="AQ125:AQ160" si="378">$AK125</f>
        <v>1.5748031496062995E-2</v>
      </c>
      <c r="AR125" s="8">
        <f t="shared" ref="AR125:AR160" si="379">MAX($X125,$Z125)</f>
        <v>8.9566932000000001</v>
      </c>
      <c r="AS125" s="116">
        <f t="shared" ref="AS125:AS160" si="380">$E$34</f>
        <v>2610.6840000000002</v>
      </c>
      <c r="AT125" s="217">
        <f t="shared" ref="AT125:AT160" si="381">(PI()^2)*AO125*AP125*AQ125/(2*AS125*AR125^2)</f>
        <v>0.20181776415379915</v>
      </c>
      <c r="AU125" s="207">
        <f t="shared" ref="AU125:AU160" si="382">IF((-50.995*AT125^3+45.565*AT125^2-18.064*AT125+5.2989)&gt;2,(-50.995*AT125^3+45.565*AT125^2-18.064*AT125+5.2989),2)</f>
        <v>3.0899600037962034</v>
      </c>
      <c r="AV125" s="144">
        <f t="shared" ref="AV125:AV160" si="383">(PI()^2)*AU125*(AO125^2)*AP125/(4*AR125^2)</f>
        <v>12922.611686327524</v>
      </c>
      <c r="AW125" s="138">
        <f t="shared" ref="AW125:AW160" si="384">IF(AV125&gt;AN125,AO125,ROUNDUP(AO125*AN125/AV125/$E$42,0)*$E$42)</f>
        <v>0.25</v>
      </c>
      <c r="AX125" s="116">
        <f t="shared" ref="AX125:AX160" si="385">$E$29</f>
        <v>2175570</v>
      </c>
      <c r="AY125" s="2">
        <f t="shared" ref="AY125:AY160" si="386">$AK125</f>
        <v>1.5748031496062995E-2</v>
      </c>
      <c r="AZ125" s="8">
        <f t="shared" ref="AZ125:AZ160" si="387">MAX($X125,$Z125)</f>
        <v>8.9566932000000001</v>
      </c>
      <c r="BA125" s="116">
        <f t="shared" ref="BA125:BA160" si="388">$E$34</f>
        <v>2610.6840000000002</v>
      </c>
      <c r="BB125" s="217">
        <f t="shared" ref="BB125:BB160" si="389">(PI()^2)*AW125*AX125*AY125/(2*BA125*AZ125^2)</f>
        <v>0.20181776415379915</v>
      </c>
      <c r="BC125" s="207">
        <f t="shared" ref="BC125:BC160" si="390">IF((-50.995*BB125^3+45.565*BB125^2-18.064*BB125+5.2989)&gt;2,(-50.995*BB125^3+45.565*BB125^2-18.064*BB125+5.2989),2)</f>
        <v>3.0899600037962034</v>
      </c>
      <c r="BD125" s="144">
        <f t="shared" ref="BD125:BD160" si="391">(PI()^2)*BC125*(AW125^2)*AX125/(4*AZ125^2)</f>
        <v>12922.611686327524</v>
      </c>
      <c r="BE125" s="138">
        <f t="shared" ref="BE125:BE160" si="392">IF(BD125&gt;AN125,AW125,ROUNDUP(AW125*AN125/BD125/$E$42,0)*$E$42)</f>
        <v>0.25</v>
      </c>
      <c r="BF125" s="116">
        <f t="shared" ref="BF125:BF160" si="393">$E$29</f>
        <v>2175570</v>
      </c>
      <c r="BG125" s="2">
        <f t="shared" ref="BG125:BG160" si="394">$AK125</f>
        <v>1.5748031496062995E-2</v>
      </c>
      <c r="BH125" s="8">
        <f t="shared" ref="BH125:BH160" si="395">MAX($X125,$Z125)</f>
        <v>8.9566932000000001</v>
      </c>
      <c r="BI125" s="116">
        <f t="shared" ref="BI125:BI160" si="396">$E$34</f>
        <v>2610.6840000000002</v>
      </c>
      <c r="BJ125" s="217">
        <f t="shared" ref="BJ125:BJ160" si="397">(PI()^2)*BE125*BF125*BG125/(2*BI125*BH125^2)</f>
        <v>0.20181776415379915</v>
      </c>
      <c r="BK125" s="207">
        <f t="shared" ref="BK125:BK160" si="398">IF((-50.995*BJ125^3+45.565*BJ125^2-18.064*BJ125+5.2989)&gt;2,(-50.995*BJ125^3+45.565*BJ125^2-18.064*BJ125+5.2989),2)</f>
        <v>3.0899600037962034</v>
      </c>
      <c r="BL125" s="144">
        <f t="shared" ref="BL125:BL160" si="399">(PI()^2)*BK125*(BE125^2)*BF125/(4*BH125^2)</f>
        <v>12922.611686327524</v>
      </c>
      <c r="BM125" s="216">
        <f t="shared" ref="BM125:BM160" si="400">IF(BL125&gt;AN125,BE125,ROUNDUP(BE125*AN125/BL125/$E$42,0)*$E$42)</f>
        <v>0.25</v>
      </c>
      <c r="BN125" s="216">
        <f t="shared" ref="BN125:BN160" si="401">AI125*$E$32</f>
        <v>2.3622047244094495E-2</v>
      </c>
      <c r="BO125" s="238">
        <f t="shared" ref="BO125:BO160" si="402">AJ125*$E$32</f>
        <v>1.5748031496062995E-2</v>
      </c>
      <c r="BP125" s="216">
        <f t="shared" ref="BP125:BP160" si="403">IF($B125&lt;$E$13*$E$14,$BM125,0)</f>
        <v>0</v>
      </c>
      <c r="BQ125" s="138">
        <f t="shared" ref="BQ125:BQ160" si="404">IF($B125&lt;$E$13*$E$15,IF($B125&lt;$E$13*$E$14,0,$BM125),0)</f>
        <v>0</v>
      </c>
      <c r="BR125" s="138">
        <f t="shared" ref="BR125:BR160" si="405">IF($B125&lt;$E$13*$E$16,IF($B125&lt;$E$13*$E$15,0,$BM125),0)</f>
        <v>0.25</v>
      </c>
      <c r="BS125" s="238">
        <f t="shared" ref="BS125:BS160" si="406">IF($B125&lt;=$E$13*1,IF($B125&lt;$E$13*$E$16,0,$BM125),0)</f>
        <v>0</v>
      </c>
      <c r="BT125" s="138">
        <f t="shared" ref="BT125:BT160" si="407">IF(BP125&gt;0,MAX(BP$60:BP$160),0)</f>
        <v>0</v>
      </c>
      <c r="BU125" s="138">
        <f t="shared" ref="BU125:BU160" si="408">IF(BQ125&gt;0,MAX(BQ$60:BQ$160),0)</f>
        <v>0</v>
      </c>
      <c r="BV125" s="138">
        <f t="shared" ref="BV125:BV160" si="409">IF(BR125&gt;0,MAX(BR$60:BR$160),0)</f>
        <v>0.25</v>
      </c>
      <c r="BW125" s="238">
        <f t="shared" ref="BW125:BW159" si="410">IF(BS125&gt;0,MAX(BS$60:BS$160),0)</f>
        <v>0</v>
      </c>
      <c r="BX125" s="216">
        <f t="shared" ref="BX125:BX160" si="411">IF($B125&lt;$E$13*$E$14,$BN125,0)</f>
        <v>0</v>
      </c>
      <c r="BY125" s="138">
        <f t="shared" ref="BY125:BY160" si="412">IF($B125&lt;$E$13*$E$15,IF($B125&lt;$E$13*$E$14,0,$BN125),0)</f>
        <v>0</v>
      </c>
      <c r="BZ125" s="138">
        <f t="shared" ref="BZ125:BZ160" si="413">IF($B125&lt;$E$13*$E$16,IF($B125&lt;$E$13*$E$15,0,$BN125),0)</f>
        <v>2.3622047244094495E-2</v>
      </c>
      <c r="CA125" s="238">
        <f t="shared" ref="CA125:CA160" si="414">IF($B125&lt;=$E$13*1,IF($B125&lt;$E$13*$E$16,0,$BN125),0)</f>
        <v>0</v>
      </c>
      <c r="CB125" s="138">
        <f t="shared" ref="CB125:CB160" si="415">IF(BX125&gt;0,MAX(BX$60:BX$160),0)</f>
        <v>0</v>
      </c>
      <c r="CC125" s="138">
        <f t="shared" ref="CC125:CC160" si="416">IF(BY125&gt;0,MAX(BY$60:BY$160),0)</f>
        <v>0</v>
      </c>
      <c r="CD125" s="138">
        <f t="shared" ref="CD125:CD160" si="417">IF(BZ125&gt;0,MAX(BZ$60:BZ$160),0)</f>
        <v>2.3622047244094495E-2</v>
      </c>
      <c r="CE125" s="238">
        <f t="shared" ref="CE125:CE160" si="418">IF(CA125&gt;0,MAX(CA$60:CA$160),0)</f>
        <v>0</v>
      </c>
      <c r="CF125" s="216">
        <f t="shared" ref="CF125:CF160" si="419">IF($B125&lt;$E$13*$E$14,$BO125,0)</f>
        <v>0</v>
      </c>
      <c r="CG125" s="138">
        <f t="shared" ref="CG125:CG160" si="420">IF($B125&lt;$E$13*$E$15,IF($B125&lt;$E$13*$E$14,0,$BO125),0)</f>
        <v>0</v>
      </c>
      <c r="CH125" s="138">
        <f t="shared" ref="CH125:CH160" si="421">IF($B125&lt;$E$13*$E$16,IF($B125&lt;$E$13*$E$15,0,$BO125),0)</f>
        <v>1.5748031496062995E-2</v>
      </c>
      <c r="CI125" s="238">
        <f t="shared" ref="CI125:CI160" si="422">IF($B125&lt;=$E$13*1,IF($B125&lt;$E$13*$E$16,0,$BO125),0)</f>
        <v>0</v>
      </c>
      <c r="CJ125" s="138">
        <f t="shared" ref="CJ125:CJ160" si="423">IF(CF125&gt;0,MAX(CF$60:CF$160),0)</f>
        <v>0</v>
      </c>
      <c r="CK125" s="138">
        <f t="shared" ref="CK125:CK160" si="424">IF(CG125&gt;0,MAX(CG$60:CG$160),0)</f>
        <v>0</v>
      </c>
      <c r="CL125" s="138">
        <f t="shared" ref="CL125:CL160" si="425">IF(CH125&gt;0,MAX(CH$60:CH$160),0)</f>
        <v>1.5748031496062995E-2</v>
      </c>
      <c r="CM125" s="238">
        <f t="shared" ref="CM125:CM160" si="426">IF(CI125&gt;0,MAX(CI$60:CI$160),0)</f>
        <v>0</v>
      </c>
      <c r="CN125" s="17">
        <f t="shared" ref="CN125:CN160" si="427">MAX(BT125:BW125)</f>
        <v>0.25</v>
      </c>
      <c r="CO125" s="17">
        <f t="shared" ref="CO125:CO160" si="428">MAX(CB125:CE125)</f>
        <v>2.3622047244094495E-2</v>
      </c>
      <c r="CP125" s="17">
        <f t="shared" ref="CP125:CP160" si="429">MAX(CJ125:CM125)</f>
        <v>1.5748031496062995E-2</v>
      </c>
      <c r="CQ125" s="17">
        <f>$U125-IF('Inputs-Imperial'!$E$13,0,2)*($CO125+$CN125+$CP125)</f>
        <v>3.224409552</v>
      </c>
      <c r="CR125" s="116">
        <f t="shared" ref="CR125:CR160" si="430">$R125/CQ125</f>
        <v>1844.8826962297371</v>
      </c>
      <c r="CS125" s="8">
        <f t="shared" si="324"/>
        <v>4.7699982838025304E-2</v>
      </c>
      <c r="CT125" s="8">
        <f t="shared" ref="CT125:CT160" si="431">SQRT(CS125)</f>
        <v>0.21840325738876998</v>
      </c>
      <c r="CU125" s="8">
        <f t="shared" si="325"/>
        <v>4.7699982838025304E-2</v>
      </c>
      <c r="CV125" s="8">
        <f t="shared" ref="CV125:CV160" si="432">SQRT(CU125)</f>
        <v>0.21840325738876998</v>
      </c>
      <c r="CW125" s="216">
        <f t="shared" ref="CW125:CW160" si="433">$CQ125-CT125/2-CV125/2</f>
        <v>3.0060062946112298</v>
      </c>
      <c r="CX125" s="116">
        <f t="shared" ref="CX125:CX160" si="434">$R125/CW125</f>
        <v>1978.9237962364364</v>
      </c>
      <c r="CY125" s="8">
        <f t="shared" ref="CY125:CY160" si="435">CX125/($E$23/$E$21)</f>
        <v>5.1165654765555478E-2</v>
      </c>
      <c r="CZ125" s="8">
        <f t="shared" ref="CZ125:CZ160" si="436">SQRT(CY125)</f>
        <v>0.22619826428501938</v>
      </c>
      <c r="DA125" s="8">
        <f t="shared" ref="DA125:DA160" si="437">CX125/($E$24/$E$21)</f>
        <v>5.1165654765555478E-2</v>
      </c>
      <c r="DB125" s="8">
        <f t="shared" ref="DB125:DB160" si="438">SQRT(DA125)</f>
        <v>0.22619826428501938</v>
      </c>
      <c r="DC125" s="216">
        <f t="shared" ref="DC125:DC160" si="439">$CQ125-CZ125/2-DB125/2</f>
        <v>2.9982112877149802</v>
      </c>
      <c r="DD125" s="116">
        <f t="shared" ref="DD125:DD160" si="440">$R125/DC125</f>
        <v>1984.0687720765386</v>
      </c>
      <c r="DE125" s="8">
        <f t="shared" ref="DE125:DE160" si="441">DD125/($E$23/$E$21)</f>
        <v>5.1298679623871121E-2</v>
      </c>
      <c r="DF125" s="8">
        <f t="shared" ref="DF125:DF160" si="442">SQRT(DE125)</f>
        <v>0.22649211823785639</v>
      </c>
      <c r="DG125" s="8">
        <f t="shared" ref="DG125:DG160" si="443">DD125/($E$24/$E$21)</f>
        <v>5.1298679623871121E-2</v>
      </c>
      <c r="DH125" s="8">
        <f t="shared" ref="DH125:DH160" si="444">SQRT(DG125)</f>
        <v>0.22649211823785639</v>
      </c>
      <c r="DI125" s="216">
        <f t="shared" ref="DI125:DI160" si="445">$CQ125-DF125/2-DH125/2</f>
        <v>2.9979174337621437</v>
      </c>
      <c r="DJ125" s="116">
        <f t="shared" ref="DJ125:DJ160" si="446">$R125/DI125</f>
        <v>1984.2632492308485</v>
      </c>
      <c r="DK125" s="8">
        <f t="shared" ref="DK125:DK160" si="447">DJ125/($E$23/$E$21)</f>
        <v>5.1303707887696198E-2</v>
      </c>
      <c r="DL125" s="8">
        <f t="shared" ref="DL125:DL160" si="448">SQRT(DK125)</f>
        <v>0.22650321827227135</v>
      </c>
      <c r="DM125" s="8">
        <f t="shared" ref="DM125:DM160" si="449">DJ125/($E$24/$E$21)</f>
        <v>5.1303707887696198E-2</v>
      </c>
      <c r="DN125" s="8">
        <f t="shared" ref="DN125:DN160" si="450">SQRT(DM125)</f>
        <v>0.22650321827227135</v>
      </c>
      <c r="DO125" s="216">
        <f t="shared" ref="DO125:DO160" si="451">$CQ125-DL125/2-DN125/2</f>
        <v>2.9979063337277285</v>
      </c>
      <c r="DP125" s="116">
        <f t="shared" ref="DP125:DP160" si="452">$R125/DO125</f>
        <v>1984.2705961549693</v>
      </c>
      <c r="DQ125" s="170">
        <f t="shared" ref="DQ125:DQ160" si="453">DP125/($E$23/$E$21)</f>
        <v>5.1303897844572698E-2</v>
      </c>
      <c r="DR125" s="8">
        <f t="shared" ref="DR125:DR160" si="454">SQRT(DQ125)</f>
        <v>0.22650363759677833</v>
      </c>
      <c r="DS125" s="8">
        <f t="shared" ref="DS125:DS160" si="455">DP125/($E$24/$E$21)</f>
        <v>5.1303897844572698E-2</v>
      </c>
      <c r="DT125" s="134">
        <f t="shared" ref="DT125:DT160" si="456">SQRT(DS125)</f>
        <v>0.22650363759677833</v>
      </c>
      <c r="DU125" s="170">
        <f t="shared" si="310"/>
        <v>6.7368736237725546E-2</v>
      </c>
      <c r="DV125" s="170">
        <f t="shared" si="310"/>
        <v>0.25955488097457452</v>
      </c>
      <c r="DW125" s="170">
        <f t="shared" si="310"/>
        <v>6.7368736237725546E-2</v>
      </c>
      <c r="DX125" s="272">
        <f t="shared" si="310"/>
        <v>0.25955488097457452</v>
      </c>
      <c r="DY125" s="272">
        <f t="shared" ref="DY125:DY160" si="457">CQ125-DV125-DX125</f>
        <v>2.7052997900508506</v>
      </c>
      <c r="DZ125" s="22">
        <f t="shared" si="326"/>
        <v>97.085994457545837</v>
      </c>
      <c r="EA125" s="216">
        <f t="shared" si="327"/>
        <v>6.3606701069398473E-3</v>
      </c>
      <c r="EB125" s="12">
        <f t="shared" ref="EB125:EB160" si="458">ROUNDUP(EA125/$E$32,0)</f>
        <v>1</v>
      </c>
      <c r="EC125" s="7">
        <f>ROUND(MAX(DV125,DX125)/'Inputs-Imperial'!$E$21,0)</f>
        <v>2</v>
      </c>
      <c r="ED125" s="12">
        <f t="shared" ref="ED125:ED160" si="459">MAX(EB125:EC125)</f>
        <v>2</v>
      </c>
      <c r="EE125" s="2">
        <f t="shared" ref="EE125:EE160" si="460">IF(ED125&lt;$E$41,$E$41,MAX($E$41,ROUNDUP(ED125/2,0)))</f>
        <v>2</v>
      </c>
      <c r="EF125" s="127">
        <f t="shared" ref="EF125:EF160" si="461">IF(ED125&lt;$E$41,$E$41,MAX($E$41,ROUNDUP(ED125/2,0)))</f>
        <v>2</v>
      </c>
      <c r="EG125" s="2">
        <f t="shared" ref="EG125:EG160" si="462">MIN(EE125*$E$32,EF125*$E$32)</f>
        <v>1.5748031496062995E-2</v>
      </c>
      <c r="EH125" s="8">
        <f t="shared" si="328"/>
        <v>6.6938315791410408E-2</v>
      </c>
      <c r="EI125" s="138">
        <f t="shared" ref="EI125:EI160" si="463">IF(ROUNDUP(EH125/$E$42,0)*$E$42&gt;$E$42,ROUNDUP(EH125/$E$42,0)*$E$42,$E$42)</f>
        <v>0.25</v>
      </c>
      <c r="EJ125" s="12">
        <f t="shared" si="329"/>
        <v>5548.4645832487431</v>
      </c>
      <c r="EK125" s="138">
        <f t="shared" ref="EK125:EK160" si="464">EI125</f>
        <v>0.25</v>
      </c>
      <c r="EL125" s="116">
        <f t="shared" ref="EL125:EL160" si="465">$E$29</f>
        <v>2175570</v>
      </c>
      <c r="EM125" s="2">
        <f t="shared" si="330"/>
        <v>1.5748031496062995E-2</v>
      </c>
      <c r="EN125" s="8">
        <f t="shared" ref="EN125:EN160" si="466">$U125</f>
        <v>3.224409552</v>
      </c>
      <c r="EO125" s="116">
        <f t="shared" ref="EO125:EO160" si="467">$E$34</f>
        <v>2610.6840000000002</v>
      </c>
      <c r="EP125" s="217">
        <f t="shared" ref="EP125:EP160" si="468">(PI()^2)*EK125*EL125*EM125/(2*EO125*EN125^2)</f>
        <v>1.557235834520055</v>
      </c>
      <c r="EQ125" s="207">
        <f t="shared" ref="EQ125:EQ160" si="469">IF((-50.995*EP125^3+45.565*EP125^2-18.064*EP125+5.2989)&gt;2,(-50.995*EP125^3+45.565*EP125^2-18.064*EP125+5.2989),2)</f>
        <v>2</v>
      </c>
      <c r="ER125" s="144">
        <f t="shared" ref="ER125:ER160" si="470">(PI()^2)*EQ125*(EK125^2)*EL125/(4*EN125^2)</f>
        <v>64539.02950385445</v>
      </c>
      <c r="ES125" s="138">
        <f t="shared" si="331"/>
        <v>0.25</v>
      </c>
      <c r="ET125" s="116">
        <f t="shared" ref="ET125:ET160" si="471">$E$29</f>
        <v>2175570</v>
      </c>
      <c r="EU125" s="2">
        <f t="shared" si="332"/>
        <v>1.5748031496062995E-2</v>
      </c>
      <c r="EV125" s="8">
        <f t="shared" ref="EV125:EV160" si="472">$U125</f>
        <v>3.224409552</v>
      </c>
      <c r="EW125" s="116">
        <f t="shared" ref="EW125:EW160" si="473">$E$34</f>
        <v>2610.6840000000002</v>
      </c>
      <c r="EX125" s="217">
        <f t="shared" ref="EX125:EX160" si="474">(PI()^2)*ES125*ET125*EU125/(2*EW125*EV125^2)</f>
        <v>1.557235834520055</v>
      </c>
      <c r="EY125" s="207">
        <f t="shared" ref="EY125:EY160" si="475">IF((-50.995*EX125^3+45.565*EX125^2-18.064*EX125+5.2989)&gt;2,(-50.995*EX125^3+45.565*EX125^2-18.064*EX125+5.2989),2)</f>
        <v>2</v>
      </c>
      <c r="EZ125" s="144">
        <f t="shared" ref="EZ125:EZ160" si="476">(PI()^2)*EY125*(ES125^2)*ET125/(4*EV125^2)</f>
        <v>64539.02950385445</v>
      </c>
      <c r="FA125" s="138">
        <f t="shared" si="333"/>
        <v>0.25</v>
      </c>
      <c r="FB125" s="116">
        <f t="shared" ref="FB125:FB160" si="477">$E$29</f>
        <v>2175570</v>
      </c>
      <c r="FC125" s="2">
        <f t="shared" si="334"/>
        <v>1.5748031496062995E-2</v>
      </c>
      <c r="FD125" s="8">
        <f t="shared" ref="FD125:FD160" si="478">$U125</f>
        <v>3.224409552</v>
      </c>
      <c r="FE125" s="116">
        <f t="shared" ref="FE125:FE160" si="479">$E$34</f>
        <v>2610.6840000000002</v>
      </c>
      <c r="FF125" s="217">
        <f t="shared" ref="FF125:FF160" si="480">(PI()^2)*FA125*FB125*FC125/(2*FE125*FD125^2)</f>
        <v>1.557235834520055</v>
      </c>
      <c r="FG125" s="207">
        <f t="shared" ref="FG125:FG160" si="481">IF((-50.995*FF125^3+45.565*FF125^2-18.064*FF125+5.2989)&gt;2,(-50.995*FF125^3+45.565*FF125^2-18.064*FF125+5.2989),2)</f>
        <v>2</v>
      </c>
      <c r="FH125" s="144">
        <f t="shared" ref="FH125:FH160" si="482">(PI()^2)*FG125*(FA125^2)*FB125/(4*FD125^2)</f>
        <v>64539.02950385445</v>
      </c>
      <c r="FI125" s="128">
        <f t="shared" ref="FI125:FI160" si="483">IF(FH125&gt;EJ125,FA125,ROUNDUP(FA125*(EJ125/FH125)/$E$42,0)*$E$42)</f>
        <v>0.25</v>
      </c>
      <c r="FJ125" s="2">
        <f t="shared" ref="FJ125:FJ160" si="484">EE125*$E$32</f>
        <v>1.5748031496062995E-2</v>
      </c>
      <c r="FK125" s="127">
        <f t="shared" ref="FK125:FK160" si="485">EF125*$E$32</f>
        <v>1.5748031496062995E-2</v>
      </c>
      <c r="FL125" s="216">
        <f t="shared" ref="FL125:FL160" si="486">IF($B125&lt;$E$13*$E$14,$FI125,0)</f>
        <v>0</v>
      </c>
      <c r="FM125" s="138">
        <f t="shared" ref="FM125:FM160" si="487">IF($B125&lt;$E$13*$E$15,IF($B125&lt;$E$13*$E$14,0,$FI125),0)</f>
        <v>0</v>
      </c>
      <c r="FN125" s="138">
        <f t="shared" ref="FN125:FN160" si="488">IF($B125&lt;$E$13*$E$16,IF($B125&lt;$E$13*$E$15,0,$FI125),0)</f>
        <v>0.25</v>
      </c>
      <c r="FO125" s="238">
        <f t="shared" ref="FO125:FO160" si="489">IF($B125&lt;=$E$13*1,IF($B125&lt;$E$13*$E$16,0,$FI125),0)</f>
        <v>0</v>
      </c>
      <c r="FP125" s="216">
        <f t="shared" si="335"/>
        <v>0</v>
      </c>
      <c r="FQ125" s="138">
        <f t="shared" si="336"/>
        <v>0</v>
      </c>
      <c r="FR125" s="138">
        <f t="shared" si="337"/>
        <v>0.25</v>
      </c>
      <c r="FS125" s="238">
        <f t="shared" si="338"/>
        <v>0</v>
      </c>
      <c r="FT125" s="216">
        <f t="shared" ref="FT125:FT160" si="490">IF($B125&lt;$E$13*$E$14,$FJ125,0)</f>
        <v>0</v>
      </c>
      <c r="FU125" s="138">
        <f t="shared" ref="FU125:FU160" si="491">IF($B125&lt;$E$13*$E$15,IF($B125&lt;$E$13*$E$14,0,$FJ125),0)</f>
        <v>0</v>
      </c>
      <c r="FV125" s="138">
        <f t="shared" ref="FV125:FV160" si="492">IF($B125&lt;$E$13*$E$16,IF($B125&lt;$E$13*$E$15,0,$FJ125),0)</f>
        <v>1.5748031496062995E-2</v>
      </c>
      <c r="FW125" s="238">
        <f t="shared" ref="FW125:FW160" si="493">IF($B125&lt;=$E$13*1,IF($B125&lt;$E$13*$E$16,0,$FJ125),0)</f>
        <v>0</v>
      </c>
      <c r="FX125" s="216">
        <f t="shared" si="339"/>
        <v>0</v>
      </c>
      <c r="FY125" s="138">
        <f t="shared" si="340"/>
        <v>0</v>
      </c>
      <c r="FZ125" s="138">
        <f t="shared" si="341"/>
        <v>1.5748031496062995E-2</v>
      </c>
      <c r="GA125" s="238">
        <f t="shared" si="342"/>
        <v>0</v>
      </c>
      <c r="GB125" s="216">
        <f t="shared" ref="GB125:GB160" si="494">IF($B125&lt;$E$13*$E$14,$FK125,0)</f>
        <v>0</v>
      </c>
      <c r="GC125" s="138">
        <f t="shared" ref="GC125:GC160" si="495">IF($B125&lt;$E$13*$E$15,IF($B125&lt;$E$13*$E$14,0,$FK125),0)</f>
        <v>0</v>
      </c>
      <c r="GD125" s="138">
        <f t="shared" ref="GD125:GD160" si="496">IF($B125&lt;$E$13*$E$16,IF($B125&lt;$E$13*$E$15,0,$FK125),0)</f>
        <v>1.5748031496062995E-2</v>
      </c>
      <c r="GE125" s="238">
        <f t="shared" ref="GE125:GE160" si="497">IF($B125&lt;=$E$13*1,IF($B125&lt;$E$13*$E$16,0,$FK125),0)</f>
        <v>0</v>
      </c>
      <c r="GF125" s="216">
        <f t="shared" si="343"/>
        <v>0</v>
      </c>
      <c r="GG125" s="138">
        <f t="shared" si="344"/>
        <v>0</v>
      </c>
      <c r="GH125" s="138">
        <f t="shared" si="345"/>
        <v>1.5748031496062995E-2</v>
      </c>
      <c r="GI125" s="238">
        <f t="shared" si="346"/>
        <v>0</v>
      </c>
      <c r="GJ125" s="216">
        <f t="shared" ref="GJ125:GJ160" si="498">MAX(FP125:FS125)</f>
        <v>0.25</v>
      </c>
      <c r="GK125" s="216">
        <f t="shared" ref="GK125:GK160" si="499">MAX(FX125:GA125)</f>
        <v>1.5748031496062995E-2</v>
      </c>
      <c r="GL125" s="17">
        <f t="shared" ref="GL125:GL160" si="500">MAX(GF125:GI125)</f>
        <v>1.5748031496062995E-2</v>
      </c>
      <c r="GM125" s="216">
        <f t="shared" si="347"/>
        <v>3.2979107937378309E-3</v>
      </c>
      <c r="GN125" s="2">
        <f t="shared" ref="GN125:GN160" si="501">ROUNDUP(GM125/$E$32,0)</f>
        <v>1</v>
      </c>
      <c r="GO125" s="2">
        <f t="shared" ref="GO125:GO160" si="502">IF(GN125&lt;$E$41,$E$41,MAX($E$41,ROUNDUP(GN125/2,0)))</f>
        <v>2</v>
      </c>
      <c r="GP125" s="142">
        <f t="shared" ref="GP125:GP160" si="503">IF(GN125&lt;$E$41,$E$41,MAX($E$41,ROUNDUP(GN125/2,0)))</f>
        <v>2</v>
      </c>
      <c r="GQ125" s="2">
        <f t="shared" ref="GQ125:GQ160" si="504">MIN(GO125*$E$32,GP125*$E$32)</f>
        <v>1.5748031496062995E-2</v>
      </c>
      <c r="GR125" s="8">
        <f t="shared" si="348"/>
        <v>3.4706499543541186E-2</v>
      </c>
      <c r="GS125" s="138">
        <f t="shared" ref="GS125:GS160" si="505">IF(ROUNDUP(GR125/$E$42,0)*$E$42&gt;$E$42,ROUNDUP(GR125/$E$42,0)*$E$42,$E$42)</f>
        <v>0.25</v>
      </c>
      <c r="GT125" s="12">
        <f t="shared" si="349"/>
        <v>2876.794571974986</v>
      </c>
      <c r="GU125" s="138">
        <f t="shared" ref="GU125:GU160" si="506">GS125</f>
        <v>0.25</v>
      </c>
      <c r="GV125" s="116">
        <f t="shared" ref="GV125:GV160" si="507">$E$29</f>
        <v>2175570</v>
      </c>
      <c r="GW125" s="2">
        <f t="shared" si="350"/>
        <v>1.5748031496062995E-2</v>
      </c>
      <c r="GX125" s="8">
        <f t="shared" si="351"/>
        <v>1.612204776</v>
      </c>
      <c r="GY125" s="116">
        <f t="shared" ref="GY125:GY160" si="508">$E$34</f>
        <v>2610.6840000000002</v>
      </c>
      <c r="GZ125" s="217">
        <f t="shared" ref="GZ125:GZ160" si="509">(PI()^2)*GU125*GV125*GW125/(2*GY125*GX125^2)</f>
        <v>6.2289433380802199</v>
      </c>
      <c r="HA125" s="207">
        <f t="shared" ref="HA125:HA160" si="510">IF((-50.995*GZ125^3+45.565*GZ125^2-18.064*GZ125+5.2989)&gt;2,(-50.995*GZ125^3+45.565*GZ125^2-18.064*GZ125+5.2989),2)</f>
        <v>2</v>
      </c>
      <c r="HB125" s="144">
        <f t="shared" ref="HB125:HB160" si="511">(PI()^2)*HA125*(GU125^2)*GV125/(4*GX125^2)</f>
        <v>258156.1180154178</v>
      </c>
      <c r="HC125" s="138">
        <f t="shared" si="352"/>
        <v>0.25</v>
      </c>
      <c r="HD125" s="116">
        <f t="shared" ref="HD125:HD160" si="512">$E$29</f>
        <v>2175570</v>
      </c>
      <c r="HE125" s="2">
        <f t="shared" si="353"/>
        <v>1.5748031496062995E-2</v>
      </c>
      <c r="HF125" s="8">
        <f t="shared" ref="HF125:HF160" si="513">GX125</f>
        <v>1.612204776</v>
      </c>
      <c r="HG125" s="116">
        <f t="shared" ref="HG125:HG160" si="514">$E$34</f>
        <v>2610.6840000000002</v>
      </c>
      <c r="HH125" s="217">
        <f t="shared" ref="HH125:HH160" si="515">(PI()^2)*HC125*HD125*HE125/(2*HG125*HF125^2)</f>
        <v>6.2289433380802199</v>
      </c>
      <c r="HI125" s="207">
        <f t="shared" ref="HI125:HI160" si="516">IF((-50.995*HH125^3+45.565*HH125^2-18.064*HH125+5.2989)&gt;2,(-50.995*HH125^3+45.565*HH125^2-18.064*HH125+5.2989),2)</f>
        <v>2</v>
      </c>
      <c r="HJ125" s="144">
        <f t="shared" ref="HJ125:HJ160" si="517">(PI()^2)*HI125*(HC125^2)*HD125/(4*HF125^2)</f>
        <v>258156.1180154178</v>
      </c>
      <c r="HK125" s="138">
        <f t="shared" si="354"/>
        <v>0.25</v>
      </c>
      <c r="HL125" s="116">
        <f t="shared" ref="HL125:HL160" si="518">$E$29</f>
        <v>2175570</v>
      </c>
      <c r="HM125" s="2">
        <f t="shared" si="355"/>
        <v>1.5748031496062995E-2</v>
      </c>
      <c r="HN125" s="8">
        <f t="shared" ref="HN125:HN160" si="519">GX125</f>
        <v>1.612204776</v>
      </c>
      <c r="HO125" s="116">
        <f t="shared" ref="HO125:HO160" si="520">$E$34</f>
        <v>2610.6840000000002</v>
      </c>
      <c r="HP125" s="217">
        <f t="shared" ref="HP125:HP160" si="521">(PI()^2)*HK125*HL125*HM125/(2*HO125*HN125^2)</f>
        <v>6.2289433380802199</v>
      </c>
      <c r="HQ125" s="207">
        <f t="shared" ref="HQ125:HQ160" si="522">IF((-50.995*HP125^3+45.565*HP125^2-18.064*HP125+5.2989)&gt;2,(-50.995*HP125^3+45.565*HP125^2-18.064*HP125+5.2989),2)</f>
        <v>2</v>
      </c>
      <c r="HR125" s="144">
        <f t="shared" ref="HR125:HR160" si="523">(PI()^2)*HQ125*(HK125^2)*HL125/(4*HN125^2)</f>
        <v>258156.1180154178</v>
      </c>
      <c r="HS125" s="128">
        <f t="shared" ref="HS125:HS160" si="524">IF(HR125&gt;GT125,HK125,ROUNDUP(HK125*(GT125/HR125)/$E$42,0)*$E$42)</f>
        <v>0.25</v>
      </c>
      <c r="HT125" s="2">
        <f t="shared" ref="HT125:HT160" si="525">GO125*$E$32</f>
        <v>1.5748031496062995E-2</v>
      </c>
      <c r="HU125" s="127">
        <f t="shared" ref="HU125:HU160" si="526">GP125*$E$32</f>
        <v>1.5748031496062995E-2</v>
      </c>
      <c r="HV125" s="216">
        <f t="shared" ref="HV125:HV160" si="527">IF($B125&lt;$E$13*$E$14,$HS125,0)</f>
        <v>0</v>
      </c>
      <c r="HW125" s="138">
        <f t="shared" ref="HW125:HW160" si="528">IF($B125&lt;$E$13*$E$15,IF($B125&lt;$E$13*$E$14,0,$HS125),0)</f>
        <v>0</v>
      </c>
      <c r="HX125" s="138">
        <f t="shared" ref="HX125:HX160" si="529">IF($B125&lt;$E$13*$E$16,IF($B125&lt;$E$13*$E$15,0,$HS125),0)</f>
        <v>0.25</v>
      </c>
      <c r="HY125" s="238">
        <f t="shared" ref="HY125:HY160" si="530">IF($B125&lt;=$E$13*1,IF($B125&lt;$E$13*$E$16,0,$HS125),0)</f>
        <v>0</v>
      </c>
      <c r="HZ125" s="138">
        <f t="shared" ref="HZ125:HZ160" si="531">IF(HV125&gt;0,MAX(HV$60:HV$160),0)</f>
        <v>0</v>
      </c>
      <c r="IA125" s="138">
        <f t="shared" ref="IA125:IA160" si="532">IF(HW125&gt;0,MAX(HW$60:HW$160),0)</f>
        <v>0</v>
      </c>
      <c r="IB125" s="138">
        <f t="shared" ref="IB125:IB160" si="533">IF(HX125&gt;0,MAX(HX$60:HX$160),0)</f>
        <v>0.25</v>
      </c>
      <c r="IC125" s="138">
        <f t="shared" ref="IC125:IC160" si="534">IF(HY125&gt;0,MAX(HY$60:HY$160),0)</f>
        <v>0</v>
      </c>
      <c r="ID125" s="216">
        <f t="shared" ref="ID125:ID160" si="535">IF($B125&lt;$E$13*$E$14,$HT125,0)</f>
        <v>0</v>
      </c>
      <c r="IE125" s="138">
        <f t="shared" ref="IE125:IE160" si="536">IF($B125&lt;$E$13*$E$15,IF($B125&lt;$E$13*$E$14,0,$HT125),0)</f>
        <v>0</v>
      </c>
      <c r="IF125" s="138">
        <f t="shared" ref="IF125:IF160" si="537">IF($B125&lt;$E$13*$E$16,IF($B125&lt;$E$13*$E$15,0,$HT125),0)</f>
        <v>1.5748031496062995E-2</v>
      </c>
      <c r="IG125" s="238">
        <f t="shared" ref="IG125:IG160" si="538">IF($B125&lt;=$E$13*1,IF($B125&lt;$E$13*$E$16,0,$HT125),0)</f>
        <v>0</v>
      </c>
      <c r="IH125" s="138">
        <f t="shared" ref="IH125:IH160" si="539">IF(ID125&gt;0,MAX(ID$60:ID$160),0)</f>
        <v>0</v>
      </c>
      <c r="II125" s="138">
        <f t="shared" ref="II125:II160" si="540">IF(IE125&gt;0,MAX(IE$60:IE$160),0)</f>
        <v>0</v>
      </c>
      <c r="IJ125" s="138">
        <f t="shared" ref="IJ125:IJ160" si="541">IF(IF125&gt;0,MAX(IF$60:IF$160),0)</f>
        <v>1.5748031496062995E-2</v>
      </c>
      <c r="IK125" s="138">
        <f t="shared" ref="IK125:IK160" si="542">IF(IG125&gt;0,MAX(IG$60:IG$160),0)</f>
        <v>0</v>
      </c>
      <c r="IL125" s="216">
        <f t="shared" ref="IL125:IL160" si="543">IF($B125&lt;$E$13*$E$14,$HU125,0)</f>
        <v>0</v>
      </c>
      <c r="IM125" s="138">
        <f t="shared" ref="IM125:IM160" si="544">IF($B125&lt;$E$13*$E$15,IF($B125&lt;$E$13*$E$14,0,$HU125),0)</f>
        <v>0</v>
      </c>
      <c r="IN125" s="138">
        <f t="shared" ref="IN125:IN160" si="545">IF($B125&lt;$E$13*$E$16,IF($B125&lt;$E$13*$E$15,0,$HU125),0)</f>
        <v>1.5748031496062995E-2</v>
      </c>
      <c r="IO125" s="238">
        <f t="shared" ref="IO125:IO160" si="546">IF($B125&lt;=$E$13*1,IF($B125&lt;$E$13*$E$16,0,$HU125),0)</f>
        <v>0</v>
      </c>
      <c r="IP125" s="138">
        <f t="shared" ref="IP125:IP160" si="547">IF(IL125&gt;0,MAX(IL$60:IL$160),0)</f>
        <v>0</v>
      </c>
      <c r="IQ125" s="138">
        <f t="shared" ref="IQ125:IQ160" si="548">IF(IM125&gt;0,MAX(IM$60:IM$160),0)</f>
        <v>0</v>
      </c>
      <c r="IR125" s="138">
        <f t="shared" ref="IR125:IR160" si="549">IF(IN125&gt;0,MAX(IN$60:IN$160),0)</f>
        <v>1.5748031496062995E-2</v>
      </c>
      <c r="IS125" s="138">
        <f t="shared" ref="IS125:IS160" si="550">IF(IO125&gt;0,MAX(IO$60:IO$160),0)</f>
        <v>0</v>
      </c>
      <c r="IT125" s="17">
        <f t="shared" ref="IT125:IT160" si="551">MAX(HZ125:IC125)</f>
        <v>0.25</v>
      </c>
      <c r="IU125" s="17">
        <f t="shared" ref="IU125:IU160" si="552">MAX(IH125:IK125)</f>
        <v>1.5748031496062995E-2</v>
      </c>
      <c r="IV125" s="17">
        <f t="shared" ref="IV125:IV160" si="553">MAX(IP125:IS125)</f>
        <v>1.5748031496062995E-2</v>
      </c>
      <c r="IW125" s="253">
        <f t="shared" ref="IW125:IW160" si="554">Z125</f>
        <v>8.9566932000000001</v>
      </c>
      <c r="IX125" s="116">
        <f t="shared" si="356"/>
        <v>66.415777064270515</v>
      </c>
      <c r="IY125" s="8">
        <f t="shared" si="357"/>
        <v>1.7171993821689102E-3</v>
      </c>
      <c r="IZ125" s="8">
        <f t="shared" ref="IZ125:IZ160" si="555">IX125/($E$24/$E$21)</f>
        <v>1.7171993821689102E-3</v>
      </c>
      <c r="JA125" s="8">
        <f t="shared" ref="JA125:JA160" si="556">MAX(IY125:IZ125)/2</f>
        <v>8.5859969108445511E-4</v>
      </c>
      <c r="JB125" s="134">
        <f t="shared" ref="JB125:JB160" si="557">SQRT(JA125)</f>
        <v>2.9301871801720367E-2</v>
      </c>
      <c r="JC125" s="170">
        <f t="shared" si="311"/>
        <v>1.118139342754408E-3</v>
      </c>
      <c r="JD125" s="272">
        <f t="shared" si="312"/>
        <v>3.3438590621532004E-2</v>
      </c>
      <c r="JE125" s="8"/>
      <c r="JF125" s="8"/>
    </row>
    <row r="126" spans="1:266" x14ac:dyDescent="0.25">
      <c r="A126" s="186">
        <v>66</v>
      </c>
      <c r="B126" s="187">
        <f>A126/100*'Inputs-Imperial'!$E$5</f>
        <v>6.4960632000000009</v>
      </c>
      <c r="C126" s="188">
        <f>'Inputs-Imperial'!$E$10+('Inputs-Imperial'!$E$9-'Inputs-Imperial'!$E$10)*(100-A126)/100</f>
        <v>1.4829396799999999</v>
      </c>
      <c r="D126" s="187">
        <f t="shared" ref="D126:D160" si="558">B126-B125</f>
        <v>9.8425200000000324E-2</v>
      </c>
      <c r="E126" s="188">
        <f t="shared" ref="E126:E160" si="559">D126*AVERAGE(C125:C126)</f>
        <v>0.14644301059168849</v>
      </c>
      <c r="F126" s="423">
        <f>Loads!P86</f>
        <v>30.171595692361546</v>
      </c>
      <c r="G126" s="423">
        <f>Loads!M86</f>
        <v>301.71595692361547</v>
      </c>
      <c r="H126" s="423">
        <f>Loads!N86</f>
        <v>464.90993149255542</v>
      </c>
      <c r="I126" s="423">
        <f>Loads!V86</f>
        <v>-204.57405917723395</v>
      </c>
      <c r="J126" s="423">
        <f>Loads!Q86</f>
        <v>46.49099314925553</v>
      </c>
      <c r="K126" s="2">
        <v>66</v>
      </c>
      <c r="L126" s="12">
        <f t="shared" si="358"/>
        <v>77.952758400000008</v>
      </c>
      <c r="M126" s="11">
        <f t="shared" si="359"/>
        <v>17.79527616</v>
      </c>
      <c r="N126" s="11">
        <f t="shared" si="360"/>
        <v>1.1811024000000039</v>
      </c>
      <c r="O126" s="152">
        <f t="shared" si="361"/>
        <v>21.087793525203139</v>
      </c>
      <c r="P126" s="151">
        <f t="shared" si="362"/>
        <v>30.171595692361546</v>
      </c>
      <c r="Q126" s="12">
        <f t="shared" si="363"/>
        <v>301.71595692361547</v>
      </c>
      <c r="R126" s="12">
        <f t="shared" si="364"/>
        <v>5578.919177910665</v>
      </c>
      <c r="S126" s="12">
        <f t="shared" si="365"/>
        <v>-2454.8887101268074</v>
      </c>
      <c r="T126" s="152">
        <f t="shared" si="366"/>
        <v>557.89191779106636</v>
      </c>
      <c r="U126" s="8">
        <f t="shared" si="313"/>
        <v>3.2031497087999998</v>
      </c>
      <c r="V126" s="8">
        <f t="shared" si="314"/>
        <v>3.2031497087999998</v>
      </c>
      <c r="W126" s="134">
        <f t="shared" si="315"/>
        <v>1.6015748543999999</v>
      </c>
      <c r="X126" s="311">
        <f t="shared" si="316"/>
        <v>4.4488190400000001</v>
      </c>
      <c r="Y126" s="11">
        <f t="shared" si="317"/>
        <v>13.34645712</v>
      </c>
      <c r="Z126" s="11">
        <f t="shared" si="318"/>
        <v>8.8976380800000001</v>
      </c>
      <c r="AA126" s="316">
        <f t="shared" si="367"/>
        <v>13.34645712</v>
      </c>
      <c r="AB126" s="170">
        <f t="shared" si="368"/>
        <v>2.4023622815999999</v>
      </c>
      <c r="AC126" s="11">
        <f t="shared" si="369"/>
        <v>13.34645712</v>
      </c>
      <c r="AD126" s="152">
        <f t="shared" si="370"/>
        <v>25.18224108782999</v>
      </c>
      <c r="AE126" s="151">
        <f t="shared" si="319"/>
        <v>2.2606445606563748</v>
      </c>
      <c r="AF126" s="12">
        <f t="shared" si="320"/>
        <v>48.742459052089686</v>
      </c>
      <c r="AG126" s="216">
        <f t="shared" si="321"/>
        <v>3.3415109802744066E-3</v>
      </c>
      <c r="AH126" s="2">
        <f t="shared" si="371"/>
        <v>1</v>
      </c>
      <c r="AI126" s="2">
        <f t="shared" si="372"/>
        <v>3</v>
      </c>
      <c r="AJ126" s="127">
        <f t="shared" si="373"/>
        <v>2</v>
      </c>
      <c r="AK126" s="2">
        <f t="shared" si="374"/>
        <v>1.5748031496062995E-2</v>
      </c>
      <c r="AL126" s="8">
        <f t="shared" si="322"/>
        <v>3.5165338471811566E-2</v>
      </c>
      <c r="AM126" s="138">
        <f t="shared" si="375"/>
        <v>0.25</v>
      </c>
      <c r="AN126" s="12">
        <f t="shared" si="323"/>
        <v>2914.8273714684369</v>
      </c>
      <c r="AO126" s="138">
        <f t="shared" si="376"/>
        <v>0.25</v>
      </c>
      <c r="AP126" s="116">
        <f t="shared" si="377"/>
        <v>2175570</v>
      </c>
      <c r="AQ126" s="2">
        <f t="shared" si="378"/>
        <v>1.5748031496062995E-2</v>
      </c>
      <c r="AR126" s="8">
        <f t="shared" si="379"/>
        <v>8.8976380800000001</v>
      </c>
      <c r="AS126" s="116">
        <f t="shared" si="380"/>
        <v>2610.6840000000002</v>
      </c>
      <c r="AT126" s="217">
        <f t="shared" si="381"/>
        <v>0.20450565149943353</v>
      </c>
      <c r="AU126" s="207">
        <f t="shared" si="382"/>
        <v>3.0741972311107215</v>
      </c>
      <c r="AV126" s="144">
        <f t="shared" si="383"/>
        <v>13027.920121745963</v>
      </c>
      <c r="AW126" s="138">
        <f t="shared" si="384"/>
        <v>0.25</v>
      </c>
      <c r="AX126" s="116">
        <f t="shared" si="385"/>
        <v>2175570</v>
      </c>
      <c r="AY126" s="2">
        <f t="shared" si="386"/>
        <v>1.5748031496062995E-2</v>
      </c>
      <c r="AZ126" s="8">
        <f t="shared" si="387"/>
        <v>8.8976380800000001</v>
      </c>
      <c r="BA126" s="116">
        <f t="shared" si="388"/>
        <v>2610.6840000000002</v>
      </c>
      <c r="BB126" s="217">
        <f t="shared" si="389"/>
        <v>0.20450565149943353</v>
      </c>
      <c r="BC126" s="207">
        <f t="shared" si="390"/>
        <v>3.0741972311107215</v>
      </c>
      <c r="BD126" s="144">
        <f t="shared" si="391"/>
        <v>13027.920121745963</v>
      </c>
      <c r="BE126" s="138">
        <f t="shared" si="392"/>
        <v>0.25</v>
      </c>
      <c r="BF126" s="116">
        <f t="shared" si="393"/>
        <v>2175570</v>
      </c>
      <c r="BG126" s="2">
        <f t="shared" si="394"/>
        <v>1.5748031496062995E-2</v>
      </c>
      <c r="BH126" s="8">
        <f t="shared" si="395"/>
        <v>8.8976380800000001</v>
      </c>
      <c r="BI126" s="116">
        <f t="shared" si="396"/>
        <v>2610.6840000000002</v>
      </c>
      <c r="BJ126" s="217">
        <f t="shared" si="397"/>
        <v>0.20450565149943353</v>
      </c>
      <c r="BK126" s="207">
        <f t="shared" si="398"/>
        <v>3.0741972311107215</v>
      </c>
      <c r="BL126" s="144">
        <f t="shared" si="399"/>
        <v>13027.920121745963</v>
      </c>
      <c r="BM126" s="216">
        <f t="shared" si="400"/>
        <v>0.25</v>
      </c>
      <c r="BN126" s="216">
        <f t="shared" si="401"/>
        <v>2.3622047244094495E-2</v>
      </c>
      <c r="BO126" s="238">
        <f t="shared" si="402"/>
        <v>1.5748031496062995E-2</v>
      </c>
      <c r="BP126" s="216">
        <f t="shared" si="403"/>
        <v>0</v>
      </c>
      <c r="BQ126" s="138">
        <f t="shared" si="404"/>
        <v>0</v>
      </c>
      <c r="BR126" s="138">
        <f t="shared" si="405"/>
        <v>0.25</v>
      </c>
      <c r="BS126" s="238">
        <f t="shared" si="406"/>
        <v>0</v>
      </c>
      <c r="BT126" s="138">
        <f t="shared" si="407"/>
        <v>0</v>
      </c>
      <c r="BU126" s="138">
        <f t="shared" si="408"/>
        <v>0</v>
      </c>
      <c r="BV126" s="138">
        <f t="shared" si="409"/>
        <v>0.25</v>
      </c>
      <c r="BW126" s="238">
        <f t="shared" si="410"/>
        <v>0</v>
      </c>
      <c r="BX126" s="216">
        <f t="shared" si="411"/>
        <v>0</v>
      </c>
      <c r="BY126" s="138">
        <f t="shared" si="412"/>
        <v>0</v>
      </c>
      <c r="BZ126" s="138">
        <f t="shared" si="413"/>
        <v>2.3622047244094495E-2</v>
      </c>
      <c r="CA126" s="238">
        <f t="shared" si="414"/>
        <v>0</v>
      </c>
      <c r="CB126" s="138">
        <f t="shared" si="415"/>
        <v>0</v>
      </c>
      <c r="CC126" s="138">
        <f t="shared" si="416"/>
        <v>0</v>
      </c>
      <c r="CD126" s="138">
        <f t="shared" si="417"/>
        <v>2.3622047244094495E-2</v>
      </c>
      <c r="CE126" s="238">
        <f t="shared" si="418"/>
        <v>0</v>
      </c>
      <c r="CF126" s="216">
        <f t="shared" si="419"/>
        <v>0</v>
      </c>
      <c r="CG126" s="138">
        <f t="shared" si="420"/>
        <v>0</v>
      </c>
      <c r="CH126" s="138">
        <f t="shared" si="421"/>
        <v>1.5748031496062995E-2</v>
      </c>
      <c r="CI126" s="238">
        <f t="shared" si="422"/>
        <v>0</v>
      </c>
      <c r="CJ126" s="138">
        <f t="shared" si="423"/>
        <v>0</v>
      </c>
      <c r="CK126" s="138">
        <f t="shared" si="424"/>
        <v>0</v>
      </c>
      <c r="CL126" s="138">
        <f t="shared" si="425"/>
        <v>1.5748031496062995E-2</v>
      </c>
      <c r="CM126" s="238">
        <f t="shared" si="426"/>
        <v>0</v>
      </c>
      <c r="CN126" s="17">
        <f t="shared" si="427"/>
        <v>0.25</v>
      </c>
      <c r="CO126" s="17">
        <f t="shared" si="428"/>
        <v>2.3622047244094495E-2</v>
      </c>
      <c r="CP126" s="17">
        <f t="shared" si="429"/>
        <v>1.5748031496062995E-2</v>
      </c>
      <c r="CQ126" s="17">
        <f>$U126-IF('Inputs-Imperial'!$E$13,0,2)*($CO126+$CN126+$CP126)</f>
        <v>3.2031497087999998</v>
      </c>
      <c r="CR126" s="116">
        <f t="shared" si="430"/>
        <v>1741.6979177038536</v>
      </c>
      <c r="CS126" s="8">
        <f t="shared" si="324"/>
        <v>4.5032110146233748E-2</v>
      </c>
      <c r="CT126" s="8">
        <f t="shared" si="431"/>
        <v>0.21220770519996146</v>
      </c>
      <c r="CU126" s="8">
        <f t="shared" si="325"/>
        <v>4.5032110146233748E-2</v>
      </c>
      <c r="CV126" s="8">
        <f t="shared" si="432"/>
        <v>0.21220770519996146</v>
      </c>
      <c r="CW126" s="216">
        <f t="shared" si="433"/>
        <v>2.990942003600038</v>
      </c>
      <c r="CX126" s="116">
        <f t="shared" si="434"/>
        <v>1865.2716004508334</v>
      </c>
      <c r="CY126" s="8">
        <f t="shared" si="435"/>
        <v>4.8227143932559911E-2</v>
      </c>
      <c r="CZ126" s="8">
        <f t="shared" si="436"/>
        <v>0.21960679391257437</v>
      </c>
      <c r="DA126" s="8">
        <f t="shared" si="437"/>
        <v>4.8227143932559911E-2</v>
      </c>
      <c r="DB126" s="8">
        <f t="shared" si="438"/>
        <v>0.21960679391257437</v>
      </c>
      <c r="DC126" s="216">
        <f t="shared" si="439"/>
        <v>2.9835429148874253</v>
      </c>
      <c r="DD126" s="116">
        <f t="shared" si="440"/>
        <v>1869.897412929007</v>
      </c>
      <c r="DE126" s="8">
        <f t="shared" si="441"/>
        <v>4.8346745669988388E-2</v>
      </c>
      <c r="DF126" s="8">
        <f t="shared" si="442"/>
        <v>0.21987893412054824</v>
      </c>
      <c r="DG126" s="8">
        <f t="shared" si="443"/>
        <v>4.8346745669988388E-2</v>
      </c>
      <c r="DH126" s="8">
        <f t="shared" si="444"/>
        <v>0.21987893412054824</v>
      </c>
      <c r="DI126" s="216">
        <f t="shared" si="445"/>
        <v>2.9832707746794513</v>
      </c>
      <c r="DJ126" s="116">
        <f t="shared" si="446"/>
        <v>1870.067988887168</v>
      </c>
      <c r="DK126" s="8">
        <f t="shared" si="447"/>
        <v>4.8351155961381703E-2</v>
      </c>
      <c r="DL126" s="8">
        <f t="shared" si="448"/>
        <v>0.21988896280027723</v>
      </c>
      <c r="DM126" s="8">
        <f t="shared" si="449"/>
        <v>4.8351155961381703E-2</v>
      </c>
      <c r="DN126" s="8">
        <f t="shared" si="450"/>
        <v>0.21988896280027723</v>
      </c>
      <c r="DO126" s="216">
        <f t="shared" si="451"/>
        <v>2.9832607459997229</v>
      </c>
      <c r="DP126" s="116">
        <f t="shared" si="452"/>
        <v>1870.0742754020011</v>
      </c>
      <c r="DQ126" s="170">
        <f t="shared" si="453"/>
        <v>4.8351318501065263E-2</v>
      </c>
      <c r="DR126" s="8">
        <f t="shared" si="454"/>
        <v>0.21988933239487826</v>
      </c>
      <c r="DS126" s="8">
        <f t="shared" si="455"/>
        <v>4.8351318501065263E-2</v>
      </c>
      <c r="DT126" s="134">
        <f t="shared" si="456"/>
        <v>0.21988933239487826</v>
      </c>
      <c r="DU126" s="170">
        <f t="shared" si="310"/>
        <v>6.7368736237725546E-2</v>
      </c>
      <c r="DV126" s="170">
        <f t="shared" si="310"/>
        <v>0.25955488097457452</v>
      </c>
      <c r="DW126" s="170">
        <f t="shared" si="310"/>
        <v>6.7368736237725546E-2</v>
      </c>
      <c r="DX126" s="272">
        <f t="shared" si="310"/>
        <v>0.25955488097457452</v>
      </c>
      <c r="DY126" s="272">
        <f t="shared" si="457"/>
        <v>2.6840399468508505</v>
      </c>
      <c r="DZ126" s="22">
        <f t="shared" si="326"/>
        <v>94.193523360682292</v>
      </c>
      <c r="EA126" s="216">
        <f t="shared" si="327"/>
        <v>6.1711674444414714E-3</v>
      </c>
      <c r="EB126" s="12">
        <f t="shared" si="458"/>
        <v>1</v>
      </c>
      <c r="EC126" s="7">
        <f>ROUND(MAX(DV126,DX126)/'Inputs-Imperial'!$E$21,0)</f>
        <v>2</v>
      </c>
      <c r="ED126" s="12">
        <f t="shared" si="459"/>
        <v>2</v>
      </c>
      <c r="EE126" s="2">
        <f t="shared" si="460"/>
        <v>2</v>
      </c>
      <c r="EF126" s="127">
        <f t="shared" si="461"/>
        <v>2</v>
      </c>
      <c r="EG126" s="2">
        <f t="shared" si="462"/>
        <v>1.5748031496062995E-2</v>
      </c>
      <c r="EH126" s="8">
        <f t="shared" si="328"/>
        <v>6.4944030778611314E-2</v>
      </c>
      <c r="EI126" s="138">
        <f t="shared" si="463"/>
        <v>0.25</v>
      </c>
      <c r="EJ126" s="12">
        <f t="shared" si="329"/>
        <v>5383.1598600629923</v>
      </c>
      <c r="EK126" s="138">
        <f t="shared" si="464"/>
        <v>0.25</v>
      </c>
      <c r="EL126" s="116">
        <f t="shared" si="465"/>
        <v>2175570</v>
      </c>
      <c r="EM126" s="2">
        <f t="shared" si="330"/>
        <v>1.5748031496062995E-2</v>
      </c>
      <c r="EN126" s="8">
        <f t="shared" si="466"/>
        <v>3.2031497087999998</v>
      </c>
      <c r="EO126" s="116">
        <f t="shared" si="467"/>
        <v>2610.6840000000002</v>
      </c>
      <c r="EP126" s="217">
        <f t="shared" si="468"/>
        <v>1.5779757060141477</v>
      </c>
      <c r="EQ126" s="207">
        <f t="shared" si="469"/>
        <v>2</v>
      </c>
      <c r="ER126" s="144">
        <f t="shared" si="470"/>
        <v>65398.585358267439</v>
      </c>
      <c r="ES126" s="138">
        <f t="shared" si="331"/>
        <v>0.25</v>
      </c>
      <c r="ET126" s="116">
        <f t="shared" si="471"/>
        <v>2175570</v>
      </c>
      <c r="EU126" s="2">
        <f t="shared" si="332"/>
        <v>1.5748031496062995E-2</v>
      </c>
      <c r="EV126" s="8">
        <f t="shared" si="472"/>
        <v>3.2031497087999998</v>
      </c>
      <c r="EW126" s="116">
        <f t="shared" si="473"/>
        <v>2610.6840000000002</v>
      </c>
      <c r="EX126" s="217">
        <f t="shared" si="474"/>
        <v>1.5779757060141477</v>
      </c>
      <c r="EY126" s="207">
        <f t="shared" si="475"/>
        <v>2</v>
      </c>
      <c r="EZ126" s="144">
        <f t="shared" si="476"/>
        <v>65398.585358267439</v>
      </c>
      <c r="FA126" s="138">
        <f t="shared" si="333"/>
        <v>0.25</v>
      </c>
      <c r="FB126" s="116">
        <f t="shared" si="477"/>
        <v>2175570</v>
      </c>
      <c r="FC126" s="2">
        <f t="shared" si="334"/>
        <v>1.5748031496062995E-2</v>
      </c>
      <c r="FD126" s="8">
        <f t="shared" si="478"/>
        <v>3.2031497087999998</v>
      </c>
      <c r="FE126" s="116">
        <f t="shared" si="479"/>
        <v>2610.6840000000002</v>
      </c>
      <c r="FF126" s="217">
        <f t="shared" si="480"/>
        <v>1.5779757060141477</v>
      </c>
      <c r="FG126" s="207">
        <f t="shared" si="481"/>
        <v>2</v>
      </c>
      <c r="FH126" s="144">
        <f t="shared" si="482"/>
        <v>65398.585358267439</v>
      </c>
      <c r="FI126" s="128">
        <f t="shared" si="483"/>
        <v>0.25</v>
      </c>
      <c r="FJ126" s="2">
        <f t="shared" si="484"/>
        <v>1.5748031496062995E-2</v>
      </c>
      <c r="FK126" s="127">
        <f t="shared" si="485"/>
        <v>1.5748031496062995E-2</v>
      </c>
      <c r="FL126" s="216">
        <f t="shared" si="486"/>
        <v>0</v>
      </c>
      <c r="FM126" s="138">
        <f t="shared" si="487"/>
        <v>0</v>
      </c>
      <c r="FN126" s="138">
        <f t="shared" si="488"/>
        <v>0.25</v>
      </c>
      <c r="FO126" s="238">
        <f t="shared" si="489"/>
        <v>0</v>
      </c>
      <c r="FP126" s="216">
        <f t="shared" si="335"/>
        <v>0</v>
      </c>
      <c r="FQ126" s="138">
        <f t="shared" si="336"/>
        <v>0</v>
      </c>
      <c r="FR126" s="138">
        <f t="shared" si="337"/>
        <v>0.25</v>
      </c>
      <c r="FS126" s="238">
        <f t="shared" si="338"/>
        <v>0</v>
      </c>
      <c r="FT126" s="216">
        <f t="shared" si="490"/>
        <v>0</v>
      </c>
      <c r="FU126" s="138">
        <f t="shared" si="491"/>
        <v>0</v>
      </c>
      <c r="FV126" s="138">
        <f t="shared" si="492"/>
        <v>1.5748031496062995E-2</v>
      </c>
      <c r="FW126" s="238">
        <f t="shared" si="493"/>
        <v>0</v>
      </c>
      <c r="FX126" s="216">
        <f t="shared" si="339"/>
        <v>0</v>
      </c>
      <c r="FY126" s="138">
        <f t="shared" si="340"/>
        <v>0</v>
      </c>
      <c r="FZ126" s="138">
        <f t="shared" si="341"/>
        <v>1.5748031496062995E-2</v>
      </c>
      <c r="GA126" s="238">
        <f t="shared" si="342"/>
        <v>0</v>
      </c>
      <c r="GB126" s="216">
        <f t="shared" si="494"/>
        <v>0</v>
      </c>
      <c r="GC126" s="138">
        <f t="shared" si="495"/>
        <v>0</v>
      </c>
      <c r="GD126" s="138">
        <f t="shared" si="496"/>
        <v>1.5748031496062995E-2</v>
      </c>
      <c r="GE126" s="238">
        <f t="shared" si="497"/>
        <v>0</v>
      </c>
      <c r="GF126" s="216">
        <f t="shared" si="343"/>
        <v>0</v>
      </c>
      <c r="GG126" s="138">
        <f t="shared" si="344"/>
        <v>0</v>
      </c>
      <c r="GH126" s="138">
        <f t="shared" si="345"/>
        <v>1.5748031496062995E-2</v>
      </c>
      <c r="GI126" s="238">
        <f t="shared" si="346"/>
        <v>0</v>
      </c>
      <c r="GJ126" s="216">
        <f t="shared" si="498"/>
        <v>0.25</v>
      </c>
      <c r="GK126" s="216">
        <f t="shared" si="499"/>
        <v>1.5748031496062995E-2</v>
      </c>
      <c r="GL126" s="17">
        <f t="shared" si="500"/>
        <v>1.5748031496062995E-2</v>
      </c>
      <c r="GM126" s="216">
        <f t="shared" si="347"/>
        <v>3.1934029616078113E-3</v>
      </c>
      <c r="GN126" s="2">
        <f t="shared" si="501"/>
        <v>1</v>
      </c>
      <c r="GO126" s="2">
        <f t="shared" si="502"/>
        <v>2</v>
      </c>
      <c r="GP126" s="142">
        <f t="shared" si="503"/>
        <v>2</v>
      </c>
      <c r="GQ126" s="2">
        <f t="shared" si="504"/>
        <v>1.5748031496062995E-2</v>
      </c>
      <c r="GR126" s="8">
        <f t="shared" si="348"/>
        <v>3.3606681733124893E-2</v>
      </c>
      <c r="GS126" s="138">
        <f t="shared" si="505"/>
        <v>0.25</v>
      </c>
      <c r="GT126" s="12">
        <f t="shared" si="349"/>
        <v>2785.631534826925</v>
      </c>
      <c r="GU126" s="138">
        <f t="shared" si="506"/>
        <v>0.25</v>
      </c>
      <c r="GV126" s="116">
        <f t="shared" si="507"/>
        <v>2175570</v>
      </c>
      <c r="GW126" s="2">
        <f t="shared" si="350"/>
        <v>1.5748031496062995E-2</v>
      </c>
      <c r="GX126" s="8">
        <f t="shared" si="351"/>
        <v>1.6015748543999999</v>
      </c>
      <c r="GY126" s="116">
        <f t="shared" si="508"/>
        <v>2610.6840000000002</v>
      </c>
      <c r="GZ126" s="217">
        <f t="shared" si="509"/>
        <v>6.3119028240565909</v>
      </c>
      <c r="HA126" s="207">
        <f t="shared" si="510"/>
        <v>2</v>
      </c>
      <c r="HB126" s="144">
        <f t="shared" si="511"/>
        <v>261594.34143306976</v>
      </c>
      <c r="HC126" s="138">
        <f t="shared" si="352"/>
        <v>0.25</v>
      </c>
      <c r="HD126" s="116">
        <f t="shared" si="512"/>
        <v>2175570</v>
      </c>
      <c r="HE126" s="2">
        <f t="shared" si="353"/>
        <v>1.5748031496062995E-2</v>
      </c>
      <c r="HF126" s="8">
        <f t="shared" si="513"/>
        <v>1.6015748543999999</v>
      </c>
      <c r="HG126" s="116">
        <f t="shared" si="514"/>
        <v>2610.6840000000002</v>
      </c>
      <c r="HH126" s="217">
        <f t="shared" si="515"/>
        <v>6.3119028240565909</v>
      </c>
      <c r="HI126" s="207">
        <f t="shared" si="516"/>
        <v>2</v>
      </c>
      <c r="HJ126" s="144">
        <f t="shared" si="517"/>
        <v>261594.34143306976</v>
      </c>
      <c r="HK126" s="138">
        <f t="shared" si="354"/>
        <v>0.25</v>
      </c>
      <c r="HL126" s="116">
        <f t="shared" si="518"/>
        <v>2175570</v>
      </c>
      <c r="HM126" s="2">
        <f t="shared" si="355"/>
        <v>1.5748031496062995E-2</v>
      </c>
      <c r="HN126" s="8">
        <f t="shared" si="519"/>
        <v>1.6015748543999999</v>
      </c>
      <c r="HO126" s="116">
        <f t="shared" si="520"/>
        <v>2610.6840000000002</v>
      </c>
      <c r="HP126" s="217">
        <f t="shared" si="521"/>
        <v>6.3119028240565909</v>
      </c>
      <c r="HQ126" s="207">
        <f t="shared" si="522"/>
        <v>2</v>
      </c>
      <c r="HR126" s="144">
        <f t="shared" si="523"/>
        <v>261594.34143306976</v>
      </c>
      <c r="HS126" s="128">
        <f t="shared" si="524"/>
        <v>0.25</v>
      </c>
      <c r="HT126" s="2">
        <f t="shared" si="525"/>
        <v>1.5748031496062995E-2</v>
      </c>
      <c r="HU126" s="127">
        <f t="shared" si="526"/>
        <v>1.5748031496062995E-2</v>
      </c>
      <c r="HV126" s="216">
        <f t="shared" si="527"/>
        <v>0</v>
      </c>
      <c r="HW126" s="138">
        <f t="shared" si="528"/>
        <v>0</v>
      </c>
      <c r="HX126" s="138">
        <f t="shared" si="529"/>
        <v>0.25</v>
      </c>
      <c r="HY126" s="238">
        <f t="shared" si="530"/>
        <v>0</v>
      </c>
      <c r="HZ126" s="138">
        <f t="shared" si="531"/>
        <v>0</v>
      </c>
      <c r="IA126" s="138">
        <f t="shared" si="532"/>
        <v>0</v>
      </c>
      <c r="IB126" s="138">
        <f t="shared" si="533"/>
        <v>0.25</v>
      </c>
      <c r="IC126" s="138">
        <f t="shared" si="534"/>
        <v>0</v>
      </c>
      <c r="ID126" s="216">
        <f t="shared" si="535"/>
        <v>0</v>
      </c>
      <c r="IE126" s="138">
        <f t="shared" si="536"/>
        <v>0</v>
      </c>
      <c r="IF126" s="138">
        <f t="shared" si="537"/>
        <v>1.5748031496062995E-2</v>
      </c>
      <c r="IG126" s="238">
        <f t="shared" si="538"/>
        <v>0</v>
      </c>
      <c r="IH126" s="138">
        <f t="shared" si="539"/>
        <v>0</v>
      </c>
      <c r="II126" s="138">
        <f t="shared" si="540"/>
        <v>0</v>
      </c>
      <c r="IJ126" s="138">
        <f t="shared" si="541"/>
        <v>1.5748031496062995E-2</v>
      </c>
      <c r="IK126" s="138">
        <f t="shared" si="542"/>
        <v>0</v>
      </c>
      <c r="IL126" s="216">
        <f t="shared" si="543"/>
        <v>0</v>
      </c>
      <c r="IM126" s="138">
        <f t="shared" si="544"/>
        <v>0</v>
      </c>
      <c r="IN126" s="138">
        <f t="shared" si="545"/>
        <v>1.5748031496062995E-2</v>
      </c>
      <c r="IO126" s="238">
        <f t="shared" si="546"/>
        <v>0</v>
      </c>
      <c r="IP126" s="138">
        <f t="shared" si="547"/>
        <v>0</v>
      </c>
      <c r="IQ126" s="138">
        <f t="shared" si="548"/>
        <v>0</v>
      </c>
      <c r="IR126" s="138">
        <f t="shared" si="549"/>
        <v>1.5748031496062995E-2</v>
      </c>
      <c r="IS126" s="138">
        <f t="shared" si="550"/>
        <v>0</v>
      </c>
      <c r="IT126" s="17">
        <f t="shared" si="551"/>
        <v>0.25</v>
      </c>
      <c r="IU126" s="17">
        <f t="shared" si="552"/>
        <v>1.5748031496062995E-2</v>
      </c>
      <c r="IV126" s="17">
        <f t="shared" si="553"/>
        <v>1.5748031496062995E-2</v>
      </c>
      <c r="IW126" s="253">
        <f t="shared" si="554"/>
        <v>8.8976380800000001</v>
      </c>
      <c r="IX126" s="116">
        <f t="shared" si="356"/>
        <v>62.701125037338713</v>
      </c>
      <c r="IY126" s="8">
        <f t="shared" si="357"/>
        <v>1.6211559652644146E-3</v>
      </c>
      <c r="IZ126" s="8">
        <f t="shared" si="555"/>
        <v>1.6211559652644146E-3</v>
      </c>
      <c r="JA126" s="8">
        <f t="shared" si="556"/>
        <v>8.1057798263220731E-4</v>
      </c>
      <c r="JB126" s="134">
        <f t="shared" si="557"/>
        <v>2.8470651250580962E-2</v>
      </c>
      <c r="JC126" s="170">
        <f t="shared" si="311"/>
        <v>1.118139342754408E-3</v>
      </c>
      <c r="JD126" s="272">
        <f t="shared" si="312"/>
        <v>3.3438590621532004E-2</v>
      </c>
      <c r="JE126" s="8"/>
      <c r="JF126" s="8"/>
    </row>
    <row r="127" spans="1:266" x14ac:dyDescent="0.25">
      <c r="A127" s="186">
        <v>67</v>
      </c>
      <c r="B127" s="187">
        <f>A127/100*'Inputs-Imperial'!$E$5</f>
        <v>6.5944884000000004</v>
      </c>
      <c r="C127" s="188">
        <f>'Inputs-Imperial'!$E$10+('Inputs-Imperial'!$E$9-'Inputs-Imperial'!$E$10)*(100-A127)/100</f>
        <v>1.47309716</v>
      </c>
      <c r="D127" s="187">
        <f t="shared" si="558"/>
        <v>9.8425199999999435E-2</v>
      </c>
      <c r="E127" s="188">
        <f t="shared" si="559"/>
        <v>0.14547425859218316</v>
      </c>
      <c r="F127" s="423">
        <f>Loads!P87</f>
        <v>29.049108497325921</v>
      </c>
      <c r="G127" s="423">
        <f>Loads!M87</f>
        <v>290.49108497325921</v>
      </c>
      <c r="H127" s="423">
        <f>Loads!N87</f>
        <v>435.21347808915732</v>
      </c>
      <c r="I127" s="423">
        <f>Loads!V87</f>
        <v>-195.24060428784489</v>
      </c>
      <c r="J127" s="423">
        <f>Loads!Q87</f>
        <v>43.521347808915721</v>
      </c>
      <c r="K127" s="2">
        <v>67</v>
      </c>
      <c r="L127" s="12">
        <f t="shared" si="358"/>
        <v>79.133860800000008</v>
      </c>
      <c r="M127" s="11">
        <f t="shared" si="359"/>
        <v>17.67716592</v>
      </c>
      <c r="N127" s="11">
        <f t="shared" si="360"/>
        <v>1.1811023999999932</v>
      </c>
      <c r="O127" s="152">
        <f t="shared" si="361"/>
        <v>20.948293237274374</v>
      </c>
      <c r="P127" s="151">
        <f t="shared" si="362"/>
        <v>29.049108497325921</v>
      </c>
      <c r="Q127" s="12">
        <f t="shared" si="363"/>
        <v>290.49108497325921</v>
      </c>
      <c r="R127" s="12">
        <f t="shared" si="364"/>
        <v>5222.5617370698874</v>
      </c>
      <c r="S127" s="12">
        <f t="shared" si="365"/>
        <v>-2342.8872514541385</v>
      </c>
      <c r="T127" s="152">
        <f t="shared" si="366"/>
        <v>522.25617370698865</v>
      </c>
      <c r="U127" s="8">
        <f t="shared" si="313"/>
        <v>3.1818898656000001</v>
      </c>
      <c r="V127" s="8">
        <f t="shared" si="314"/>
        <v>3.1818898656000001</v>
      </c>
      <c r="W127" s="134">
        <f t="shared" si="315"/>
        <v>1.5909449328</v>
      </c>
      <c r="X127" s="311">
        <f t="shared" si="316"/>
        <v>4.41929148</v>
      </c>
      <c r="Y127" s="11">
        <f t="shared" si="317"/>
        <v>13.25787444</v>
      </c>
      <c r="Z127" s="11">
        <f t="shared" si="318"/>
        <v>8.8385829600000001</v>
      </c>
      <c r="AA127" s="316">
        <f t="shared" si="367"/>
        <v>13.25787444</v>
      </c>
      <c r="AB127" s="170">
        <f t="shared" si="368"/>
        <v>2.3864173992</v>
      </c>
      <c r="AC127" s="11">
        <f t="shared" si="369"/>
        <v>13.25787444</v>
      </c>
      <c r="AD127" s="152">
        <f t="shared" si="370"/>
        <v>24.849072879373942</v>
      </c>
      <c r="AE127" s="151">
        <f t="shared" si="319"/>
        <v>2.1910833918959578</v>
      </c>
      <c r="AF127" s="12">
        <f t="shared" si="320"/>
        <v>47.142347379061775</v>
      </c>
      <c r="AG127" s="216">
        <f t="shared" si="321"/>
        <v>3.23212096792019E-3</v>
      </c>
      <c r="AH127" s="2">
        <f t="shared" si="371"/>
        <v>1</v>
      </c>
      <c r="AI127" s="2">
        <f t="shared" si="372"/>
        <v>3</v>
      </c>
      <c r="AJ127" s="127">
        <f t="shared" si="373"/>
        <v>2</v>
      </c>
      <c r="AK127" s="2">
        <f t="shared" si="374"/>
        <v>1.5748031496062995E-2</v>
      </c>
      <c r="AL127" s="8">
        <f t="shared" si="322"/>
        <v>3.4014141653192775E-2</v>
      </c>
      <c r="AM127" s="138">
        <f t="shared" si="375"/>
        <v>0.25</v>
      </c>
      <c r="AN127" s="12">
        <f t="shared" si="323"/>
        <v>2819.4055685602339</v>
      </c>
      <c r="AO127" s="138">
        <f t="shared" si="376"/>
        <v>0.25</v>
      </c>
      <c r="AP127" s="116">
        <f t="shared" si="377"/>
        <v>2175570</v>
      </c>
      <c r="AQ127" s="2">
        <f t="shared" si="378"/>
        <v>1.5748031496062995E-2</v>
      </c>
      <c r="AR127" s="8">
        <f t="shared" si="379"/>
        <v>8.8385829600000001</v>
      </c>
      <c r="AS127" s="116">
        <f t="shared" si="380"/>
        <v>2610.6840000000002</v>
      </c>
      <c r="AT127" s="217">
        <f t="shared" si="381"/>
        <v>0.20724759611281823</v>
      </c>
      <c r="AU127" s="207">
        <f t="shared" si="382"/>
        <v>3.0583299910188555</v>
      </c>
      <c r="AV127" s="144">
        <f t="shared" si="383"/>
        <v>13134.449989397122</v>
      </c>
      <c r="AW127" s="138">
        <f t="shared" si="384"/>
        <v>0.25</v>
      </c>
      <c r="AX127" s="116">
        <f t="shared" si="385"/>
        <v>2175570</v>
      </c>
      <c r="AY127" s="2">
        <f t="shared" si="386"/>
        <v>1.5748031496062995E-2</v>
      </c>
      <c r="AZ127" s="8">
        <f t="shared" si="387"/>
        <v>8.8385829600000001</v>
      </c>
      <c r="BA127" s="116">
        <f t="shared" si="388"/>
        <v>2610.6840000000002</v>
      </c>
      <c r="BB127" s="217">
        <f t="shared" si="389"/>
        <v>0.20724759611281823</v>
      </c>
      <c r="BC127" s="207">
        <f t="shared" si="390"/>
        <v>3.0583299910188555</v>
      </c>
      <c r="BD127" s="144">
        <f t="shared" si="391"/>
        <v>13134.449989397122</v>
      </c>
      <c r="BE127" s="138">
        <f t="shared" si="392"/>
        <v>0.25</v>
      </c>
      <c r="BF127" s="116">
        <f t="shared" si="393"/>
        <v>2175570</v>
      </c>
      <c r="BG127" s="2">
        <f t="shared" si="394"/>
        <v>1.5748031496062995E-2</v>
      </c>
      <c r="BH127" s="8">
        <f t="shared" si="395"/>
        <v>8.8385829600000001</v>
      </c>
      <c r="BI127" s="116">
        <f t="shared" si="396"/>
        <v>2610.6840000000002</v>
      </c>
      <c r="BJ127" s="217">
        <f t="shared" si="397"/>
        <v>0.20724759611281823</v>
      </c>
      <c r="BK127" s="207">
        <f t="shared" si="398"/>
        <v>3.0583299910188555</v>
      </c>
      <c r="BL127" s="144">
        <f t="shared" si="399"/>
        <v>13134.449989397122</v>
      </c>
      <c r="BM127" s="216">
        <f t="shared" si="400"/>
        <v>0.25</v>
      </c>
      <c r="BN127" s="216">
        <f t="shared" si="401"/>
        <v>2.3622047244094495E-2</v>
      </c>
      <c r="BO127" s="238">
        <f t="shared" si="402"/>
        <v>1.5748031496062995E-2</v>
      </c>
      <c r="BP127" s="216">
        <f t="shared" si="403"/>
        <v>0</v>
      </c>
      <c r="BQ127" s="138">
        <f t="shared" si="404"/>
        <v>0</v>
      </c>
      <c r="BR127" s="138">
        <f t="shared" si="405"/>
        <v>0.25</v>
      </c>
      <c r="BS127" s="238">
        <f t="shared" si="406"/>
        <v>0</v>
      </c>
      <c r="BT127" s="138">
        <f t="shared" si="407"/>
        <v>0</v>
      </c>
      <c r="BU127" s="138">
        <f t="shared" si="408"/>
        <v>0</v>
      </c>
      <c r="BV127" s="138">
        <f t="shared" si="409"/>
        <v>0.25</v>
      </c>
      <c r="BW127" s="238">
        <f t="shared" si="410"/>
        <v>0</v>
      </c>
      <c r="BX127" s="216">
        <f t="shared" si="411"/>
        <v>0</v>
      </c>
      <c r="BY127" s="138">
        <f t="shared" si="412"/>
        <v>0</v>
      </c>
      <c r="BZ127" s="138">
        <f t="shared" si="413"/>
        <v>2.3622047244094495E-2</v>
      </c>
      <c r="CA127" s="238">
        <f t="shared" si="414"/>
        <v>0</v>
      </c>
      <c r="CB127" s="138">
        <f t="shared" si="415"/>
        <v>0</v>
      </c>
      <c r="CC127" s="138">
        <f t="shared" si="416"/>
        <v>0</v>
      </c>
      <c r="CD127" s="138">
        <f t="shared" si="417"/>
        <v>2.3622047244094495E-2</v>
      </c>
      <c r="CE127" s="238">
        <f t="shared" si="418"/>
        <v>0</v>
      </c>
      <c r="CF127" s="216">
        <f t="shared" si="419"/>
        <v>0</v>
      </c>
      <c r="CG127" s="138">
        <f t="shared" si="420"/>
        <v>0</v>
      </c>
      <c r="CH127" s="138">
        <f t="shared" si="421"/>
        <v>1.5748031496062995E-2</v>
      </c>
      <c r="CI127" s="238">
        <f t="shared" si="422"/>
        <v>0</v>
      </c>
      <c r="CJ127" s="138">
        <f t="shared" si="423"/>
        <v>0</v>
      </c>
      <c r="CK127" s="138">
        <f t="shared" si="424"/>
        <v>0</v>
      </c>
      <c r="CL127" s="138">
        <f t="shared" si="425"/>
        <v>1.5748031496062995E-2</v>
      </c>
      <c r="CM127" s="238">
        <f t="shared" si="426"/>
        <v>0</v>
      </c>
      <c r="CN127" s="17">
        <f t="shared" si="427"/>
        <v>0.25</v>
      </c>
      <c r="CO127" s="17">
        <f t="shared" si="428"/>
        <v>2.3622047244094495E-2</v>
      </c>
      <c r="CP127" s="17">
        <f t="shared" si="429"/>
        <v>1.5748031496062995E-2</v>
      </c>
      <c r="CQ127" s="17">
        <f>$U127-IF('Inputs-Imperial'!$E$13,0,2)*($CO127+$CN127+$CP127)</f>
        <v>3.1818898656000001</v>
      </c>
      <c r="CR127" s="116">
        <f t="shared" si="430"/>
        <v>1641.3395678876157</v>
      </c>
      <c r="CS127" s="8">
        <f t="shared" si="324"/>
        <v>4.2437315597143907E-2</v>
      </c>
      <c r="CT127" s="8">
        <f t="shared" si="431"/>
        <v>0.20600319317220281</v>
      </c>
      <c r="CU127" s="8">
        <f t="shared" si="325"/>
        <v>4.2437315597143907E-2</v>
      </c>
      <c r="CV127" s="8">
        <f t="shared" si="432"/>
        <v>0.20600319317220281</v>
      </c>
      <c r="CW127" s="216">
        <f t="shared" si="433"/>
        <v>2.9758866724277975</v>
      </c>
      <c r="CX127" s="116">
        <f t="shared" si="434"/>
        <v>1754.9598865635567</v>
      </c>
      <c r="CY127" s="8">
        <f t="shared" si="435"/>
        <v>4.5375002238126128E-2</v>
      </c>
      <c r="CZ127" s="8">
        <f t="shared" si="436"/>
        <v>0.2130140892948777</v>
      </c>
      <c r="DA127" s="8">
        <f t="shared" si="437"/>
        <v>4.5375002238126128E-2</v>
      </c>
      <c r="DB127" s="8">
        <f t="shared" si="438"/>
        <v>0.2130140892948777</v>
      </c>
      <c r="DC127" s="216">
        <f t="shared" si="439"/>
        <v>2.9688757763051226</v>
      </c>
      <c r="DD127" s="116">
        <f t="shared" si="440"/>
        <v>1759.1041628456283</v>
      </c>
      <c r="DE127" s="8">
        <f t="shared" si="441"/>
        <v>4.5482153716068244E-2</v>
      </c>
      <c r="DF127" s="8">
        <f t="shared" si="442"/>
        <v>0.2132654536395153</v>
      </c>
      <c r="DG127" s="8">
        <f t="shared" si="443"/>
        <v>4.5482153716068244E-2</v>
      </c>
      <c r="DH127" s="8">
        <f t="shared" si="444"/>
        <v>0.2132654536395153</v>
      </c>
      <c r="DI127" s="216">
        <f t="shared" si="445"/>
        <v>2.968624411960485</v>
      </c>
      <c r="DJ127" s="116">
        <f t="shared" si="446"/>
        <v>1759.2531126633489</v>
      </c>
      <c r="DK127" s="8">
        <f t="shared" si="447"/>
        <v>4.5486004857261945E-2</v>
      </c>
      <c r="DL127" s="8">
        <f t="shared" si="448"/>
        <v>0.213274482433464</v>
      </c>
      <c r="DM127" s="8">
        <f t="shared" si="449"/>
        <v>4.5486004857261945E-2</v>
      </c>
      <c r="DN127" s="8">
        <f t="shared" si="450"/>
        <v>0.213274482433464</v>
      </c>
      <c r="DO127" s="216">
        <f t="shared" si="451"/>
        <v>2.9686153831665361</v>
      </c>
      <c r="DP127" s="116">
        <f t="shared" si="452"/>
        <v>1759.2584632836915</v>
      </c>
      <c r="DQ127" s="170">
        <f t="shared" si="453"/>
        <v>4.5486143199119144E-2</v>
      </c>
      <c r="DR127" s="8">
        <f t="shared" si="454"/>
        <v>0.21327480676141555</v>
      </c>
      <c r="DS127" s="8">
        <f t="shared" si="455"/>
        <v>4.5486143199119144E-2</v>
      </c>
      <c r="DT127" s="134">
        <f t="shared" si="456"/>
        <v>0.21327480676141555</v>
      </c>
      <c r="DU127" s="170">
        <f t="shared" si="310"/>
        <v>6.7368736237725546E-2</v>
      </c>
      <c r="DV127" s="170">
        <f t="shared" si="310"/>
        <v>0.25955488097457452</v>
      </c>
      <c r="DW127" s="170">
        <f t="shared" si="310"/>
        <v>6.7368736237725546E-2</v>
      </c>
      <c r="DX127" s="272">
        <f t="shared" si="310"/>
        <v>0.25955488097457452</v>
      </c>
      <c r="DY127" s="272">
        <f t="shared" si="457"/>
        <v>2.6627801036508507</v>
      </c>
      <c r="DZ127" s="22">
        <f t="shared" si="326"/>
        <v>91.295141328998241</v>
      </c>
      <c r="EA127" s="216">
        <f t="shared" si="327"/>
        <v>5.9812775221058049E-3</v>
      </c>
      <c r="EB127" s="12">
        <f t="shared" si="458"/>
        <v>1</v>
      </c>
      <c r="EC127" s="7">
        <f>ROUND(MAX(DV127,DX127)/'Inputs-Imperial'!$E$21,0)</f>
        <v>2</v>
      </c>
      <c r="ED127" s="12">
        <f t="shared" si="459"/>
        <v>2</v>
      </c>
      <c r="EE127" s="2">
        <f t="shared" si="460"/>
        <v>2</v>
      </c>
      <c r="EF127" s="127">
        <f t="shared" si="461"/>
        <v>2</v>
      </c>
      <c r="EG127" s="2">
        <f t="shared" si="462"/>
        <v>1.5748031496062995E-2</v>
      </c>
      <c r="EH127" s="8">
        <f t="shared" si="328"/>
        <v>6.2945670327085479E-2</v>
      </c>
      <c r="EI127" s="138">
        <f t="shared" si="463"/>
        <v>0.25</v>
      </c>
      <c r="EJ127" s="12">
        <f t="shared" si="329"/>
        <v>5217.5173269522484</v>
      </c>
      <c r="EK127" s="138">
        <f t="shared" si="464"/>
        <v>0.25</v>
      </c>
      <c r="EL127" s="116">
        <f t="shared" si="465"/>
        <v>2175570</v>
      </c>
      <c r="EM127" s="2">
        <f t="shared" si="330"/>
        <v>1.5748031496062995E-2</v>
      </c>
      <c r="EN127" s="8">
        <f t="shared" si="466"/>
        <v>3.1818898656000001</v>
      </c>
      <c r="EO127" s="116">
        <f t="shared" si="467"/>
        <v>2610.6840000000002</v>
      </c>
      <c r="EP127" s="217">
        <f t="shared" si="468"/>
        <v>1.5991326860556963</v>
      </c>
      <c r="EQ127" s="207">
        <f t="shared" si="469"/>
        <v>2</v>
      </c>
      <c r="ER127" s="144">
        <f t="shared" si="470"/>
        <v>66275.428113131711</v>
      </c>
      <c r="ES127" s="138">
        <f t="shared" si="331"/>
        <v>0.25</v>
      </c>
      <c r="ET127" s="116">
        <f t="shared" si="471"/>
        <v>2175570</v>
      </c>
      <c r="EU127" s="2">
        <f t="shared" si="332"/>
        <v>1.5748031496062995E-2</v>
      </c>
      <c r="EV127" s="8">
        <f t="shared" si="472"/>
        <v>3.1818898656000001</v>
      </c>
      <c r="EW127" s="116">
        <f t="shared" si="473"/>
        <v>2610.6840000000002</v>
      </c>
      <c r="EX127" s="217">
        <f t="shared" si="474"/>
        <v>1.5991326860556963</v>
      </c>
      <c r="EY127" s="207">
        <f t="shared" si="475"/>
        <v>2</v>
      </c>
      <c r="EZ127" s="144">
        <f t="shared" si="476"/>
        <v>66275.428113131711</v>
      </c>
      <c r="FA127" s="138">
        <f t="shared" si="333"/>
        <v>0.25</v>
      </c>
      <c r="FB127" s="116">
        <f t="shared" si="477"/>
        <v>2175570</v>
      </c>
      <c r="FC127" s="2">
        <f t="shared" si="334"/>
        <v>1.5748031496062995E-2</v>
      </c>
      <c r="FD127" s="8">
        <f t="shared" si="478"/>
        <v>3.1818898656000001</v>
      </c>
      <c r="FE127" s="116">
        <f t="shared" si="479"/>
        <v>2610.6840000000002</v>
      </c>
      <c r="FF127" s="217">
        <f t="shared" si="480"/>
        <v>1.5991326860556963</v>
      </c>
      <c r="FG127" s="207">
        <f t="shared" si="481"/>
        <v>2</v>
      </c>
      <c r="FH127" s="144">
        <f t="shared" si="482"/>
        <v>66275.428113131711</v>
      </c>
      <c r="FI127" s="128">
        <f t="shared" si="483"/>
        <v>0.25</v>
      </c>
      <c r="FJ127" s="2">
        <f t="shared" si="484"/>
        <v>1.5748031496062995E-2</v>
      </c>
      <c r="FK127" s="127">
        <f t="shared" si="485"/>
        <v>1.5748031496062995E-2</v>
      </c>
      <c r="FL127" s="216">
        <f t="shared" si="486"/>
        <v>0</v>
      </c>
      <c r="FM127" s="138">
        <f t="shared" si="487"/>
        <v>0</v>
      </c>
      <c r="FN127" s="138">
        <f t="shared" si="488"/>
        <v>0.25</v>
      </c>
      <c r="FO127" s="238">
        <f t="shared" si="489"/>
        <v>0</v>
      </c>
      <c r="FP127" s="216">
        <f t="shared" si="335"/>
        <v>0</v>
      </c>
      <c r="FQ127" s="138">
        <f t="shared" si="336"/>
        <v>0</v>
      </c>
      <c r="FR127" s="138">
        <f t="shared" si="337"/>
        <v>0.25</v>
      </c>
      <c r="FS127" s="238">
        <f t="shared" si="338"/>
        <v>0</v>
      </c>
      <c r="FT127" s="216">
        <f t="shared" si="490"/>
        <v>0</v>
      </c>
      <c r="FU127" s="138">
        <f t="shared" si="491"/>
        <v>0</v>
      </c>
      <c r="FV127" s="138">
        <f t="shared" si="492"/>
        <v>1.5748031496062995E-2</v>
      </c>
      <c r="FW127" s="238">
        <f t="shared" si="493"/>
        <v>0</v>
      </c>
      <c r="FX127" s="216">
        <f t="shared" si="339"/>
        <v>0</v>
      </c>
      <c r="FY127" s="138">
        <f t="shared" si="340"/>
        <v>0</v>
      </c>
      <c r="FZ127" s="138">
        <f t="shared" si="341"/>
        <v>1.5748031496062995E-2</v>
      </c>
      <c r="GA127" s="238">
        <f t="shared" si="342"/>
        <v>0</v>
      </c>
      <c r="GB127" s="216">
        <f t="shared" si="494"/>
        <v>0</v>
      </c>
      <c r="GC127" s="138">
        <f t="shared" si="495"/>
        <v>0</v>
      </c>
      <c r="GD127" s="138">
        <f t="shared" si="496"/>
        <v>1.5748031496062995E-2</v>
      </c>
      <c r="GE127" s="238">
        <f t="shared" si="497"/>
        <v>0</v>
      </c>
      <c r="GF127" s="216">
        <f t="shared" si="343"/>
        <v>0</v>
      </c>
      <c r="GG127" s="138">
        <f t="shared" si="344"/>
        <v>0</v>
      </c>
      <c r="GH127" s="138">
        <f t="shared" si="345"/>
        <v>1.5748031496062995E-2</v>
      </c>
      <c r="GI127" s="238">
        <f t="shared" si="346"/>
        <v>0</v>
      </c>
      <c r="GJ127" s="216">
        <f t="shared" si="498"/>
        <v>0.25</v>
      </c>
      <c r="GK127" s="216">
        <f t="shared" si="499"/>
        <v>1.5748031496062995E-2</v>
      </c>
      <c r="GL127" s="17">
        <f t="shared" si="500"/>
        <v>1.5748031496062995E-2</v>
      </c>
      <c r="GM127" s="216">
        <f t="shared" si="347"/>
        <v>3.0885703073896507E-3</v>
      </c>
      <c r="GN127" s="2">
        <f t="shared" si="501"/>
        <v>1</v>
      </c>
      <c r="GO127" s="2">
        <f t="shared" si="502"/>
        <v>2</v>
      </c>
      <c r="GP127" s="142">
        <f t="shared" si="503"/>
        <v>2</v>
      </c>
      <c r="GQ127" s="2">
        <f t="shared" si="504"/>
        <v>1.5748031496062995E-2</v>
      </c>
      <c r="GR127" s="8">
        <f t="shared" si="348"/>
        <v>3.2503445565342723E-2</v>
      </c>
      <c r="GS127" s="138">
        <f t="shared" si="505"/>
        <v>0.25</v>
      </c>
      <c r="GT127" s="12">
        <f t="shared" si="349"/>
        <v>2694.1851527133799</v>
      </c>
      <c r="GU127" s="138">
        <f t="shared" si="506"/>
        <v>0.25</v>
      </c>
      <c r="GV127" s="116">
        <f t="shared" si="507"/>
        <v>2175570</v>
      </c>
      <c r="GW127" s="2">
        <f t="shared" si="350"/>
        <v>1.5748031496062995E-2</v>
      </c>
      <c r="GX127" s="8">
        <f t="shared" si="351"/>
        <v>1.5909449328</v>
      </c>
      <c r="GY127" s="116">
        <f t="shared" si="508"/>
        <v>2610.6840000000002</v>
      </c>
      <c r="GZ127" s="217">
        <f t="shared" si="509"/>
        <v>6.396530744222785</v>
      </c>
      <c r="HA127" s="207">
        <f t="shared" si="510"/>
        <v>2</v>
      </c>
      <c r="HB127" s="144">
        <f t="shared" si="511"/>
        <v>265101.71245252684</v>
      </c>
      <c r="HC127" s="138">
        <f t="shared" si="352"/>
        <v>0.25</v>
      </c>
      <c r="HD127" s="116">
        <f t="shared" si="512"/>
        <v>2175570</v>
      </c>
      <c r="HE127" s="2">
        <f t="shared" si="353"/>
        <v>1.5748031496062995E-2</v>
      </c>
      <c r="HF127" s="8">
        <f t="shared" si="513"/>
        <v>1.5909449328</v>
      </c>
      <c r="HG127" s="116">
        <f t="shared" si="514"/>
        <v>2610.6840000000002</v>
      </c>
      <c r="HH127" s="217">
        <f t="shared" si="515"/>
        <v>6.396530744222785</v>
      </c>
      <c r="HI127" s="207">
        <f t="shared" si="516"/>
        <v>2</v>
      </c>
      <c r="HJ127" s="144">
        <f t="shared" si="517"/>
        <v>265101.71245252684</v>
      </c>
      <c r="HK127" s="138">
        <f t="shared" si="354"/>
        <v>0.25</v>
      </c>
      <c r="HL127" s="116">
        <f t="shared" si="518"/>
        <v>2175570</v>
      </c>
      <c r="HM127" s="2">
        <f t="shared" si="355"/>
        <v>1.5748031496062995E-2</v>
      </c>
      <c r="HN127" s="8">
        <f t="shared" si="519"/>
        <v>1.5909449328</v>
      </c>
      <c r="HO127" s="116">
        <f t="shared" si="520"/>
        <v>2610.6840000000002</v>
      </c>
      <c r="HP127" s="217">
        <f t="shared" si="521"/>
        <v>6.396530744222785</v>
      </c>
      <c r="HQ127" s="207">
        <f t="shared" si="522"/>
        <v>2</v>
      </c>
      <c r="HR127" s="144">
        <f t="shared" si="523"/>
        <v>265101.71245252684</v>
      </c>
      <c r="HS127" s="128">
        <f t="shared" si="524"/>
        <v>0.25</v>
      </c>
      <c r="HT127" s="2">
        <f t="shared" si="525"/>
        <v>1.5748031496062995E-2</v>
      </c>
      <c r="HU127" s="127">
        <f t="shared" si="526"/>
        <v>1.5748031496062995E-2</v>
      </c>
      <c r="HV127" s="216">
        <f t="shared" si="527"/>
        <v>0</v>
      </c>
      <c r="HW127" s="138">
        <f t="shared" si="528"/>
        <v>0</v>
      </c>
      <c r="HX127" s="138">
        <f t="shared" si="529"/>
        <v>0.25</v>
      </c>
      <c r="HY127" s="238">
        <f t="shared" si="530"/>
        <v>0</v>
      </c>
      <c r="HZ127" s="138">
        <f t="shared" si="531"/>
        <v>0</v>
      </c>
      <c r="IA127" s="138">
        <f t="shared" si="532"/>
        <v>0</v>
      </c>
      <c r="IB127" s="138">
        <f t="shared" si="533"/>
        <v>0.25</v>
      </c>
      <c r="IC127" s="138">
        <f t="shared" si="534"/>
        <v>0</v>
      </c>
      <c r="ID127" s="216">
        <f t="shared" si="535"/>
        <v>0</v>
      </c>
      <c r="IE127" s="138">
        <f t="shared" si="536"/>
        <v>0</v>
      </c>
      <c r="IF127" s="138">
        <f t="shared" si="537"/>
        <v>1.5748031496062995E-2</v>
      </c>
      <c r="IG127" s="238">
        <f t="shared" si="538"/>
        <v>0</v>
      </c>
      <c r="IH127" s="138">
        <f t="shared" si="539"/>
        <v>0</v>
      </c>
      <c r="II127" s="138">
        <f t="shared" si="540"/>
        <v>0</v>
      </c>
      <c r="IJ127" s="138">
        <f t="shared" si="541"/>
        <v>1.5748031496062995E-2</v>
      </c>
      <c r="IK127" s="138">
        <f t="shared" si="542"/>
        <v>0</v>
      </c>
      <c r="IL127" s="216">
        <f t="shared" si="543"/>
        <v>0</v>
      </c>
      <c r="IM127" s="138">
        <f t="shared" si="544"/>
        <v>0</v>
      </c>
      <c r="IN127" s="138">
        <f t="shared" si="545"/>
        <v>1.5748031496062995E-2</v>
      </c>
      <c r="IO127" s="238">
        <f t="shared" si="546"/>
        <v>0</v>
      </c>
      <c r="IP127" s="138">
        <f t="shared" si="547"/>
        <v>0</v>
      </c>
      <c r="IQ127" s="138">
        <f t="shared" si="548"/>
        <v>0</v>
      </c>
      <c r="IR127" s="138">
        <f t="shared" si="549"/>
        <v>1.5748031496062995E-2</v>
      </c>
      <c r="IS127" s="138">
        <f t="shared" si="550"/>
        <v>0</v>
      </c>
      <c r="IT127" s="17">
        <f t="shared" si="551"/>
        <v>0.25</v>
      </c>
      <c r="IU127" s="17">
        <f t="shared" si="552"/>
        <v>1.5748031496062995E-2</v>
      </c>
      <c r="IV127" s="17">
        <f t="shared" si="553"/>
        <v>1.5748031496062995E-2</v>
      </c>
      <c r="IW127" s="253">
        <f t="shared" si="554"/>
        <v>8.8385829600000001</v>
      </c>
      <c r="IX127" s="116">
        <f t="shared" si="356"/>
        <v>59.088224443954154</v>
      </c>
      <c r="IY127" s="8">
        <f t="shared" si="357"/>
        <v>1.5277433614971805E-3</v>
      </c>
      <c r="IZ127" s="8">
        <f t="shared" si="555"/>
        <v>1.5277433614971805E-3</v>
      </c>
      <c r="JA127" s="8">
        <f t="shared" si="556"/>
        <v>7.6387168074859026E-4</v>
      </c>
      <c r="JB127" s="134">
        <f t="shared" si="557"/>
        <v>2.763822861090396E-2</v>
      </c>
      <c r="JC127" s="170">
        <f t="shared" si="311"/>
        <v>1.118139342754408E-3</v>
      </c>
      <c r="JD127" s="272">
        <f t="shared" si="312"/>
        <v>3.3438590621532004E-2</v>
      </c>
      <c r="JE127" s="8"/>
      <c r="JF127" s="8"/>
    </row>
    <row r="128" spans="1:266" x14ac:dyDescent="0.25">
      <c r="A128" s="186">
        <v>68</v>
      </c>
      <c r="B128" s="187">
        <f>A128/100*'Inputs-Imperial'!$E$5</f>
        <v>6.6929136000000007</v>
      </c>
      <c r="C128" s="188">
        <f>'Inputs-Imperial'!$E$10+('Inputs-Imperial'!$E$9-'Inputs-Imperial'!$E$10)*(100-A128)/100</f>
        <v>1.4632546399999999</v>
      </c>
      <c r="D128" s="187">
        <f t="shared" si="558"/>
        <v>9.8425200000000324E-2</v>
      </c>
      <c r="E128" s="188">
        <f t="shared" si="559"/>
        <v>0.14450550659268047</v>
      </c>
      <c r="F128" s="423">
        <f>Loads!P88</f>
        <v>27.937224571860721</v>
      </c>
      <c r="G128" s="423">
        <f>Loads!M88</f>
        <v>279.37224571860719</v>
      </c>
      <c r="H128" s="423">
        <f>Loads!N88</f>
        <v>406.62183495244722</v>
      </c>
      <c r="I128" s="423">
        <f>Loads!V88</f>
        <v>-186.0838398744242</v>
      </c>
      <c r="J128" s="423">
        <f>Loads!Q88</f>
        <v>40.662183495244712</v>
      </c>
      <c r="K128" s="2">
        <v>68</v>
      </c>
      <c r="L128" s="12">
        <f t="shared" si="358"/>
        <v>80.314963200000008</v>
      </c>
      <c r="M128" s="11">
        <f t="shared" si="359"/>
        <v>17.55905568</v>
      </c>
      <c r="N128" s="11">
        <f t="shared" si="360"/>
        <v>1.1811024000000039</v>
      </c>
      <c r="O128" s="152">
        <f t="shared" si="361"/>
        <v>20.808792949345985</v>
      </c>
      <c r="P128" s="151">
        <f t="shared" si="362"/>
        <v>27.937224571860721</v>
      </c>
      <c r="Q128" s="12">
        <f t="shared" si="363"/>
        <v>279.37224571860719</v>
      </c>
      <c r="R128" s="12">
        <f t="shared" si="364"/>
        <v>4879.4620194293666</v>
      </c>
      <c r="S128" s="12">
        <f t="shared" si="365"/>
        <v>-2233.0060784930902</v>
      </c>
      <c r="T128" s="152">
        <f t="shared" si="366"/>
        <v>487.94620194293657</v>
      </c>
      <c r="U128" s="8">
        <f t="shared" si="313"/>
        <v>3.1606300223999999</v>
      </c>
      <c r="V128" s="8">
        <f t="shared" si="314"/>
        <v>3.1606300223999999</v>
      </c>
      <c r="W128" s="134">
        <f t="shared" si="315"/>
        <v>1.5803150112</v>
      </c>
      <c r="X128" s="311">
        <f t="shared" si="316"/>
        <v>4.38976392</v>
      </c>
      <c r="Y128" s="11">
        <f t="shared" si="317"/>
        <v>13.16929176</v>
      </c>
      <c r="Z128" s="11">
        <f t="shared" si="318"/>
        <v>8.7795278400000001</v>
      </c>
      <c r="AA128" s="316">
        <f t="shared" si="367"/>
        <v>13.16929176</v>
      </c>
      <c r="AB128" s="170">
        <f t="shared" si="368"/>
        <v>2.3704725168</v>
      </c>
      <c r="AC128" s="11">
        <f t="shared" si="369"/>
        <v>13.16929176</v>
      </c>
      <c r="AD128" s="152">
        <f t="shared" si="370"/>
        <v>24.518123327134028</v>
      </c>
      <c r="AE128" s="151">
        <f t="shared" si="319"/>
        <v>2.1213915737455511</v>
      </c>
      <c r="AF128" s="12">
        <f t="shared" si="320"/>
        <v>45.537867003504275</v>
      </c>
      <c r="AG128" s="216">
        <f t="shared" si="321"/>
        <v>3.1224361767627552E-3</v>
      </c>
      <c r="AH128" s="2">
        <f t="shared" si="371"/>
        <v>1</v>
      </c>
      <c r="AI128" s="2">
        <f t="shared" si="372"/>
        <v>3</v>
      </c>
      <c r="AJ128" s="127">
        <f t="shared" si="373"/>
        <v>2</v>
      </c>
      <c r="AK128" s="2">
        <f t="shared" si="374"/>
        <v>1.5748031496062995E-2</v>
      </c>
      <c r="AL128" s="8">
        <f t="shared" si="322"/>
        <v>3.2859842646237418E-2</v>
      </c>
      <c r="AM128" s="138">
        <f t="shared" si="375"/>
        <v>0.25</v>
      </c>
      <c r="AN128" s="12">
        <f t="shared" si="323"/>
        <v>2723.7266276898267</v>
      </c>
      <c r="AO128" s="138">
        <f t="shared" si="376"/>
        <v>0.25</v>
      </c>
      <c r="AP128" s="116">
        <f t="shared" si="377"/>
        <v>2175570</v>
      </c>
      <c r="AQ128" s="2">
        <f t="shared" si="378"/>
        <v>1.5748031496062995E-2</v>
      </c>
      <c r="AR128" s="8">
        <f t="shared" si="379"/>
        <v>8.7795278400000001</v>
      </c>
      <c r="AS128" s="116">
        <f t="shared" si="380"/>
        <v>2610.6840000000002</v>
      </c>
      <c r="AT128" s="217">
        <f t="shared" si="381"/>
        <v>0.21004505733043227</v>
      </c>
      <c r="AU128" s="207">
        <f t="shared" si="382"/>
        <v>3.0423562067895218</v>
      </c>
      <c r="AV128" s="144">
        <f t="shared" si="383"/>
        <v>13242.21312310223</v>
      </c>
      <c r="AW128" s="138">
        <f t="shared" si="384"/>
        <v>0.25</v>
      </c>
      <c r="AX128" s="116">
        <f t="shared" si="385"/>
        <v>2175570</v>
      </c>
      <c r="AY128" s="2">
        <f t="shared" si="386"/>
        <v>1.5748031496062995E-2</v>
      </c>
      <c r="AZ128" s="8">
        <f t="shared" si="387"/>
        <v>8.7795278400000001</v>
      </c>
      <c r="BA128" s="116">
        <f t="shared" si="388"/>
        <v>2610.6840000000002</v>
      </c>
      <c r="BB128" s="217">
        <f t="shared" si="389"/>
        <v>0.21004505733043227</v>
      </c>
      <c r="BC128" s="207">
        <f t="shared" si="390"/>
        <v>3.0423562067895218</v>
      </c>
      <c r="BD128" s="144">
        <f t="shared" si="391"/>
        <v>13242.21312310223</v>
      </c>
      <c r="BE128" s="138">
        <f t="shared" si="392"/>
        <v>0.25</v>
      </c>
      <c r="BF128" s="116">
        <f t="shared" si="393"/>
        <v>2175570</v>
      </c>
      <c r="BG128" s="2">
        <f t="shared" si="394"/>
        <v>1.5748031496062995E-2</v>
      </c>
      <c r="BH128" s="8">
        <f t="shared" si="395"/>
        <v>8.7795278400000001</v>
      </c>
      <c r="BI128" s="116">
        <f t="shared" si="396"/>
        <v>2610.6840000000002</v>
      </c>
      <c r="BJ128" s="217">
        <f t="shared" si="397"/>
        <v>0.21004505733043227</v>
      </c>
      <c r="BK128" s="207">
        <f t="shared" si="398"/>
        <v>3.0423562067895218</v>
      </c>
      <c r="BL128" s="144">
        <f t="shared" si="399"/>
        <v>13242.21312310223</v>
      </c>
      <c r="BM128" s="216">
        <f t="shared" si="400"/>
        <v>0.25</v>
      </c>
      <c r="BN128" s="216">
        <f t="shared" si="401"/>
        <v>2.3622047244094495E-2</v>
      </c>
      <c r="BO128" s="238">
        <f t="shared" si="402"/>
        <v>1.5748031496062995E-2</v>
      </c>
      <c r="BP128" s="216">
        <f t="shared" si="403"/>
        <v>0</v>
      </c>
      <c r="BQ128" s="138">
        <f t="shared" si="404"/>
        <v>0</v>
      </c>
      <c r="BR128" s="138">
        <f t="shared" si="405"/>
        <v>0.25</v>
      </c>
      <c r="BS128" s="238">
        <f t="shared" si="406"/>
        <v>0</v>
      </c>
      <c r="BT128" s="138">
        <f t="shared" si="407"/>
        <v>0</v>
      </c>
      <c r="BU128" s="138">
        <f t="shared" si="408"/>
        <v>0</v>
      </c>
      <c r="BV128" s="138">
        <f t="shared" si="409"/>
        <v>0.25</v>
      </c>
      <c r="BW128" s="238">
        <f t="shared" si="410"/>
        <v>0</v>
      </c>
      <c r="BX128" s="216">
        <f t="shared" si="411"/>
        <v>0</v>
      </c>
      <c r="BY128" s="138">
        <f t="shared" si="412"/>
        <v>0</v>
      </c>
      <c r="BZ128" s="138">
        <f t="shared" si="413"/>
        <v>2.3622047244094495E-2</v>
      </c>
      <c r="CA128" s="238">
        <f t="shared" si="414"/>
        <v>0</v>
      </c>
      <c r="CB128" s="138">
        <f t="shared" si="415"/>
        <v>0</v>
      </c>
      <c r="CC128" s="138">
        <f t="shared" si="416"/>
        <v>0</v>
      </c>
      <c r="CD128" s="138">
        <f t="shared" si="417"/>
        <v>2.3622047244094495E-2</v>
      </c>
      <c r="CE128" s="238">
        <f t="shared" si="418"/>
        <v>0</v>
      </c>
      <c r="CF128" s="216">
        <f t="shared" si="419"/>
        <v>0</v>
      </c>
      <c r="CG128" s="138">
        <f t="shared" si="420"/>
        <v>0</v>
      </c>
      <c r="CH128" s="138">
        <f t="shared" si="421"/>
        <v>1.5748031496062995E-2</v>
      </c>
      <c r="CI128" s="238">
        <f t="shared" si="422"/>
        <v>0</v>
      </c>
      <c r="CJ128" s="138">
        <f t="shared" si="423"/>
        <v>0</v>
      </c>
      <c r="CK128" s="138">
        <f t="shared" si="424"/>
        <v>0</v>
      </c>
      <c r="CL128" s="138">
        <f t="shared" si="425"/>
        <v>1.5748031496062995E-2</v>
      </c>
      <c r="CM128" s="238">
        <f t="shared" si="426"/>
        <v>0</v>
      </c>
      <c r="CN128" s="17">
        <f t="shared" si="427"/>
        <v>0.25</v>
      </c>
      <c r="CO128" s="17">
        <f t="shared" si="428"/>
        <v>2.3622047244094495E-2</v>
      </c>
      <c r="CP128" s="17">
        <f t="shared" si="429"/>
        <v>1.5748031496062995E-2</v>
      </c>
      <c r="CQ128" s="17">
        <f>$U128-IF('Inputs-Imperial'!$E$13,0,2)*($CO128+$CN128+$CP128)</f>
        <v>3.1606300223999999</v>
      </c>
      <c r="CR128" s="116">
        <f t="shared" si="430"/>
        <v>1543.8257514633697</v>
      </c>
      <c r="CS128" s="8">
        <f t="shared" si="324"/>
        <v>3.9916067292624251E-2</v>
      </c>
      <c r="CT128" s="8">
        <f t="shared" si="431"/>
        <v>0.19979005804249683</v>
      </c>
      <c r="CU128" s="8">
        <f t="shared" si="325"/>
        <v>3.9916067292624251E-2</v>
      </c>
      <c r="CV128" s="8">
        <f t="shared" si="432"/>
        <v>0.19979005804249683</v>
      </c>
      <c r="CW128" s="216">
        <f t="shared" si="433"/>
        <v>2.9608399643575027</v>
      </c>
      <c r="CX128" s="116">
        <f t="shared" si="434"/>
        <v>1647.9992428392534</v>
      </c>
      <c r="CY128" s="8">
        <f t="shared" si="435"/>
        <v>4.2609503444939946E-2</v>
      </c>
      <c r="CZ128" s="8">
        <f t="shared" si="436"/>
        <v>0.20642069529225976</v>
      </c>
      <c r="DA128" s="8">
        <f t="shared" si="437"/>
        <v>4.2609503444939946E-2</v>
      </c>
      <c r="DB128" s="8">
        <f t="shared" si="438"/>
        <v>0.20642069529225976</v>
      </c>
      <c r="DC128" s="216">
        <f t="shared" si="439"/>
        <v>2.9542093271077401</v>
      </c>
      <c r="DD128" s="116">
        <f t="shared" si="440"/>
        <v>1651.6981293964388</v>
      </c>
      <c r="DE128" s="8">
        <f t="shared" si="441"/>
        <v>4.2705139241003359E-2</v>
      </c>
      <c r="DF128" s="8">
        <f t="shared" si="442"/>
        <v>0.20665221808875742</v>
      </c>
      <c r="DG128" s="8">
        <f t="shared" si="443"/>
        <v>4.2705139241003359E-2</v>
      </c>
      <c r="DH128" s="8">
        <f t="shared" si="444"/>
        <v>0.20665221808875742</v>
      </c>
      <c r="DI128" s="216">
        <f t="shared" si="445"/>
        <v>2.9539778043112421</v>
      </c>
      <c r="DJ128" s="116">
        <f t="shared" si="446"/>
        <v>1651.8275839134396</v>
      </c>
      <c r="DK128" s="8">
        <f t="shared" si="447"/>
        <v>4.2708486325482964E-2</v>
      </c>
      <c r="DL128" s="8">
        <f t="shared" si="448"/>
        <v>0.20666031628129036</v>
      </c>
      <c r="DM128" s="8">
        <f t="shared" si="449"/>
        <v>4.2708486325482964E-2</v>
      </c>
      <c r="DN128" s="8">
        <f t="shared" si="450"/>
        <v>0.20666031628129036</v>
      </c>
      <c r="DO128" s="216">
        <f t="shared" si="451"/>
        <v>2.9539697061187096</v>
      </c>
      <c r="DP128" s="116">
        <f t="shared" si="452"/>
        <v>1651.8321123342212</v>
      </c>
      <c r="DQ128" s="170">
        <f t="shared" si="453"/>
        <v>4.2708603409129534E-2</v>
      </c>
      <c r="DR128" s="8">
        <f t="shared" si="454"/>
        <v>0.20666059955668747</v>
      </c>
      <c r="DS128" s="8">
        <f t="shared" si="455"/>
        <v>4.2708603409129534E-2</v>
      </c>
      <c r="DT128" s="134">
        <f t="shared" si="456"/>
        <v>0.20666059955668747</v>
      </c>
      <c r="DU128" s="170">
        <f t="shared" si="310"/>
        <v>6.7368736237725546E-2</v>
      </c>
      <c r="DV128" s="170">
        <f t="shared" si="310"/>
        <v>0.25955488097457452</v>
      </c>
      <c r="DW128" s="170">
        <f t="shared" si="310"/>
        <v>6.7368736237725546E-2</v>
      </c>
      <c r="DX128" s="272">
        <f t="shared" si="310"/>
        <v>0.25955488097457452</v>
      </c>
      <c r="DY128" s="272">
        <f t="shared" si="457"/>
        <v>2.6415202604508505</v>
      </c>
      <c r="DZ128" s="22">
        <f t="shared" si="326"/>
        <v>88.391315572731301</v>
      </c>
      <c r="EA128" s="216">
        <f t="shared" si="327"/>
        <v>5.791030949602231E-3</v>
      </c>
      <c r="EB128" s="12">
        <f t="shared" si="458"/>
        <v>1</v>
      </c>
      <c r="EC128" s="7">
        <f>ROUND(MAX(DV128,DX128)/'Inputs-Imperial'!$E$21,0)</f>
        <v>2</v>
      </c>
      <c r="ED128" s="12">
        <f t="shared" si="459"/>
        <v>2</v>
      </c>
      <c r="EE128" s="2">
        <f t="shared" si="460"/>
        <v>2</v>
      </c>
      <c r="EF128" s="127">
        <f t="shared" si="461"/>
        <v>2</v>
      </c>
      <c r="EG128" s="2">
        <f t="shared" si="462"/>
        <v>1.5748031496062995E-2</v>
      </c>
      <c r="EH128" s="8">
        <f t="shared" si="328"/>
        <v>6.0943556566369704E-2</v>
      </c>
      <c r="EI128" s="138">
        <f t="shared" si="463"/>
        <v>0.25</v>
      </c>
      <c r="EJ128" s="12">
        <f t="shared" si="329"/>
        <v>5051.5636849815928</v>
      </c>
      <c r="EK128" s="138">
        <f t="shared" si="464"/>
        <v>0.25</v>
      </c>
      <c r="EL128" s="116">
        <f t="shared" si="465"/>
        <v>2175570</v>
      </c>
      <c r="EM128" s="2">
        <f t="shared" si="330"/>
        <v>1.5748031496062995E-2</v>
      </c>
      <c r="EN128" s="8">
        <f t="shared" si="466"/>
        <v>3.1606300223999999</v>
      </c>
      <c r="EO128" s="116">
        <f t="shared" si="467"/>
        <v>2610.6840000000002</v>
      </c>
      <c r="EP128" s="217">
        <f t="shared" si="468"/>
        <v>1.6207180349570391</v>
      </c>
      <c r="EQ128" s="207">
        <f t="shared" si="469"/>
        <v>2</v>
      </c>
      <c r="ER128" s="144">
        <f t="shared" si="470"/>
        <v>67170.024447683798</v>
      </c>
      <c r="ES128" s="138">
        <f t="shared" si="331"/>
        <v>0.25</v>
      </c>
      <c r="ET128" s="116">
        <f t="shared" si="471"/>
        <v>2175570</v>
      </c>
      <c r="EU128" s="2">
        <f t="shared" si="332"/>
        <v>1.5748031496062995E-2</v>
      </c>
      <c r="EV128" s="8">
        <f t="shared" si="472"/>
        <v>3.1606300223999999</v>
      </c>
      <c r="EW128" s="116">
        <f t="shared" si="473"/>
        <v>2610.6840000000002</v>
      </c>
      <c r="EX128" s="217">
        <f t="shared" si="474"/>
        <v>1.6207180349570391</v>
      </c>
      <c r="EY128" s="207">
        <f t="shared" si="475"/>
        <v>2</v>
      </c>
      <c r="EZ128" s="144">
        <f t="shared" si="476"/>
        <v>67170.024447683798</v>
      </c>
      <c r="FA128" s="138">
        <f t="shared" si="333"/>
        <v>0.25</v>
      </c>
      <c r="FB128" s="116">
        <f t="shared" si="477"/>
        <v>2175570</v>
      </c>
      <c r="FC128" s="2">
        <f t="shared" si="334"/>
        <v>1.5748031496062995E-2</v>
      </c>
      <c r="FD128" s="8">
        <f t="shared" si="478"/>
        <v>3.1606300223999999</v>
      </c>
      <c r="FE128" s="116">
        <f t="shared" si="479"/>
        <v>2610.6840000000002</v>
      </c>
      <c r="FF128" s="217">
        <f t="shared" si="480"/>
        <v>1.6207180349570391</v>
      </c>
      <c r="FG128" s="207">
        <f t="shared" si="481"/>
        <v>2</v>
      </c>
      <c r="FH128" s="144">
        <f t="shared" si="482"/>
        <v>67170.024447683798</v>
      </c>
      <c r="FI128" s="128">
        <f t="shared" si="483"/>
        <v>0.25</v>
      </c>
      <c r="FJ128" s="2">
        <f t="shared" si="484"/>
        <v>1.5748031496062995E-2</v>
      </c>
      <c r="FK128" s="127">
        <f t="shared" si="485"/>
        <v>1.5748031496062995E-2</v>
      </c>
      <c r="FL128" s="216">
        <f t="shared" si="486"/>
        <v>0</v>
      </c>
      <c r="FM128" s="138">
        <f t="shared" si="487"/>
        <v>0</v>
      </c>
      <c r="FN128" s="138">
        <f t="shared" si="488"/>
        <v>0.25</v>
      </c>
      <c r="FO128" s="238">
        <f t="shared" si="489"/>
        <v>0</v>
      </c>
      <c r="FP128" s="216">
        <f t="shared" si="335"/>
        <v>0</v>
      </c>
      <c r="FQ128" s="138">
        <f t="shared" si="336"/>
        <v>0</v>
      </c>
      <c r="FR128" s="138">
        <f t="shared" si="337"/>
        <v>0.25</v>
      </c>
      <c r="FS128" s="238">
        <f t="shared" si="338"/>
        <v>0</v>
      </c>
      <c r="FT128" s="216">
        <f t="shared" si="490"/>
        <v>0</v>
      </c>
      <c r="FU128" s="138">
        <f t="shared" si="491"/>
        <v>0</v>
      </c>
      <c r="FV128" s="138">
        <f t="shared" si="492"/>
        <v>1.5748031496062995E-2</v>
      </c>
      <c r="FW128" s="238">
        <f t="shared" si="493"/>
        <v>0</v>
      </c>
      <c r="FX128" s="216">
        <f t="shared" si="339"/>
        <v>0</v>
      </c>
      <c r="FY128" s="138">
        <f t="shared" si="340"/>
        <v>0</v>
      </c>
      <c r="FZ128" s="138">
        <f t="shared" si="341"/>
        <v>1.5748031496062995E-2</v>
      </c>
      <c r="GA128" s="238">
        <f t="shared" si="342"/>
        <v>0</v>
      </c>
      <c r="GB128" s="216">
        <f t="shared" si="494"/>
        <v>0</v>
      </c>
      <c r="GC128" s="138">
        <f t="shared" si="495"/>
        <v>0</v>
      </c>
      <c r="GD128" s="138">
        <f t="shared" si="496"/>
        <v>1.5748031496062995E-2</v>
      </c>
      <c r="GE128" s="238">
        <f t="shared" si="497"/>
        <v>0</v>
      </c>
      <c r="GF128" s="216">
        <f t="shared" si="343"/>
        <v>0</v>
      </c>
      <c r="GG128" s="138">
        <f t="shared" si="344"/>
        <v>0</v>
      </c>
      <c r="GH128" s="138">
        <f t="shared" si="345"/>
        <v>1.5748031496062995E-2</v>
      </c>
      <c r="GI128" s="238">
        <f t="shared" si="346"/>
        <v>0</v>
      </c>
      <c r="GJ128" s="216">
        <f t="shared" si="498"/>
        <v>0.25</v>
      </c>
      <c r="GK128" s="216">
        <f t="shared" si="499"/>
        <v>1.5748031496062995E-2</v>
      </c>
      <c r="GL128" s="17">
        <f t="shared" si="500"/>
        <v>1.5748031496062995E-2</v>
      </c>
      <c r="GM128" s="216">
        <f t="shared" si="347"/>
        <v>2.9834514339723019E-3</v>
      </c>
      <c r="GN128" s="2">
        <f t="shared" si="501"/>
        <v>1</v>
      </c>
      <c r="GO128" s="2">
        <f t="shared" si="502"/>
        <v>2</v>
      </c>
      <c r="GP128" s="142">
        <f t="shared" si="503"/>
        <v>2</v>
      </c>
      <c r="GQ128" s="2">
        <f t="shared" si="504"/>
        <v>1.5748031496062995E-2</v>
      </c>
      <c r="GR128" s="8">
        <f t="shared" si="348"/>
        <v>3.1397197288644541E-2</v>
      </c>
      <c r="GS128" s="138">
        <f t="shared" si="505"/>
        <v>0.25</v>
      </c>
      <c r="GT128" s="12">
        <f t="shared" si="349"/>
        <v>2602.4890992502687</v>
      </c>
      <c r="GU128" s="138">
        <f t="shared" si="506"/>
        <v>0.25</v>
      </c>
      <c r="GV128" s="116">
        <f t="shared" si="507"/>
        <v>2175570</v>
      </c>
      <c r="GW128" s="2">
        <f t="shared" si="350"/>
        <v>1.5748031496062995E-2</v>
      </c>
      <c r="GX128" s="8">
        <f t="shared" si="351"/>
        <v>1.5803150112</v>
      </c>
      <c r="GY128" s="116">
        <f t="shared" si="508"/>
        <v>2610.6840000000002</v>
      </c>
      <c r="GZ128" s="217">
        <f t="shared" si="509"/>
        <v>6.4828721398281566</v>
      </c>
      <c r="HA128" s="207">
        <f t="shared" si="510"/>
        <v>2</v>
      </c>
      <c r="HB128" s="144">
        <f t="shared" si="511"/>
        <v>268680.09779073519</v>
      </c>
      <c r="HC128" s="138">
        <f t="shared" si="352"/>
        <v>0.25</v>
      </c>
      <c r="HD128" s="116">
        <f t="shared" si="512"/>
        <v>2175570</v>
      </c>
      <c r="HE128" s="2">
        <f t="shared" si="353"/>
        <v>1.5748031496062995E-2</v>
      </c>
      <c r="HF128" s="8">
        <f t="shared" si="513"/>
        <v>1.5803150112</v>
      </c>
      <c r="HG128" s="116">
        <f t="shared" si="514"/>
        <v>2610.6840000000002</v>
      </c>
      <c r="HH128" s="217">
        <f t="shared" si="515"/>
        <v>6.4828721398281566</v>
      </c>
      <c r="HI128" s="207">
        <f t="shared" si="516"/>
        <v>2</v>
      </c>
      <c r="HJ128" s="144">
        <f t="shared" si="517"/>
        <v>268680.09779073519</v>
      </c>
      <c r="HK128" s="138">
        <f t="shared" si="354"/>
        <v>0.25</v>
      </c>
      <c r="HL128" s="116">
        <f t="shared" si="518"/>
        <v>2175570</v>
      </c>
      <c r="HM128" s="2">
        <f t="shared" si="355"/>
        <v>1.5748031496062995E-2</v>
      </c>
      <c r="HN128" s="8">
        <f t="shared" si="519"/>
        <v>1.5803150112</v>
      </c>
      <c r="HO128" s="116">
        <f t="shared" si="520"/>
        <v>2610.6840000000002</v>
      </c>
      <c r="HP128" s="217">
        <f t="shared" si="521"/>
        <v>6.4828721398281566</v>
      </c>
      <c r="HQ128" s="207">
        <f t="shared" si="522"/>
        <v>2</v>
      </c>
      <c r="HR128" s="144">
        <f t="shared" si="523"/>
        <v>268680.09779073519</v>
      </c>
      <c r="HS128" s="128">
        <f t="shared" si="524"/>
        <v>0.25</v>
      </c>
      <c r="HT128" s="2">
        <f t="shared" si="525"/>
        <v>1.5748031496062995E-2</v>
      </c>
      <c r="HU128" s="127">
        <f t="shared" si="526"/>
        <v>1.5748031496062995E-2</v>
      </c>
      <c r="HV128" s="216">
        <f t="shared" si="527"/>
        <v>0</v>
      </c>
      <c r="HW128" s="138">
        <f t="shared" si="528"/>
        <v>0</v>
      </c>
      <c r="HX128" s="138">
        <f t="shared" si="529"/>
        <v>0.25</v>
      </c>
      <c r="HY128" s="238">
        <f t="shared" si="530"/>
        <v>0</v>
      </c>
      <c r="HZ128" s="138">
        <f t="shared" si="531"/>
        <v>0</v>
      </c>
      <c r="IA128" s="138">
        <f t="shared" si="532"/>
        <v>0</v>
      </c>
      <c r="IB128" s="138">
        <f t="shared" si="533"/>
        <v>0.25</v>
      </c>
      <c r="IC128" s="138">
        <f t="shared" si="534"/>
        <v>0</v>
      </c>
      <c r="ID128" s="216">
        <f t="shared" si="535"/>
        <v>0</v>
      </c>
      <c r="IE128" s="138">
        <f t="shared" si="536"/>
        <v>0</v>
      </c>
      <c r="IF128" s="138">
        <f t="shared" si="537"/>
        <v>1.5748031496062995E-2</v>
      </c>
      <c r="IG128" s="238">
        <f t="shared" si="538"/>
        <v>0</v>
      </c>
      <c r="IH128" s="138">
        <f t="shared" si="539"/>
        <v>0</v>
      </c>
      <c r="II128" s="138">
        <f t="shared" si="540"/>
        <v>0</v>
      </c>
      <c r="IJ128" s="138">
        <f t="shared" si="541"/>
        <v>1.5748031496062995E-2</v>
      </c>
      <c r="IK128" s="138">
        <f t="shared" si="542"/>
        <v>0</v>
      </c>
      <c r="IL128" s="216">
        <f t="shared" si="543"/>
        <v>0</v>
      </c>
      <c r="IM128" s="138">
        <f t="shared" si="544"/>
        <v>0</v>
      </c>
      <c r="IN128" s="138">
        <f t="shared" si="545"/>
        <v>1.5748031496062995E-2</v>
      </c>
      <c r="IO128" s="238">
        <f t="shared" si="546"/>
        <v>0</v>
      </c>
      <c r="IP128" s="138">
        <f t="shared" si="547"/>
        <v>0</v>
      </c>
      <c r="IQ128" s="138">
        <f t="shared" si="548"/>
        <v>0</v>
      </c>
      <c r="IR128" s="138">
        <f t="shared" si="549"/>
        <v>1.5748031496062995E-2</v>
      </c>
      <c r="IS128" s="138">
        <f t="shared" si="550"/>
        <v>0</v>
      </c>
      <c r="IT128" s="17">
        <f t="shared" si="551"/>
        <v>0.25</v>
      </c>
      <c r="IU128" s="17">
        <f t="shared" si="552"/>
        <v>1.5748031496062995E-2</v>
      </c>
      <c r="IV128" s="17">
        <f t="shared" si="553"/>
        <v>1.5748031496062995E-2</v>
      </c>
      <c r="IW128" s="253">
        <f t="shared" si="554"/>
        <v>8.7795278400000001</v>
      </c>
      <c r="IX128" s="116">
        <f t="shared" si="356"/>
        <v>55.577727052681297</v>
      </c>
      <c r="IY128" s="8">
        <f t="shared" si="357"/>
        <v>1.4369784225344727E-3</v>
      </c>
      <c r="IZ128" s="8">
        <f t="shared" si="555"/>
        <v>1.4369784225344727E-3</v>
      </c>
      <c r="JA128" s="8">
        <f t="shared" si="556"/>
        <v>7.1848921126723634E-4</v>
      </c>
      <c r="JB128" s="134">
        <f t="shared" si="557"/>
        <v>2.6804649060699084E-2</v>
      </c>
      <c r="JC128" s="170">
        <f t="shared" si="311"/>
        <v>1.118139342754408E-3</v>
      </c>
      <c r="JD128" s="272">
        <f t="shared" si="312"/>
        <v>3.3438590621532004E-2</v>
      </c>
      <c r="JE128" s="8"/>
      <c r="JF128" s="8"/>
    </row>
    <row r="129" spans="1:266" x14ac:dyDescent="0.25">
      <c r="A129" s="186">
        <v>69</v>
      </c>
      <c r="B129" s="187">
        <f>A129/100*'Inputs-Imperial'!$E$5</f>
        <v>6.7913388000000001</v>
      </c>
      <c r="C129" s="188">
        <f>'Inputs-Imperial'!$E$10+('Inputs-Imperial'!$E$9-'Inputs-Imperial'!$E$10)*(100-A129)/100</f>
        <v>1.4534121199999999</v>
      </c>
      <c r="D129" s="187">
        <f t="shared" si="558"/>
        <v>9.8425199999999435E-2</v>
      </c>
      <c r="E129" s="188">
        <f t="shared" si="559"/>
        <v>0.14353675459317516</v>
      </c>
      <c r="F129" s="423">
        <f>Loads!P89</f>
        <v>26.836136177302233</v>
      </c>
      <c r="G129" s="423">
        <f>Loads!M89</f>
        <v>268.36136177302234</v>
      </c>
      <c r="H129" s="423">
        <f>Loads!N89</f>
        <v>379.12456579314431</v>
      </c>
      <c r="I129" s="423">
        <f>Loads!V89</f>
        <v>-177.10525044034154</v>
      </c>
      <c r="J129" s="423">
        <f>Loads!Q89</f>
        <v>37.912456579314423</v>
      </c>
      <c r="K129" s="2">
        <v>69</v>
      </c>
      <c r="L129" s="12">
        <f t="shared" si="358"/>
        <v>81.496065600000009</v>
      </c>
      <c r="M129" s="11">
        <f t="shared" si="359"/>
        <v>17.44094544</v>
      </c>
      <c r="N129" s="11">
        <f t="shared" si="360"/>
        <v>1.1811023999999932</v>
      </c>
      <c r="O129" s="152">
        <f t="shared" si="361"/>
        <v>20.669292661417224</v>
      </c>
      <c r="P129" s="151">
        <f t="shared" si="362"/>
        <v>26.836136177302233</v>
      </c>
      <c r="Q129" s="12">
        <f t="shared" si="363"/>
        <v>268.36136177302234</v>
      </c>
      <c r="R129" s="12">
        <f t="shared" si="364"/>
        <v>4549.494789517732</v>
      </c>
      <c r="S129" s="12">
        <f t="shared" si="365"/>
        <v>-2125.2630052840987</v>
      </c>
      <c r="T129" s="152">
        <f t="shared" si="366"/>
        <v>454.94947895177307</v>
      </c>
      <c r="U129" s="8">
        <f t="shared" si="313"/>
        <v>3.1393701791999997</v>
      </c>
      <c r="V129" s="8">
        <f t="shared" si="314"/>
        <v>3.1393701791999997</v>
      </c>
      <c r="W129" s="134">
        <f t="shared" si="315"/>
        <v>1.5696850895999999</v>
      </c>
      <c r="X129" s="311">
        <f t="shared" si="316"/>
        <v>4.36023636</v>
      </c>
      <c r="Y129" s="11">
        <f t="shared" si="317"/>
        <v>13.08070908</v>
      </c>
      <c r="Z129" s="11">
        <f t="shared" si="318"/>
        <v>8.7204727200000001</v>
      </c>
      <c r="AA129" s="316">
        <f t="shared" si="367"/>
        <v>13.08070908</v>
      </c>
      <c r="AB129" s="170">
        <f t="shared" si="368"/>
        <v>2.3545276343999997</v>
      </c>
      <c r="AC129" s="11">
        <f t="shared" si="369"/>
        <v>13.08070908</v>
      </c>
      <c r="AD129" s="152">
        <f t="shared" si="370"/>
        <v>24.189392431110242</v>
      </c>
      <c r="AE129" s="151">
        <f t="shared" si="319"/>
        <v>2.0515811500107328</v>
      </c>
      <c r="AF129" s="12">
        <f t="shared" si="320"/>
        <v>43.929648322848628</v>
      </c>
      <c r="AG129" s="216">
        <f t="shared" si="321"/>
        <v>3.0124986968769331E-3</v>
      </c>
      <c r="AH129" s="2">
        <f t="shared" si="371"/>
        <v>1</v>
      </c>
      <c r="AI129" s="2">
        <f t="shared" si="372"/>
        <v>3</v>
      </c>
      <c r="AJ129" s="127">
        <f t="shared" si="373"/>
        <v>2</v>
      </c>
      <c r="AK129" s="2">
        <f t="shared" si="374"/>
        <v>1.5748031496062995E-2</v>
      </c>
      <c r="AL129" s="8">
        <f t="shared" si="322"/>
        <v>3.1702884397784965E-2</v>
      </c>
      <c r="AM129" s="138">
        <f t="shared" si="375"/>
        <v>0.25</v>
      </c>
      <c r="AN129" s="12">
        <f t="shared" si="323"/>
        <v>2627.8272643739119</v>
      </c>
      <c r="AO129" s="138">
        <f t="shared" si="376"/>
        <v>0.25</v>
      </c>
      <c r="AP129" s="116">
        <f t="shared" si="377"/>
        <v>2175570</v>
      </c>
      <c r="AQ129" s="2">
        <f t="shared" si="378"/>
        <v>1.5748031496062995E-2</v>
      </c>
      <c r="AR129" s="8">
        <f t="shared" si="379"/>
        <v>8.7204727200000001</v>
      </c>
      <c r="AS129" s="116">
        <f t="shared" si="380"/>
        <v>2610.6840000000002</v>
      </c>
      <c r="AT129" s="217">
        <f t="shared" si="381"/>
        <v>0.21289954406870998</v>
      </c>
      <c r="AU129" s="207">
        <f t="shared" si="382"/>
        <v>3.0262734461804257</v>
      </c>
      <c r="AV129" s="144">
        <f t="shared" si="383"/>
        <v>13351.219759349764</v>
      </c>
      <c r="AW129" s="138">
        <f t="shared" si="384"/>
        <v>0.25</v>
      </c>
      <c r="AX129" s="116">
        <f t="shared" si="385"/>
        <v>2175570</v>
      </c>
      <c r="AY129" s="2">
        <f t="shared" si="386"/>
        <v>1.5748031496062995E-2</v>
      </c>
      <c r="AZ129" s="8">
        <f t="shared" si="387"/>
        <v>8.7204727200000001</v>
      </c>
      <c r="BA129" s="116">
        <f t="shared" si="388"/>
        <v>2610.6840000000002</v>
      </c>
      <c r="BB129" s="217">
        <f t="shared" si="389"/>
        <v>0.21289954406870998</v>
      </c>
      <c r="BC129" s="207">
        <f t="shared" si="390"/>
        <v>3.0262734461804257</v>
      </c>
      <c r="BD129" s="144">
        <f t="shared" si="391"/>
        <v>13351.219759349764</v>
      </c>
      <c r="BE129" s="138">
        <f t="shared" si="392"/>
        <v>0.25</v>
      </c>
      <c r="BF129" s="116">
        <f t="shared" si="393"/>
        <v>2175570</v>
      </c>
      <c r="BG129" s="2">
        <f t="shared" si="394"/>
        <v>1.5748031496062995E-2</v>
      </c>
      <c r="BH129" s="8">
        <f t="shared" si="395"/>
        <v>8.7204727200000001</v>
      </c>
      <c r="BI129" s="116">
        <f t="shared" si="396"/>
        <v>2610.6840000000002</v>
      </c>
      <c r="BJ129" s="217">
        <f t="shared" si="397"/>
        <v>0.21289954406870998</v>
      </c>
      <c r="BK129" s="207">
        <f t="shared" si="398"/>
        <v>3.0262734461804257</v>
      </c>
      <c r="BL129" s="144">
        <f t="shared" si="399"/>
        <v>13351.219759349764</v>
      </c>
      <c r="BM129" s="216">
        <f t="shared" si="400"/>
        <v>0.25</v>
      </c>
      <c r="BN129" s="216">
        <f t="shared" si="401"/>
        <v>2.3622047244094495E-2</v>
      </c>
      <c r="BO129" s="238">
        <f t="shared" si="402"/>
        <v>1.5748031496062995E-2</v>
      </c>
      <c r="BP129" s="216">
        <f t="shared" si="403"/>
        <v>0</v>
      </c>
      <c r="BQ129" s="138">
        <f t="shared" si="404"/>
        <v>0</v>
      </c>
      <c r="BR129" s="138">
        <f t="shared" si="405"/>
        <v>0.25</v>
      </c>
      <c r="BS129" s="238">
        <f t="shared" si="406"/>
        <v>0</v>
      </c>
      <c r="BT129" s="138">
        <f t="shared" si="407"/>
        <v>0</v>
      </c>
      <c r="BU129" s="138">
        <f t="shared" si="408"/>
        <v>0</v>
      </c>
      <c r="BV129" s="138">
        <f t="shared" si="409"/>
        <v>0.25</v>
      </c>
      <c r="BW129" s="238">
        <f t="shared" si="410"/>
        <v>0</v>
      </c>
      <c r="BX129" s="216">
        <f t="shared" si="411"/>
        <v>0</v>
      </c>
      <c r="BY129" s="138">
        <f t="shared" si="412"/>
        <v>0</v>
      </c>
      <c r="BZ129" s="138">
        <f t="shared" si="413"/>
        <v>2.3622047244094495E-2</v>
      </c>
      <c r="CA129" s="238">
        <f t="shared" si="414"/>
        <v>0</v>
      </c>
      <c r="CB129" s="138">
        <f t="shared" si="415"/>
        <v>0</v>
      </c>
      <c r="CC129" s="138">
        <f t="shared" si="416"/>
        <v>0</v>
      </c>
      <c r="CD129" s="138">
        <f t="shared" si="417"/>
        <v>2.3622047244094495E-2</v>
      </c>
      <c r="CE129" s="238">
        <f t="shared" si="418"/>
        <v>0</v>
      </c>
      <c r="CF129" s="216">
        <f t="shared" si="419"/>
        <v>0</v>
      </c>
      <c r="CG129" s="138">
        <f t="shared" si="420"/>
        <v>0</v>
      </c>
      <c r="CH129" s="138">
        <f t="shared" si="421"/>
        <v>1.5748031496062995E-2</v>
      </c>
      <c r="CI129" s="238">
        <f t="shared" si="422"/>
        <v>0</v>
      </c>
      <c r="CJ129" s="138">
        <f t="shared" si="423"/>
        <v>0</v>
      </c>
      <c r="CK129" s="138">
        <f t="shared" si="424"/>
        <v>0</v>
      </c>
      <c r="CL129" s="138">
        <f t="shared" si="425"/>
        <v>1.5748031496062995E-2</v>
      </c>
      <c r="CM129" s="238">
        <f t="shared" si="426"/>
        <v>0</v>
      </c>
      <c r="CN129" s="17">
        <f t="shared" si="427"/>
        <v>0.25</v>
      </c>
      <c r="CO129" s="17">
        <f t="shared" si="428"/>
        <v>2.3622047244094495E-2</v>
      </c>
      <c r="CP129" s="17">
        <f t="shared" si="429"/>
        <v>1.5748031496062995E-2</v>
      </c>
      <c r="CQ129" s="17">
        <f>$U129-IF('Inputs-Imperial'!$E$13,0,2)*($CO129+$CN129+$CP129)</f>
        <v>3.1393701791999997</v>
      </c>
      <c r="CR129" s="116">
        <f t="shared" si="430"/>
        <v>1449.174366138966</v>
      </c>
      <c r="CS129" s="8">
        <f t="shared" si="324"/>
        <v>3.7468827983156983E-2</v>
      </c>
      <c r="CT129" s="8">
        <f t="shared" si="431"/>
        <v>0.19356866477598325</v>
      </c>
      <c r="CU129" s="8">
        <f t="shared" si="325"/>
        <v>3.7468827983156983E-2</v>
      </c>
      <c r="CV129" s="8">
        <f t="shared" si="432"/>
        <v>0.19356866477598325</v>
      </c>
      <c r="CW129" s="216">
        <f t="shared" si="433"/>
        <v>2.9458015144240162</v>
      </c>
      <c r="CX129" s="116">
        <f t="shared" si="434"/>
        <v>1544.3996369888762</v>
      </c>
      <c r="CY129" s="8">
        <f t="shared" si="435"/>
        <v>3.9930905271089542E-2</v>
      </c>
      <c r="CZ129" s="8">
        <f t="shared" si="436"/>
        <v>0.19982718851820325</v>
      </c>
      <c r="DA129" s="8">
        <f t="shared" si="437"/>
        <v>3.9930905271089542E-2</v>
      </c>
      <c r="DB129" s="8">
        <f t="shared" si="438"/>
        <v>0.19982718851820325</v>
      </c>
      <c r="DC129" s="216">
        <f t="shared" si="439"/>
        <v>2.9395429906817965</v>
      </c>
      <c r="DD129" s="116">
        <f t="shared" si="440"/>
        <v>1547.6877881831979</v>
      </c>
      <c r="DE129" s="8">
        <f t="shared" si="441"/>
        <v>4.0015921383961386E-2</v>
      </c>
      <c r="DF129" s="8">
        <f t="shared" si="442"/>
        <v>0.200039799499903</v>
      </c>
      <c r="DG129" s="8">
        <f t="shared" si="443"/>
        <v>4.0015921383961386E-2</v>
      </c>
      <c r="DH129" s="8">
        <f t="shared" si="444"/>
        <v>0.200039799499903</v>
      </c>
      <c r="DI129" s="216">
        <f t="shared" si="445"/>
        <v>2.9393303797000967</v>
      </c>
      <c r="DJ129" s="116">
        <f t="shared" si="446"/>
        <v>1547.7997372932002</v>
      </c>
      <c r="DK129" s="8">
        <f t="shared" si="447"/>
        <v>4.0018815861012288E-2</v>
      </c>
      <c r="DL129" s="8">
        <f t="shared" si="448"/>
        <v>0.20004703412200914</v>
      </c>
      <c r="DM129" s="8">
        <f t="shared" si="449"/>
        <v>4.0018815861012288E-2</v>
      </c>
      <c r="DN129" s="8">
        <f t="shared" si="450"/>
        <v>0.20004703412200914</v>
      </c>
      <c r="DO129" s="216">
        <f t="shared" si="451"/>
        <v>2.9393231450779909</v>
      </c>
      <c r="DP129" s="116">
        <f t="shared" si="452"/>
        <v>1547.8035469274739</v>
      </c>
      <c r="DQ129" s="170">
        <f t="shared" si="453"/>
        <v>4.0018914360223021E-2</v>
      </c>
      <c r="DR129" s="8">
        <f t="shared" si="454"/>
        <v>0.20004728031198779</v>
      </c>
      <c r="DS129" s="8">
        <f t="shared" si="455"/>
        <v>4.0018914360223021E-2</v>
      </c>
      <c r="DT129" s="134">
        <f t="shared" si="456"/>
        <v>0.20004728031198779</v>
      </c>
      <c r="DU129" s="170">
        <f t="shared" si="310"/>
        <v>6.7368736237725546E-2</v>
      </c>
      <c r="DV129" s="170">
        <f t="shared" si="310"/>
        <v>0.25955488097457452</v>
      </c>
      <c r="DW129" s="170">
        <f t="shared" si="310"/>
        <v>6.7368736237725546E-2</v>
      </c>
      <c r="DX129" s="272">
        <f t="shared" si="310"/>
        <v>0.25955488097457452</v>
      </c>
      <c r="DY129" s="272">
        <f t="shared" si="457"/>
        <v>2.6202604172508503</v>
      </c>
      <c r="DZ129" s="22">
        <f t="shared" si="326"/>
        <v>85.482547917113877</v>
      </c>
      <c r="EA129" s="216">
        <f t="shared" si="327"/>
        <v>5.6004606044304586E-3</v>
      </c>
      <c r="EB129" s="12">
        <f t="shared" si="458"/>
        <v>1</v>
      </c>
      <c r="EC129" s="7">
        <f>ROUND(MAX(DV129,DX129)/'Inputs-Imperial'!$E$21,0)</f>
        <v>2</v>
      </c>
      <c r="ED129" s="12">
        <f t="shared" si="459"/>
        <v>2</v>
      </c>
      <c r="EE129" s="2">
        <f t="shared" si="460"/>
        <v>2</v>
      </c>
      <c r="EF129" s="127">
        <f t="shared" si="461"/>
        <v>2</v>
      </c>
      <c r="EG129" s="2">
        <f t="shared" si="462"/>
        <v>1.5748031496062995E-2</v>
      </c>
      <c r="EH129" s="8">
        <f t="shared" si="328"/>
        <v>5.8938035492156447E-2</v>
      </c>
      <c r="EI129" s="138">
        <f t="shared" si="463"/>
        <v>0.25</v>
      </c>
      <c r="EJ129" s="12">
        <f t="shared" si="329"/>
        <v>4885.3276134630569</v>
      </c>
      <c r="EK129" s="138">
        <f t="shared" si="464"/>
        <v>0.25</v>
      </c>
      <c r="EL129" s="116">
        <f t="shared" si="465"/>
        <v>2175570</v>
      </c>
      <c r="EM129" s="2">
        <f t="shared" si="330"/>
        <v>1.5748031496062995E-2</v>
      </c>
      <c r="EN129" s="8">
        <f t="shared" si="466"/>
        <v>3.1393701791999997</v>
      </c>
      <c r="EO129" s="116">
        <f t="shared" si="467"/>
        <v>2610.6840000000002</v>
      </c>
      <c r="EP129" s="217">
        <f t="shared" si="468"/>
        <v>1.6427433955918982</v>
      </c>
      <c r="EQ129" s="207">
        <f t="shared" si="469"/>
        <v>2</v>
      </c>
      <c r="ER129" s="144">
        <f t="shared" si="470"/>
        <v>68082.856896266836</v>
      </c>
      <c r="ES129" s="138">
        <f t="shared" si="331"/>
        <v>0.25</v>
      </c>
      <c r="ET129" s="116">
        <f t="shared" si="471"/>
        <v>2175570</v>
      </c>
      <c r="EU129" s="2">
        <f t="shared" si="332"/>
        <v>1.5748031496062995E-2</v>
      </c>
      <c r="EV129" s="8">
        <f t="shared" si="472"/>
        <v>3.1393701791999997</v>
      </c>
      <c r="EW129" s="116">
        <f t="shared" si="473"/>
        <v>2610.6840000000002</v>
      </c>
      <c r="EX129" s="217">
        <f t="shared" si="474"/>
        <v>1.6427433955918982</v>
      </c>
      <c r="EY129" s="207">
        <f t="shared" si="475"/>
        <v>2</v>
      </c>
      <c r="EZ129" s="144">
        <f t="shared" si="476"/>
        <v>68082.856896266836</v>
      </c>
      <c r="FA129" s="138">
        <f t="shared" si="333"/>
        <v>0.25</v>
      </c>
      <c r="FB129" s="116">
        <f t="shared" si="477"/>
        <v>2175570</v>
      </c>
      <c r="FC129" s="2">
        <f t="shared" si="334"/>
        <v>1.5748031496062995E-2</v>
      </c>
      <c r="FD129" s="8">
        <f t="shared" si="478"/>
        <v>3.1393701791999997</v>
      </c>
      <c r="FE129" s="116">
        <f t="shared" si="479"/>
        <v>2610.6840000000002</v>
      </c>
      <c r="FF129" s="217">
        <f t="shared" si="480"/>
        <v>1.6427433955918982</v>
      </c>
      <c r="FG129" s="207">
        <f t="shared" si="481"/>
        <v>2</v>
      </c>
      <c r="FH129" s="144">
        <f t="shared" si="482"/>
        <v>68082.856896266836</v>
      </c>
      <c r="FI129" s="128">
        <f t="shared" si="483"/>
        <v>0.25</v>
      </c>
      <c r="FJ129" s="2">
        <f t="shared" si="484"/>
        <v>1.5748031496062995E-2</v>
      </c>
      <c r="FK129" s="127">
        <f t="shared" si="485"/>
        <v>1.5748031496062995E-2</v>
      </c>
      <c r="FL129" s="216">
        <f t="shared" si="486"/>
        <v>0</v>
      </c>
      <c r="FM129" s="138">
        <f t="shared" si="487"/>
        <v>0</v>
      </c>
      <c r="FN129" s="138">
        <f t="shared" si="488"/>
        <v>0.25</v>
      </c>
      <c r="FO129" s="238">
        <f t="shared" si="489"/>
        <v>0</v>
      </c>
      <c r="FP129" s="216">
        <f t="shared" si="335"/>
        <v>0</v>
      </c>
      <c r="FQ129" s="138">
        <f t="shared" si="336"/>
        <v>0</v>
      </c>
      <c r="FR129" s="138">
        <f t="shared" si="337"/>
        <v>0.25</v>
      </c>
      <c r="FS129" s="238">
        <f t="shared" si="338"/>
        <v>0</v>
      </c>
      <c r="FT129" s="216">
        <f t="shared" si="490"/>
        <v>0</v>
      </c>
      <c r="FU129" s="138">
        <f t="shared" si="491"/>
        <v>0</v>
      </c>
      <c r="FV129" s="138">
        <f t="shared" si="492"/>
        <v>1.5748031496062995E-2</v>
      </c>
      <c r="FW129" s="238">
        <f t="shared" si="493"/>
        <v>0</v>
      </c>
      <c r="FX129" s="216">
        <f t="shared" si="339"/>
        <v>0</v>
      </c>
      <c r="FY129" s="138">
        <f t="shared" si="340"/>
        <v>0</v>
      </c>
      <c r="FZ129" s="138">
        <f t="shared" si="341"/>
        <v>1.5748031496062995E-2</v>
      </c>
      <c r="GA129" s="238">
        <f t="shared" si="342"/>
        <v>0</v>
      </c>
      <c r="GB129" s="216">
        <f t="shared" si="494"/>
        <v>0</v>
      </c>
      <c r="GC129" s="138">
        <f t="shared" si="495"/>
        <v>0</v>
      </c>
      <c r="GD129" s="138">
        <f t="shared" si="496"/>
        <v>1.5748031496062995E-2</v>
      </c>
      <c r="GE129" s="238">
        <f t="shared" si="497"/>
        <v>0</v>
      </c>
      <c r="GF129" s="216">
        <f t="shared" si="343"/>
        <v>0</v>
      </c>
      <c r="GG129" s="138">
        <f t="shared" si="344"/>
        <v>0</v>
      </c>
      <c r="GH129" s="138">
        <f t="shared" si="345"/>
        <v>1.5748031496062995E-2</v>
      </c>
      <c r="GI129" s="238">
        <f t="shared" si="346"/>
        <v>0</v>
      </c>
      <c r="GJ129" s="216">
        <f t="shared" si="498"/>
        <v>0.25</v>
      </c>
      <c r="GK129" s="216">
        <f t="shared" si="499"/>
        <v>1.5748031496062995E-2</v>
      </c>
      <c r="GL129" s="17">
        <f t="shared" si="500"/>
        <v>1.5748031496062995E-2</v>
      </c>
      <c r="GM129" s="216">
        <f t="shared" si="347"/>
        <v>2.8780876423706021E-3</v>
      </c>
      <c r="GN129" s="2">
        <f t="shared" si="501"/>
        <v>1</v>
      </c>
      <c r="GO129" s="2">
        <f t="shared" si="502"/>
        <v>2</v>
      </c>
      <c r="GP129" s="142">
        <f t="shared" si="503"/>
        <v>2</v>
      </c>
      <c r="GQ129" s="2">
        <f t="shared" si="504"/>
        <v>1.5748031496062995E-2</v>
      </c>
      <c r="GR129" s="8">
        <f t="shared" si="348"/>
        <v>3.0288371545973213E-2</v>
      </c>
      <c r="GS129" s="138">
        <f t="shared" si="505"/>
        <v>0.25</v>
      </c>
      <c r="GT129" s="12">
        <f t="shared" si="349"/>
        <v>2510.5794016507989</v>
      </c>
      <c r="GU129" s="138">
        <f t="shared" si="506"/>
        <v>0.25</v>
      </c>
      <c r="GV129" s="116">
        <f t="shared" si="507"/>
        <v>2175570</v>
      </c>
      <c r="GW129" s="2">
        <f t="shared" si="350"/>
        <v>1.5748031496062995E-2</v>
      </c>
      <c r="GX129" s="8">
        <f t="shared" si="351"/>
        <v>1.5696850895999999</v>
      </c>
      <c r="GY129" s="116">
        <f t="shared" si="508"/>
        <v>2610.6840000000002</v>
      </c>
      <c r="GZ129" s="217">
        <f t="shared" si="509"/>
        <v>6.5709735823675928</v>
      </c>
      <c r="HA129" s="207">
        <f t="shared" si="510"/>
        <v>2</v>
      </c>
      <c r="HB129" s="144">
        <f t="shared" si="511"/>
        <v>272331.42758506734</v>
      </c>
      <c r="HC129" s="138">
        <f t="shared" si="352"/>
        <v>0.25</v>
      </c>
      <c r="HD129" s="116">
        <f t="shared" si="512"/>
        <v>2175570</v>
      </c>
      <c r="HE129" s="2">
        <f t="shared" si="353"/>
        <v>1.5748031496062995E-2</v>
      </c>
      <c r="HF129" s="8">
        <f t="shared" si="513"/>
        <v>1.5696850895999999</v>
      </c>
      <c r="HG129" s="116">
        <f t="shared" si="514"/>
        <v>2610.6840000000002</v>
      </c>
      <c r="HH129" s="217">
        <f t="shared" si="515"/>
        <v>6.5709735823675928</v>
      </c>
      <c r="HI129" s="207">
        <f t="shared" si="516"/>
        <v>2</v>
      </c>
      <c r="HJ129" s="144">
        <f t="shared" si="517"/>
        <v>272331.42758506734</v>
      </c>
      <c r="HK129" s="138">
        <f t="shared" si="354"/>
        <v>0.25</v>
      </c>
      <c r="HL129" s="116">
        <f t="shared" si="518"/>
        <v>2175570</v>
      </c>
      <c r="HM129" s="2">
        <f t="shared" si="355"/>
        <v>1.5748031496062995E-2</v>
      </c>
      <c r="HN129" s="8">
        <f t="shared" si="519"/>
        <v>1.5696850895999999</v>
      </c>
      <c r="HO129" s="116">
        <f t="shared" si="520"/>
        <v>2610.6840000000002</v>
      </c>
      <c r="HP129" s="217">
        <f t="shared" si="521"/>
        <v>6.5709735823675928</v>
      </c>
      <c r="HQ129" s="207">
        <f t="shared" si="522"/>
        <v>2</v>
      </c>
      <c r="HR129" s="144">
        <f t="shared" si="523"/>
        <v>272331.42758506734</v>
      </c>
      <c r="HS129" s="128">
        <f t="shared" si="524"/>
        <v>0.25</v>
      </c>
      <c r="HT129" s="2">
        <f t="shared" si="525"/>
        <v>1.5748031496062995E-2</v>
      </c>
      <c r="HU129" s="127">
        <f t="shared" si="526"/>
        <v>1.5748031496062995E-2</v>
      </c>
      <c r="HV129" s="216">
        <f t="shared" si="527"/>
        <v>0</v>
      </c>
      <c r="HW129" s="138">
        <f t="shared" si="528"/>
        <v>0</v>
      </c>
      <c r="HX129" s="138">
        <f t="shared" si="529"/>
        <v>0.25</v>
      </c>
      <c r="HY129" s="238">
        <f t="shared" si="530"/>
        <v>0</v>
      </c>
      <c r="HZ129" s="138">
        <f t="shared" si="531"/>
        <v>0</v>
      </c>
      <c r="IA129" s="138">
        <f t="shared" si="532"/>
        <v>0</v>
      </c>
      <c r="IB129" s="138">
        <f t="shared" si="533"/>
        <v>0.25</v>
      </c>
      <c r="IC129" s="138">
        <f t="shared" si="534"/>
        <v>0</v>
      </c>
      <c r="ID129" s="216">
        <f t="shared" si="535"/>
        <v>0</v>
      </c>
      <c r="IE129" s="138">
        <f t="shared" si="536"/>
        <v>0</v>
      </c>
      <c r="IF129" s="138">
        <f t="shared" si="537"/>
        <v>1.5748031496062995E-2</v>
      </c>
      <c r="IG129" s="238">
        <f t="shared" si="538"/>
        <v>0</v>
      </c>
      <c r="IH129" s="138">
        <f t="shared" si="539"/>
        <v>0</v>
      </c>
      <c r="II129" s="138">
        <f t="shared" si="540"/>
        <v>0</v>
      </c>
      <c r="IJ129" s="138">
        <f t="shared" si="541"/>
        <v>1.5748031496062995E-2</v>
      </c>
      <c r="IK129" s="138">
        <f t="shared" si="542"/>
        <v>0</v>
      </c>
      <c r="IL129" s="216">
        <f t="shared" si="543"/>
        <v>0</v>
      </c>
      <c r="IM129" s="138">
        <f t="shared" si="544"/>
        <v>0</v>
      </c>
      <c r="IN129" s="138">
        <f t="shared" si="545"/>
        <v>1.5748031496062995E-2</v>
      </c>
      <c r="IO129" s="238">
        <f t="shared" si="546"/>
        <v>0</v>
      </c>
      <c r="IP129" s="138">
        <f t="shared" si="547"/>
        <v>0</v>
      </c>
      <c r="IQ129" s="138">
        <f t="shared" si="548"/>
        <v>0</v>
      </c>
      <c r="IR129" s="138">
        <f t="shared" si="549"/>
        <v>1.5748031496062995E-2</v>
      </c>
      <c r="IS129" s="138">
        <f t="shared" si="550"/>
        <v>0</v>
      </c>
      <c r="IT129" s="17">
        <f t="shared" si="551"/>
        <v>0.25</v>
      </c>
      <c r="IU129" s="17">
        <f t="shared" si="552"/>
        <v>1.5748031496062995E-2</v>
      </c>
      <c r="IV129" s="17">
        <f t="shared" si="553"/>
        <v>1.5748031496062995E-2</v>
      </c>
      <c r="IW129" s="253">
        <f t="shared" si="554"/>
        <v>8.7204727200000001</v>
      </c>
      <c r="IX129" s="116">
        <f t="shared" si="356"/>
        <v>52.17027718100276</v>
      </c>
      <c r="IY129" s="8">
        <f t="shared" si="357"/>
        <v>1.3488778073936509E-3</v>
      </c>
      <c r="IZ129" s="8">
        <f t="shared" si="555"/>
        <v>1.3488778073936509E-3</v>
      </c>
      <c r="JA129" s="8">
        <f t="shared" si="556"/>
        <v>6.7443890369682546E-4</v>
      </c>
      <c r="JB129" s="134">
        <f t="shared" si="557"/>
        <v>2.5969961565178057E-2</v>
      </c>
      <c r="JC129" s="170">
        <f t="shared" si="311"/>
        <v>1.118139342754408E-3</v>
      </c>
      <c r="JD129" s="272">
        <f t="shared" si="312"/>
        <v>3.3438590621532004E-2</v>
      </c>
      <c r="JE129" s="8"/>
      <c r="JF129" s="8"/>
    </row>
    <row r="130" spans="1:266" x14ac:dyDescent="0.25">
      <c r="A130" s="186">
        <v>70</v>
      </c>
      <c r="B130" s="187">
        <f>A130/100*'Inputs-Imperial'!$E$5</f>
        <v>6.8897639999999996</v>
      </c>
      <c r="C130" s="188">
        <f>'Inputs-Imperial'!$E$10+('Inputs-Imperial'!$E$9-'Inputs-Imperial'!$E$10)*(100-A130)/100</f>
        <v>1.4435696</v>
      </c>
      <c r="D130" s="187">
        <f t="shared" si="558"/>
        <v>9.8425199999999435E-2</v>
      </c>
      <c r="E130" s="188">
        <f t="shared" si="559"/>
        <v>0.14256800259367117</v>
      </c>
      <c r="F130" s="423">
        <f>Loads!P90</f>
        <v>25.746043020157206</v>
      </c>
      <c r="G130" s="423">
        <f>Loads!M90</f>
        <v>257.46043020157208</v>
      </c>
      <c r="H130" s="423">
        <f>Loads!N90</f>
        <v>352.71104508836237</v>
      </c>
      <c r="I130" s="423">
        <f>Loads!V90</f>
        <v>-168.30634937571318</v>
      </c>
      <c r="J130" s="423">
        <f>Loads!Q90</f>
        <v>35.271104508836231</v>
      </c>
      <c r="K130" s="2">
        <v>70</v>
      </c>
      <c r="L130" s="12">
        <f t="shared" si="358"/>
        <v>82.677167999999995</v>
      </c>
      <c r="M130" s="11">
        <f t="shared" si="359"/>
        <v>17.3228352</v>
      </c>
      <c r="N130" s="11">
        <f t="shared" si="360"/>
        <v>1.1811023999999932</v>
      </c>
      <c r="O130" s="152">
        <f t="shared" si="361"/>
        <v>20.529792373488647</v>
      </c>
      <c r="P130" s="151">
        <f t="shared" si="362"/>
        <v>25.746043020157206</v>
      </c>
      <c r="Q130" s="12">
        <f t="shared" si="363"/>
        <v>257.46043020157208</v>
      </c>
      <c r="R130" s="12">
        <f t="shared" si="364"/>
        <v>4232.5325410603482</v>
      </c>
      <c r="S130" s="12">
        <f t="shared" si="365"/>
        <v>-2019.6761925085582</v>
      </c>
      <c r="T130" s="152">
        <f t="shared" si="366"/>
        <v>423.25325410603477</v>
      </c>
      <c r="U130" s="8">
        <f t="shared" si="313"/>
        <v>3.118110336</v>
      </c>
      <c r="V130" s="8">
        <f t="shared" si="314"/>
        <v>3.118110336</v>
      </c>
      <c r="W130" s="134">
        <f t="shared" si="315"/>
        <v>1.559055168</v>
      </c>
      <c r="X130" s="311">
        <f t="shared" si="316"/>
        <v>4.3307088</v>
      </c>
      <c r="Y130" s="11">
        <f t="shared" si="317"/>
        <v>12.9921264</v>
      </c>
      <c r="Z130" s="11">
        <f t="shared" si="318"/>
        <v>8.6614176</v>
      </c>
      <c r="AA130" s="316">
        <f t="shared" si="367"/>
        <v>12.9921264</v>
      </c>
      <c r="AB130" s="170">
        <f t="shared" si="368"/>
        <v>2.3385827519999998</v>
      </c>
      <c r="AC130" s="11">
        <f t="shared" si="369"/>
        <v>12.9921264</v>
      </c>
      <c r="AD130" s="152">
        <f t="shared" si="370"/>
        <v>23.862880191302597</v>
      </c>
      <c r="AE130" s="151">
        <f t="shared" si="319"/>
        <v>1.9816650660169999</v>
      </c>
      <c r="AF130" s="12">
        <f t="shared" si="320"/>
        <v>42.318365937333034</v>
      </c>
      <c r="AG130" s="216">
        <f t="shared" si="321"/>
        <v>2.9023535733852324E-3</v>
      </c>
      <c r="AH130" s="2">
        <f t="shared" si="371"/>
        <v>1</v>
      </c>
      <c r="AI130" s="2">
        <f t="shared" si="372"/>
        <v>3</v>
      </c>
      <c r="AJ130" s="127">
        <f t="shared" si="373"/>
        <v>2</v>
      </c>
      <c r="AK130" s="2">
        <f t="shared" si="374"/>
        <v>1.5748031496062995E-2</v>
      </c>
      <c r="AL130" s="8">
        <f t="shared" si="322"/>
        <v>3.0543740952957182E-2</v>
      </c>
      <c r="AM130" s="138">
        <f t="shared" si="375"/>
        <v>0.25</v>
      </c>
      <c r="AN130" s="12">
        <f t="shared" si="323"/>
        <v>2531.7467718414541</v>
      </c>
      <c r="AO130" s="138">
        <f t="shared" si="376"/>
        <v>0.25</v>
      </c>
      <c r="AP130" s="116">
        <f t="shared" si="377"/>
        <v>2175570</v>
      </c>
      <c r="AQ130" s="2">
        <f t="shared" si="378"/>
        <v>1.5748031496062995E-2</v>
      </c>
      <c r="AR130" s="8">
        <f t="shared" si="379"/>
        <v>8.6614176</v>
      </c>
      <c r="AS130" s="116">
        <f t="shared" si="380"/>
        <v>2610.6840000000002</v>
      </c>
      <c r="AT130" s="217">
        <f t="shared" si="381"/>
        <v>0.21581261685919559</v>
      </c>
      <c r="AU130" s="207">
        <f t="shared" si="382"/>
        <v>3.0100788754308003</v>
      </c>
      <c r="AV130" s="144">
        <f t="shared" si="383"/>
        <v>13461.478211261892</v>
      </c>
      <c r="AW130" s="138">
        <f t="shared" si="384"/>
        <v>0.25</v>
      </c>
      <c r="AX130" s="116">
        <f t="shared" si="385"/>
        <v>2175570</v>
      </c>
      <c r="AY130" s="2">
        <f t="shared" si="386"/>
        <v>1.5748031496062995E-2</v>
      </c>
      <c r="AZ130" s="8">
        <f t="shared" si="387"/>
        <v>8.6614176</v>
      </c>
      <c r="BA130" s="116">
        <f t="shared" si="388"/>
        <v>2610.6840000000002</v>
      </c>
      <c r="BB130" s="217">
        <f t="shared" si="389"/>
        <v>0.21581261685919559</v>
      </c>
      <c r="BC130" s="207">
        <f t="shared" si="390"/>
        <v>3.0100788754308003</v>
      </c>
      <c r="BD130" s="144">
        <f t="shared" si="391"/>
        <v>13461.478211261892</v>
      </c>
      <c r="BE130" s="138">
        <f t="shared" si="392"/>
        <v>0.25</v>
      </c>
      <c r="BF130" s="116">
        <f t="shared" si="393"/>
        <v>2175570</v>
      </c>
      <c r="BG130" s="2">
        <f t="shared" si="394"/>
        <v>1.5748031496062995E-2</v>
      </c>
      <c r="BH130" s="8">
        <f t="shared" si="395"/>
        <v>8.6614176</v>
      </c>
      <c r="BI130" s="116">
        <f t="shared" si="396"/>
        <v>2610.6840000000002</v>
      </c>
      <c r="BJ130" s="217">
        <f t="shared" si="397"/>
        <v>0.21581261685919559</v>
      </c>
      <c r="BK130" s="207">
        <f t="shared" si="398"/>
        <v>3.0100788754308003</v>
      </c>
      <c r="BL130" s="144">
        <f t="shared" si="399"/>
        <v>13461.478211261892</v>
      </c>
      <c r="BM130" s="216">
        <f t="shared" si="400"/>
        <v>0.25</v>
      </c>
      <c r="BN130" s="216">
        <f t="shared" si="401"/>
        <v>2.3622047244094495E-2</v>
      </c>
      <c r="BO130" s="238">
        <f t="shared" si="402"/>
        <v>1.5748031496062995E-2</v>
      </c>
      <c r="BP130" s="216">
        <f t="shared" si="403"/>
        <v>0</v>
      </c>
      <c r="BQ130" s="138">
        <f t="shared" si="404"/>
        <v>0</v>
      </c>
      <c r="BR130" s="138">
        <f t="shared" si="405"/>
        <v>0.25</v>
      </c>
      <c r="BS130" s="238">
        <f t="shared" si="406"/>
        <v>0</v>
      </c>
      <c r="BT130" s="138">
        <f t="shared" si="407"/>
        <v>0</v>
      </c>
      <c r="BU130" s="138">
        <f t="shared" si="408"/>
        <v>0</v>
      </c>
      <c r="BV130" s="138">
        <f t="shared" si="409"/>
        <v>0.25</v>
      </c>
      <c r="BW130" s="238">
        <f t="shared" si="410"/>
        <v>0</v>
      </c>
      <c r="BX130" s="216">
        <f t="shared" si="411"/>
        <v>0</v>
      </c>
      <c r="BY130" s="138">
        <f t="shared" si="412"/>
        <v>0</v>
      </c>
      <c r="BZ130" s="138">
        <f t="shared" si="413"/>
        <v>2.3622047244094495E-2</v>
      </c>
      <c r="CA130" s="238">
        <f t="shared" si="414"/>
        <v>0</v>
      </c>
      <c r="CB130" s="138">
        <f t="shared" si="415"/>
        <v>0</v>
      </c>
      <c r="CC130" s="138">
        <f t="shared" si="416"/>
        <v>0</v>
      </c>
      <c r="CD130" s="138">
        <f t="shared" si="417"/>
        <v>2.3622047244094495E-2</v>
      </c>
      <c r="CE130" s="238">
        <f t="shared" si="418"/>
        <v>0</v>
      </c>
      <c r="CF130" s="216">
        <f t="shared" si="419"/>
        <v>0</v>
      </c>
      <c r="CG130" s="138">
        <f t="shared" si="420"/>
        <v>0</v>
      </c>
      <c r="CH130" s="138">
        <f t="shared" si="421"/>
        <v>1.5748031496062995E-2</v>
      </c>
      <c r="CI130" s="238">
        <f t="shared" si="422"/>
        <v>0</v>
      </c>
      <c r="CJ130" s="138">
        <f t="shared" si="423"/>
        <v>0</v>
      </c>
      <c r="CK130" s="138">
        <f t="shared" si="424"/>
        <v>0</v>
      </c>
      <c r="CL130" s="138">
        <f t="shared" si="425"/>
        <v>1.5748031496062995E-2</v>
      </c>
      <c r="CM130" s="238">
        <f t="shared" si="426"/>
        <v>0</v>
      </c>
      <c r="CN130" s="17">
        <f t="shared" si="427"/>
        <v>0.25</v>
      </c>
      <c r="CO130" s="17">
        <f t="shared" si="428"/>
        <v>2.3622047244094495E-2</v>
      </c>
      <c r="CP130" s="17">
        <f t="shared" si="429"/>
        <v>1.5748031496062995E-2</v>
      </c>
      <c r="CQ130" s="17">
        <f>$U130-IF('Inputs-Imperial'!$E$13,0,2)*($CO130+$CN130+$CP130)</f>
        <v>3.118110336</v>
      </c>
      <c r="CR130" s="116">
        <f t="shared" si="430"/>
        <v>1357.4030694789205</v>
      </c>
      <c r="CS130" s="8">
        <f t="shared" si="324"/>
        <v>3.5096054210248015E-2</v>
      </c>
      <c r="CT130" s="8">
        <f t="shared" si="431"/>
        <v>0.18733940912218128</v>
      </c>
      <c r="CU130" s="8">
        <f t="shared" si="325"/>
        <v>3.5096054210248015E-2</v>
      </c>
      <c r="CV130" s="8">
        <f t="shared" si="432"/>
        <v>0.18733940912218128</v>
      </c>
      <c r="CW130" s="216">
        <f t="shared" si="433"/>
        <v>2.9307709268778188</v>
      </c>
      <c r="CX130" s="116">
        <f t="shared" si="434"/>
        <v>1444.1703724587271</v>
      </c>
      <c r="CY130" s="8">
        <f t="shared" si="435"/>
        <v>3.7339448259905858E-2</v>
      </c>
      <c r="CZ130" s="8">
        <f t="shared" si="436"/>
        <v>0.19323417984379954</v>
      </c>
      <c r="DA130" s="8">
        <f t="shared" si="437"/>
        <v>3.7339448259905858E-2</v>
      </c>
      <c r="DB130" s="8">
        <f t="shared" si="438"/>
        <v>0.19323417984379954</v>
      </c>
      <c r="DC130" s="216">
        <f t="shared" si="439"/>
        <v>2.9248761561562002</v>
      </c>
      <c r="DD130" s="116">
        <f t="shared" si="440"/>
        <v>1447.080941239795</v>
      </c>
      <c r="DE130" s="8">
        <f t="shared" si="441"/>
        <v>3.7414701868815285E-2</v>
      </c>
      <c r="DF130" s="8">
        <f t="shared" si="442"/>
        <v>0.19342880310030169</v>
      </c>
      <c r="DG130" s="8">
        <f t="shared" si="443"/>
        <v>3.7414701868815285E-2</v>
      </c>
      <c r="DH130" s="8">
        <f t="shared" si="444"/>
        <v>0.19342880310030169</v>
      </c>
      <c r="DI130" s="216">
        <f t="shared" si="445"/>
        <v>2.9246815328996982</v>
      </c>
      <c r="DJ130" s="116">
        <f t="shared" si="446"/>
        <v>1447.1772374012876</v>
      </c>
      <c r="DK130" s="8">
        <f t="shared" si="447"/>
        <v>3.7417191634294654E-2</v>
      </c>
      <c r="DL130" s="8">
        <f t="shared" si="448"/>
        <v>0.19343523886379818</v>
      </c>
      <c r="DM130" s="8">
        <f t="shared" si="449"/>
        <v>3.7417191634294654E-2</v>
      </c>
      <c r="DN130" s="8">
        <f t="shared" si="450"/>
        <v>0.19343523886379818</v>
      </c>
      <c r="DO130" s="216">
        <f t="shared" si="451"/>
        <v>2.9246750971362019</v>
      </c>
      <c r="DP130" s="116">
        <f t="shared" si="452"/>
        <v>1447.1804219226883</v>
      </c>
      <c r="DQ130" s="170">
        <f t="shared" si="453"/>
        <v>3.7417273971028842E-2</v>
      </c>
      <c r="DR130" s="8">
        <f t="shared" si="454"/>
        <v>0.19343545169132995</v>
      </c>
      <c r="DS130" s="8">
        <f t="shared" si="455"/>
        <v>3.7417273971028842E-2</v>
      </c>
      <c r="DT130" s="134">
        <f t="shared" si="456"/>
        <v>0.19343545169132995</v>
      </c>
      <c r="DU130" s="170">
        <f>MAX(DQ$130:DQ$139)</f>
        <v>3.7417273971028842E-2</v>
      </c>
      <c r="DV130" s="170">
        <f>MAX(DR$130:DR$139)</f>
        <v>0.19343545169132995</v>
      </c>
      <c r="DW130" s="170">
        <f>MAX(DS$130:DS$139)</f>
        <v>3.7417273971028842E-2</v>
      </c>
      <c r="DX130" s="272">
        <f>MAX(DT$130:DT$139)</f>
        <v>0.19343545169132995</v>
      </c>
      <c r="DY130" s="272">
        <f t="shared" si="457"/>
        <v>2.7312394326173397</v>
      </c>
      <c r="DZ130" s="22">
        <f t="shared" si="326"/>
        <v>82.569377750708327</v>
      </c>
      <c r="EA130" s="216">
        <f t="shared" si="327"/>
        <v>5.409601825083171E-3</v>
      </c>
      <c r="EB130" s="12">
        <f t="shared" si="458"/>
        <v>1</v>
      </c>
      <c r="EC130" s="7">
        <f>ROUND(MAX(DV130,DX130)/'Inputs-Imperial'!$E$21,0)</f>
        <v>2</v>
      </c>
      <c r="ED130" s="12">
        <f t="shared" si="459"/>
        <v>2</v>
      </c>
      <c r="EE130" s="2">
        <f t="shared" si="460"/>
        <v>2</v>
      </c>
      <c r="EF130" s="127">
        <f t="shared" si="461"/>
        <v>2</v>
      </c>
      <c r="EG130" s="2">
        <f t="shared" si="462"/>
        <v>1.5748031496062995E-2</v>
      </c>
      <c r="EH130" s="8">
        <f t="shared" si="328"/>
        <v>5.6929478999095638E-2</v>
      </c>
      <c r="EI130" s="138">
        <f t="shared" si="463"/>
        <v>0.25</v>
      </c>
      <c r="EJ130" s="12">
        <f t="shared" si="329"/>
        <v>4718.8399384529803</v>
      </c>
      <c r="EK130" s="138">
        <f t="shared" si="464"/>
        <v>0.25</v>
      </c>
      <c r="EL130" s="116">
        <f t="shared" si="465"/>
        <v>2175570</v>
      </c>
      <c r="EM130" s="2">
        <f t="shared" si="330"/>
        <v>1.5748031496062995E-2</v>
      </c>
      <c r="EN130" s="8">
        <f t="shared" si="466"/>
        <v>3.118110336</v>
      </c>
      <c r="EO130" s="116">
        <f t="shared" si="467"/>
        <v>2610.6840000000002</v>
      </c>
      <c r="EP130" s="217">
        <f t="shared" si="468"/>
        <v>1.6652208090987315</v>
      </c>
      <c r="EQ130" s="207">
        <f t="shared" si="469"/>
        <v>2</v>
      </c>
      <c r="ER130" s="144">
        <f t="shared" si="470"/>
        <v>69014.424499150147</v>
      </c>
      <c r="ES130" s="138">
        <f t="shared" si="331"/>
        <v>0.25</v>
      </c>
      <c r="ET130" s="116">
        <f t="shared" si="471"/>
        <v>2175570</v>
      </c>
      <c r="EU130" s="2">
        <f t="shared" si="332"/>
        <v>1.5748031496062995E-2</v>
      </c>
      <c r="EV130" s="8">
        <f t="shared" si="472"/>
        <v>3.118110336</v>
      </c>
      <c r="EW130" s="116">
        <f t="shared" si="473"/>
        <v>2610.6840000000002</v>
      </c>
      <c r="EX130" s="217">
        <f t="shared" si="474"/>
        <v>1.6652208090987315</v>
      </c>
      <c r="EY130" s="207">
        <f t="shared" si="475"/>
        <v>2</v>
      </c>
      <c r="EZ130" s="144">
        <f t="shared" si="476"/>
        <v>69014.424499150147</v>
      </c>
      <c r="FA130" s="138">
        <f t="shared" si="333"/>
        <v>0.25</v>
      </c>
      <c r="FB130" s="116">
        <f t="shared" si="477"/>
        <v>2175570</v>
      </c>
      <c r="FC130" s="2">
        <f t="shared" si="334"/>
        <v>1.5748031496062995E-2</v>
      </c>
      <c r="FD130" s="8">
        <f t="shared" si="478"/>
        <v>3.118110336</v>
      </c>
      <c r="FE130" s="116">
        <f t="shared" si="479"/>
        <v>2610.6840000000002</v>
      </c>
      <c r="FF130" s="217">
        <f t="shared" si="480"/>
        <v>1.6652208090987315</v>
      </c>
      <c r="FG130" s="207">
        <f t="shared" si="481"/>
        <v>2</v>
      </c>
      <c r="FH130" s="144">
        <f t="shared" si="482"/>
        <v>69014.424499150147</v>
      </c>
      <c r="FI130" s="128">
        <f t="shared" si="483"/>
        <v>0.25</v>
      </c>
      <c r="FJ130" s="2">
        <f t="shared" si="484"/>
        <v>1.5748031496062995E-2</v>
      </c>
      <c r="FK130" s="127">
        <f t="shared" si="485"/>
        <v>1.5748031496062995E-2</v>
      </c>
      <c r="FL130" s="216">
        <f t="shared" si="486"/>
        <v>0</v>
      </c>
      <c r="FM130" s="138">
        <f t="shared" si="487"/>
        <v>0</v>
      </c>
      <c r="FN130" s="138">
        <f t="shared" si="488"/>
        <v>0.25</v>
      </c>
      <c r="FO130" s="238">
        <f t="shared" si="489"/>
        <v>0</v>
      </c>
      <c r="FP130" s="216">
        <f t="shared" si="335"/>
        <v>0</v>
      </c>
      <c r="FQ130" s="138">
        <f t="shared" si="336"/>
        <v>0</v>
      </c>
      <c r="FR130" s="138">
        <f t="shared" si="337"/>
        <v>0.25</v>
      </c>
      <c r="FS130" s="238">
        <f t="shared" si="338"/>
        <v>0</v>
      </c>
      <c r="FT130" s="216">
        <f t="shared" si="490"/>
        <v>0</v>
      </c>
      <c r="FU130" s="138">
        <f t="shared" si="491"/>
        <v>0</v>
      </c>
      <c r="FV130" s="138">
        <f t="shared" si="492"/>
        <v>1.5748031496062995E-2</v>
      </c>
      <c r="FW130" s="238">
        <f t="shared" si="493"/>
        <v>0</v>
      </c>
      <c r="FX130" s="216">
        <f t="shared" si="339"/>
        <v>0</v>
      </c>
      <c r="FY130" s="138">
        <f t="shared" si="340"/>
        <v>0</v>
      </c>
      <c r="FZ130" s="138">
        <f t="shared" si="341"/>
        <v>1.5748031496062995E-2</v>
      </c>
      <c r="GA130" s="238">
        <f t="shared" si="342"/>
        <v>0</v>
      </c>
      <c r="GB130" s="216">
        <f t="shared" si="494"/>
        <v>0</v>
      </c>
      <c r="GC130" s="138">
        <f t="shared" si="495"/>
        <v>0</v>
      </c>
      <c r="GD130" s="138">
        <f t="shared" si="496"/>
        <v>1.5748031496062995E-2</v>
      </c>
      <c r="GE130" s="238">
        <f t="shared" si="497"/>
        <v>0</v>
      </c>
      <c r="GF130" s="216">
        <f t="shared" si="343"/>
        <v>0</v>
      </c>
      <c r="GG130" s="138">
        <f t="shared" si="344"/>
        <v>0</v>
      </c>
      <c r="GH130" s="138">
        <f t="shared" si="345"/>
        <v>1.5748031496062995E-2</v>
      </c>
      <c r="GI130" s="238">
        <f t="shared" si="346"/>
        <v>0</v>
      </c>
      <c r="GJ130" s="216">
        <f t="shared" si="498"/>
        <v>0.25</v>
      </c>
      <c r="GK130" s="216">
        <f t="shared" si="499"/>
        <v>1.5748031496062995E-2</v>
      </c>
      <c r="GL130" s="17">
        <f t="shared" si="500"/>
        <v>1.5748031496062995E-2</v>
      </c>
      <c r="GM130" s="216">
        <f t="shared" si="347"/>
        <v>2.7725231295832359E-3</v>
      </c>
      <c r="GN130" s="2">
        <f t="shared" si="501"/>
        <v>1</v>
      </c>
      <c r="GO130" s="2">
        <f t="shared" si="502"/>
        <v>2</v>
      </c>
      <c r="GP130" s="142">
        <f t="shared" si="503"/>
        <v>2</v>
      </c>
      <c r="GQ130" s="2">
        <f t="shared" si="504"/>
        <v>1.5748031496062995E-2</v>
      </c>
      <c r="GR130" s="8">
        <f t="shared" si="348"/>
        <v>2.9177433456978881E-2</v>
      </c>
      <c r="GS130" s="138">
        <f t="shared" si="505"/>
        <v>0.25</v>
      </c>
      <c r="GT130" s="12">
        <f t="shared" si="349"/>
        <v>2418.4946133185822</v>
      </c>
      <c r="GU130" s="138">
        <f t="shared" si="506"/>
        <v>0.25</v>
      </c>
      <c r="GV130" s="116">
        <f t="shared" si="507"/>
        <v>2175570</v>
      </c>
      <c r="GW130" s="2">
        <f t="shared" si="350"/>
        <v>1.5748031496062995E-2</v>
      </c>
      <c r="GX130" s="8">
        <f t="shared" si="351"/>
        <v>1.559055168</v>
      </c>
      <c r="GY130" s="116">
        <f t="shared" si="508"/>
        <v>2610.6840000000002</v>
      </c>
      <c r="GZ130" s="217">
        <f t="shared" si="509"/>
        <v>6.660883236394926</v>
      </c>
      <c r="HA130" s="207">
        <f t="shared" si="510"/>
        <v>2</v>
      </c>
      <c r="HB130" s="144">
        <f t="shared" si="511"/>
        <v>276057.69799660059</v>
      </c>
      <c r="HC130" s="138">
        <f t="shared" si="352"/>
        <v>0.25</v>
      </c>
      <c r="HD130" s="116">
        <f t="shared" si="512"/>
        <v>2175570</v>
      </c>
      <c r="HE130" s="2">
        <f t="shared" si="353"/>
        <v>1.5748031496062995E-2</v>
      </c>
      <c r="HF130" s="8">
        <f t="shared" si="513"/>
        <v>1.559055168</v>
      </c>
      <c r="HG130" s="116">
        <f t="shared" si="514"/>
        <v>2610.6840000000002</v>
      </c>
      <c r="HH130" s="217">
        <f t="shared" si="515"/>
        <v>6.660883236394926</v>
      </c>
      <c r="HI130" s="207">
        <f t="shared" si="516"/>
        <v>2</v>
      </c>
      <c r="HJ130" s="144">
        <f t="shared" si="517"/>
        <v>276057.69799660059</v>
      </c>
      <c r="HK130" s="138">
        <f t="shared" si="354"/>
        <v>0.25</v>
      </c>
      <c r="HL130" s="116">
        <f t="shared" si="518"/>
        <v>2175570</v>
      </c>
      <c r="HM130" s="2">
        <f t="shared" si="355"/>
        <v>1.5748031496062995E-2</v>
      </c>
      <c r="HN130" s="8">
        <f t="shared" si="519"/>
        <v>1.559055168</v>
      </c>
      <c r="HO130" s="116">
        <f t="shared" si="520"/>
        <v>2610.6840000000002</v>
      </c>
      <c r="HP130" s="217">
        <f t="shared" si="521"/>
        <v>6.660883236394926</v>
      </c>
      <c r="HQ130" s="207">
        <f t="shared" si="522"/>
        <v>2</v>
      </c>
      <c r="HR130" s="144">
        <f t="shared" si="523"/>
        <v>276057.69799660059</v>
      </c>
      <c r="HS130" s="128">
        <f t="shared" si="524"/>
        <v>0.25</v>
      </c>
      <c r="HT130" s="2">
        <f t="shared" si="525"/>
        <v>1.5748031496062995E-2</v>
      </c>
      <c r="HU130" s="127">
        <f t="shared" si="526"/>
        <v>1.5748031496062995E-2</v>
      </c>
      <c r="HV130" s="216">
        <f t="shared" si="527"/>
        <v>0</v>
      </c>
      <c r="HW130" s="138">
        <f t="shared" si="528"/>
        <v>0</v>
      </c>
      <c r="HX130" s="138">
        <f t="shared" si="529"/>
        <v>0.25</v>
      </c>
      <c r="HY130" s="238">
        <f t="shared" si="530"/>
        <v>0</v>
      </c>
      <c r="HZ130" s="138">
        <f t="shared" si="531"/>
        <v>0</v>
      </c>
      <c r="IA130" s="138">
        <f t="shared" si="532"/>
        <v>0</v>
      </c>
      <c r="IB130" s="138">
        <f t="shared" si="533"/>
        <v>0.25</v>
      </c>
      <c r="IC130" s="138">
        <f t="shared" si="534"/>
        <v>0</v>
      </c>
      <c r="ID130" s="216">
        <f t="shared" si="535"/>
        <v>0</v>
      </c>
      <c r="IE130" s="138">
        <f t="shared" si="536"/>
        <v>0</v>
      </c>
      <c r="IF130" s="138">
        <f t="shared" si="537"/>
        <v>1.5748031496062995E-2</v>
      </c>
      <c r="IG130" s="238">
        <f t="shared" si="538"/>
        <v>0</v>
      </c>
      <c r="IH130" s="138">
        <f t="shared" si="539"/>
        <v>0</v>
      </c>
      <c r="II130" s="138">
        <f t="shared" si="540"/>
        <v>0</v>
      </c>
      <c r="IJ130" s="138">
        <f t="shared" si="541"/>
        <v>1.5748031496062995E-2</v>
      </c>
      <c r="IK130" s="138">
        <f t="shared" si="542"/>
        <v>0</v>
      </c>
      <c r="IL130" s="216">
        <f t="shared" si="543"/>
        <v>0</v>
      </c>
      <c r="IM130" s="138">
        <f t="shared" si="544"/>
        <v>0</v>
      </c>
      <c r="IN130" s="138">
        <f t="shared" si="545"/>
        <v>1.5748031496062995E-2</v>
      </c>
      <c r="IO130" s="238">
        <f t="shared" si="546"/>
        <v>0</v>
      </c>
      <c r="IP130" s="138">
        <f t="shared" si="547"/>
        <v>0</v>
      </c>
      <c r="IQ130" s="138">
        <f t="shared" si="548"/>
        <v>0</v>
      </c>
      <c r="IR130" s="138">
        <f t="shared" si="549"/>
        <v>1.5748031496062995E-2</v>
      </c>
      <c r="IS130" s="138">
        <f t="shared" si="550"/>
        <v>0</v>
      </c>
      <c r="IT130" s="17">
        <f t="shared" si="551"/>
        <v>0.25</v>
      </c>
      <c r="IU130" s="17">
        <f t="shared" si="552"/>
        <v>1.5748031496062995E-2</v>
      </c>
      <c r="IV130" s="17">
        <f t="shared" si="553"/>
        <v>1.5748031496062995E-2</v>
      </c>
      <c r="IW130" s="253">
        <f t="shared" si="554"/>
        <v>8.6614176</v>
      </c>
      <c r="IX130" s="116">
        <f t="shared" si="356"/>
        <v>48.86651050124113</v>
      </c>
      <c r="IY130" s="8">
        <f t="shared" si="357"/>
        <v>1.2634579515689284E-3</v>
      </c>
      <c r="IZ130" s="8">
        <f t="shared" si="555"/>
        <v>1.2634579515689284E-3</v>
      </c>
      <c r="JA130" s="8">
        <f t="shared" si="556"/>
        <v>6.3172897578446421E-4</v>
      </c>
      <c r="JB130" s="134">
        <f t="shared" si="557"/>
        <v>2.5134219219710489E-2</v>
      </c>
      <c r="JC130" s="170">
        <f>MAX(JA$130:JA$139)</f>
        <v>6.3172897578446421E-4</v>
      </c>
      <c r="JD130" s="272">
        <f>MAX(JB$130:JB$139)</f>
        <v>2.5134219219710489E-2</v>
      </c>
      <c r="JE130" s="8"/>
      <c r="JF130" s="8"/>
    </row>
    <row r="131" spans="1:266" x14ac:dyDescent="0.25">
      <c r="A131" s="186">
        <v>71</v>
      </c>
      <c r="B131" s="187">
        <f>A131/100*'Inputs-Imperial'!$E$5</f>
        <v>6.9881891999999999</v>
      </c>
      <c r="C131" s="188">
        <f>'Inputs-Imperial'!$E$10+('Inputs-Imperial'!$E$9-'Inputs-Imperial'!$E$10)*(100-A131)/100</f>
        <v>1.4337270799999999</v>
      </c>
      <c r="D131" s="187">
        <f t="shared" si="558"/>
        <v>9.8425200000000324E-2</v>
      </c>
      <c r="E131" s="188">
        <f t="shared" si="559"/>
        <v>0.14159925059416845</v>
      </c>
      <c r="F131" s="423">
        <f>Loads!P91</f>
        <v>24.667152866305244</v>
      </c>
      <c r="G131" s="423">
        <f>Loads!M91</f>
        <v>246.67152866305247</v>
      </c>
      <c r="H131" s="423">
        <f>Loads!N91</f>
        <v>327.3704507536865</v>
      </c>
      <c r="I131" s="423">
        <f>Loads!V91</f>
        <v>-159.68868230273384</v>
      </c>
      <c r="J131" s="423">
        <f>Loads!Q91</f>
        <v>32.737045075368648</v>
      </c>
      <c r="K131" s="2">
        <v>71</v>
      </c>
      <c r="L131" s="12">
        <f t="shared" si="358"/>
        <v>83.858270399999995</v>
      </c>
      <c r="M131" s="11">
        <f t="shared" si="359"/>
        <v>17.20472496</v>
      </c>
      <c r="N131" s="11">
        <f t="shared" si="360"/>
        <v>1.1811024000000039</v>
      </c>
      <c r="O131" s="152">
        <f t="shared" si="361"/>
        <v>20.390292085560255</v>
      </c>
      <c r="P131" s="151">
        <f t="shared" si="362"/>
        <v>24.667152866305244</v>
      </c>
      <c r="Q131" s="12">
        <f t="shared" si="363"/>
        <v>246.67152866305247</v>
      </c>
      <c r="R131" s="12">
        <f t="shared" si="364"/>
        <v>3928.4454090442377</v>
      </c>
      <c r="S131" s="12">
        <f t="shared" si="365"/>
        <v>-1916.2641876328062</v>
      </c>
      <c r="T131" s="152">
        <f t="shared" si="366"/>
        <v>392.84454090442375</v>
      </c>
      <c r="U131" s="8">
        <f t="shared" si="313"/>
        <v>3.0968504927999998</v>
      </c>
      <c r="V131" s="8">
        <f t="shared" si="314"/>
        <v>3.0968504927999998</v>
      </c>
      <c r="W131" s="134">
        <f t="shared" si="315"/>
        <v>1.5484252463999999</v>
      </c>
      <c r="X131" s="311">
        <f t="shared" si="316"/>
        <v>4.30118124</v>
      </c>
      <c r="Y131" s="11">
        <f t="shared" si="317"/>
        <v>12.90354372</v>
      </c>
      <c r="Z131" s="11">
        <f t="shared" si="318"/>
        <v>8.60236248</v>
      </c>
      <c r="AA131" s="316">
        <f t="shared" si="367"/>
        <v>12.90354372</v>
      </c>
      <c r="AB131" s="170">
        <f t="shared" si="368"/>
        <v>2.3226378695999998</v>
      </c>
      <c r="AC131" s="11">
        <f t="shared" si="369"/>
        <v>12.90354372</v>
      </c>
      <c r="AD131" s="152">
        <f t="shared" si="370"/>
        <v>23.538586607711082</v>
      </c>
      <c r="AE131" s="151">
        <f t="shared" si="319"/>
        <v>1.9116572471539039</v>
      </c>
      <c r="AF131" s="12">
        <f t="shared" si="320"/>
        <v>40.704741953475043</v>
      </c>
      <c r="AG131" s="216">
        <f t="shared" si="321"/>
        <v>2.7920490280334909E-3</v>
      </c>
      <c r="AH131" s="2">
        <f t="shared" si="371"/>
        <v>1</v>
      </c>
      <c r="AI131" s="2">
        <f t="shared" si="372"/>
        <v>3</v>
      </c>
      <c r="AJ131" s="127">
        <f t="shared" si="373"/>
        <v>2</v>
      </c>
      <c r="AK131" s="2">
        <f t="shared" si="374"/>
        <v>1.5748031496062995E-2</v>
      </c>
      <c r="AL131" s="8">
        <f t="shared" si="322"/>
        <v>2.9382919786972345E-2</v>
      </c>
      <c r="AM131" s="138">
        <f t="shared" si="375"/>
        <v>0.25</v>
      </c>
      <c r="AN131" s="12">
        <f t="shared" si="323"/>
        <v>2435.5272143159441</v>
      </c>
      <c r="AO131" s="138">
        <f t="shared" si="376"/>
        <v>0.25</v>
      </c>
      <c r="AP131" s="116">
        <f t="shared" si="377"/>
        <v>2175570</v>
      </c>
      <c r="AQ131" s="2">
        <f t="shared" si="378"/>
        <v>1.5748031496062995E-2</v>
      </c>
      <c r="AR131" s="8">
        <f t="shared" si="379"/>
        <v>8.60236248</v>
      </c>
      <c r="AS131" s="116">
        <f t="shared" si="380"/>
        <v>2610.6840000000002</v>
      </c>
      <c r="AT131" s="217">
        <f t="shared" si="381"/>
        <v>0.21878588998183091</v>
      </c>
      <c r="AU131" s="207">
        <f t="shared" si="382"/>
        <v>2.9937692081711265</v>
      </c>
      <c r="AV131" s="144">
        <f t="shared" si="383"/>
        <v>13572.994494823421</v>
      </c>
      <c r="AW131" s="138">
        <f t="shared" si="384"/>
        <v>0.25</v>
      </c>
      <c r="AX131" s="116">
        <f t="shared" si="385"/>
        <v>2175570</v>
      </c>
      <c r="AY131" s="2">
        <f t="shared" si="386"/>
        <v>1.5748031496062995E-2</v>
      </c>
      <c r="AZ131" s="8">
        <f t="shared" si="387"/>
        <v>8.60236248</v>
      </c>
      <c r="BA131" s="116">
        <f t="shared" si="388"/>
        <v>2610.6840000000002</v>
      </c>
      <c r="BB131" s="217">
        <f t="shared" si="389"/>
        <v>0.21878588998183091</v>
      </c>
      <c r="BC131" s="207">
        <f t="shared" si="390"/>
        <v>2.9937692081711265</v>
      </c>
      <c r="BD131" s="144">
        <f t="shared" si="391"/>
        <v>13572.994494823421</v>
      </c>
      <c r="BE131" s="138">
        <f t="shared" si="392"/>
        <v>0.25</v>
      </c>
      <c r="BF131" s="116">
        <f t="shared" si="393"/>
        <v>2175570</v>
      </c>
      <c r="BG131" s="2">
        <f t="shared" si="394"/>
        <v>1.5748031496062995E-2</v>
      </c>
      <c r="BH131" s="8">
        <f t="shared" si="395"/>
        <v>8.60236248</v>
      </c>
      <c r="BI131" s="116">
        <f t="shared" si="396"/>
        <v>2610.6840000000002</v>
      </c>
      <c r="BJ131" s="217">
        <f t="shared" si="397"/>
        <v>0.21878588998183091</v>
      </c>
      <c r="BK131" s="207">
        <f t="shared" si="398"/>
        <v>2.9937692081711265</v>
      </c>
      <c r="BL131" s="144">
        <f t="shared" si="399"/>
        <v>13572.994494823421</v>
      </c>
      <c r="BM131" s="216">
        <f t="shared" si="400"/>
        <v>0.25</v>
      </c>
      <c r="BN131" s="216">
        <f t="shared" si="401"/>
        <v>2.3622047244094495E-2</v>
      </c>
      <c r="BO131" s="238">
        <f t="shared" si="402"/>
        <v>1.5748031496062995E-2</v>
      </c>
      <c r="BP131" s="216">
        <f t="shared" si="403"/>
        <v>0</v>
      </c>
      <c r="BQ131" s="138">
        <f t="shared" si="404"/>
        <v>0</v>
      </c>
      <c r="BR131" s="138">
        <f t="shared" si="405"/>
        <v>0.25</v>
      </c>
      <c r="BS131" s="238">
        <f t="shared" si="406"/>
        <v>0</v>
      </c>
      <c r="BT131" s="138">
        <f t="shared" si="407"/>
        <v>0</v>
      </c>
      <c r="BU131" s="138">
        <f t="shared" si="408"/>
        <v>0</v>
      </c>
      <c r="BV131" s="138">
        <f t="shared" si="409"/>
        <v>0.25</v>
      </c>
      <c r="BW131" s="238">
        <f t="shared" si="410"/>
        <v>0</v>
      </c>
      <c r="BX131" s="216">
        <f t="shared" si="411"/>
        <v>0</v>
      </c>
      <c r="BY131" s="138">
        <f t="shared" si="412"/>
        <v>0</v>
      </c>
      <c r="BZ131" s="138">
        <f t="shared" si="413"/>
        <v>2.3622047244094495E-2</v>
      </c>
      <c r="CA131" s="238">
        <f t="shared" si="414"/>
        <v>0</v>
      </c>
      <c r="CB131" s="138">
        <f t="shared" si="415"/>
        <v>0</v>
      </c>
      <c r="CC131" s="138">
        <f t="shared" si="416"/>
        <v>0</v>
      </c>
      <c r="CD131" s="138">
        <f t="shared" si="417"/>
        <v>2.3622047244094495E-2</v>
      </c>
      <c r="CE131" s="238">
        <f t="shared" si="418"/>
        <v>0</v>
      </c>
      <c r="CF131" s="216">
        <f t="shared" si="419"/>
        <v>0</v>
      </c>
      <c r="CG131" s="138">
        <f t="shared" si="420"/>
        <v>0</v>
      </c>
      <c r="CH131" s="138">
        <f t="shared" si="421"/>
        <v>1.5748031496062995E-2</v>
      </c>
      <c r="CI131" s="238">
        <f t="shared" si="422"/>
        <v>0</v>
      </c>
      <c r="CJ131" s="138">
        <f t="shared" si="423"/>
        <v>0</v>
      </c>
      <c r="CK131" s="138">
        <f t="shared" si="424"/>
        <v>0</v>
      </c>
      <c r="CL131" s="138">
        <f t="shared" si="425"/>
        <v>1.5748031496062995E-2</v>
      </c>
      <c r="CM131" s="238">
        <f t="shared" si="426"/>
        <v>0</v>
      </c>
      <c r="CN131" s="17">
        <f t="shared" si="427"/>
        <v>0.25</v>
      </c>
      <c r="CO131" s="17">
        <f t="shared" si="428"/>
        <v>2.3622047244094495E-2</v>
      </c>
      <c r="CP131" s="17">
        <f t="shared" si="429"/>
        <v>1.5748031496062995E-2</v>
      </c>
      <c r="CQ131" s="17">
        <f>$U131-IF('Inputs-Imperial'!$E$13,0,2)*($CO131+$CN131+$CP131)</f>
        <v>3.0968504927999998</v>
      </c>
      <c r="CR131" s="116">
        <f t="shared" si="430"/>
        <v>1268.5292422665054</v>
      </c>
      <c r="CS131" s="8">
        <f t="shared" si="324"/>
        <v>3.2798195359143086E-2</v>
      </c>
      <c r="CT131" s="8">
        <f t="shared" si="431"/>
        <v>0.18110272046312029</v>
      </c>
      <c r="CU131" s="8">
        <f t="shared" si="325"/>
        <v>3.2798195359143086E-2</v>
      </c>
      <c r="CV131" s="8">
        <f t="shared" si="432"/>
        <v>0.18110272046312029</v>
      </c>
      <c r="CW131" s="216">
        <f t="shared" si="433"/>
        <v>2.9157477723368794</v>
      </c>
      <c r="CX131" s="116">
        <f t="shared" si="434"/>
        <v>1347.3200412996332</v>
      </c>
      <c r="CY131" s="8">
        <f t="shared" si="435"/>
        <v>3.4835354561381322E-2</v>
      </c>
      <c r="CZ131" s="8">
        <f t="shared" si="436"/>
        <v>0.18664231717748611</v>
      </c>
      <c r="DA131" s="8">
        <f t="shared" si="437"/>
        <v>3.4835354561381322E-2</v>
      </c>
      <c r="DB131" s="8">
        <f t="shared" si="438"/>
        <v>0.18664231717748611</v>
      </c>
      <c r="DC131" s="216">
        <f t="shared" si="439"/>
        <v>2.9102081756225138</v>
      </c>
      <c r="DD131" s="116">
        <f t="shared" si="440"/>
        <v>1349.8846721519899</v>
      </c>
      <c r="DE131" s="8">
        <f t="shared" si="441"/>
        <v>3.4901663843751027E-2</v>
      </c>
      <c r="DF131" s="8">
        <f t="shared" si="442"/>
        <v>0.18681987004532208</v>
      </c>
      <c r="DG131" s="8">
        <f t="shared" si="443"/>
        <v>3.4901663843751027E-2</v>
      </c>
      <c r="DH131" s="8">
        <f t="shared" si="444"/>
        <v>0.18681987004532208</v>
      </c>
      <c r="DI131" s="216">
        <f t="shared" si="445"/>
        <v>2.9100306227546779</v>
      </c>
      <c r="DJ131" s="116">
        <f t="shared" si="446"/>
        <v>1349.9670341357141</v>
      </c>
      <c r="DK131" s="8">
        <f t="shared" si="447"/>
        <v>3.4903793336980155E-2</v>
      </c>
      <c r="DL131" s="8">
        <f t="shared" si="448"/>
        <v>0.18682556928049263</v>
      </c>
      <c r="DM131" s="8">
        <f t="shared" si="449"/>
        <v>3.4903793336980155E-2</v>
      </c>
      <c r="DN131" s="8">
        <f t="shared" si="450"/>
        <v>0.18682556928049263</v>
      </c>
      <c r="DO131" s="216">
        <f t="shared" si="451"/>
        <v>2.910024923519507</v>
      </c>
      <c r="DP131" s="116">
        <f t="shared" si="452"/>
        <v>1349.9696780235854</v>
      </c>
      <c r="DQ131" s="170">
        <f t="shared" si="453"/>
        <v>3.4903861695475977E-2</v>
      </c>
      <c r="DR131" s="8">
        <f t="shared" si="454"/>
        <v>0.18682575222778036</v>
      </c>
      <c r="DS131" s="8">
        <f t="shared" si="455"/>
        <v>3.4903861695475977E-2</v>
      </c>
      <c r="DT131" s="134">
        <f t="shared" si="456"/>
        <v>0.18682575222778036</v>
      </c>
      <c r="DU131" s="170">
        <f t="shared" ref="DU131:DX139" si="560">MAX(DQ$130:DQ$139)</f>
        <v>3.7417273971028842E-2</v>
      </c>
      <c r="DV131" s="170">
        <f t="shared" si="560"/>
        <v>0.19343545169132995</v>
      </c>
      <c r="DW131" s="170">
        <f t="shared" si="560"/>
        <v>3.7417273971028842E-2</v>
      </c>
      <c r="DX131" s="272">
        <f t="shared" si="560"/>
        <v>0.19343545169132995</v>
      </c>
      <c r="DY131" s="272">
        <f t="shared" si="457"/>
        <v>2.7099795894173395</v>
      </c>
      <c r="DZ131" s="22">
        <f t="shared" si="326"/>
        <v>79.652385298079338</v>
      </c>
      <c r="EA131" s="216">
        <f t="shared" si="327"/>
        <v>5.2184926254578868E-3</v>
      </c>
      <c r="EB131" s="12">
        <f t="shared" si="458"/>
        <v>1</v>
      </c>
      <c r="EC131" s="7">
        <f>ROUND(MAX(DV131,DX131)/'Inputs-Imperial'!$E$21,0)</f>
        <v>2</v>
      </c>
      <c r="ED131" s="12">
        <f t="shared" si="459"/>
        <v>2</v>
      </c>
      <c r="EE131" s="2">
        <f t="shared" si="460"/>
        <v>2</v>
      </c>
      <c r="EF131" s="127">
        <f t="shared" si="461"/>
        <v>2</v>
      </c>
      <c r="EG131" s="2">
        <f t="shared" si="462"/>
        <v>1.5748031496062995E-2</v>
      </c>
      <c r="EH131" s="8">
        <f t="shared" si="328"/>
        <v>5.4918287137218753E-2</v>
      </c>
      <c r="EI131" s="138">
        <f t="shared" si="463"/>
        <v>0.25</v>
      </c>
      <c r="EJ131" s="12">
        <f t="shared" si="329"/>
        <v>4552.1338197852328</v>
      </c>
      <c r="EK131" s="138">
        <f t="shared" si="464"/>
        <v>0.25</v>
      </c>
      <c r="EL131" s="116">
        <f t="shared" si="465"/>
        <v>2175570</v>
      </c>
      <c r="EM131" s="2">
        <f t="shared" si="330"/>
        <v>1.5748031496062995E-2</v>
      </c>
      <c r="EN131" s="8">
        <f t="shared" si="466"/>
        <v>3.0968504927999998</v>
      </c>
      <c r="EO131" s="116">
        <f t="shared" si="467"/>
        <v>2610.6840000000002</v>
      </c>
      <c r="EP131" s="217">
        <f t="shared" si="468"/>
        <v>1.6881627313412881</v>
      </c>
      <c r="EQ131" s="207">
        <f t="shared" si="469"/>
        <v>2</v>
      </c>
      <c r="ER131" s="144">
        <f t="shared" si="470"/>
        <v>69965.243484730352</v>
      </c>
      <c r="ES131" s="138">
        <f t="shared" si="331"/>
        <v>0.25</v>
      </c>
      <c r="ET131" s="116">
        <f t="shared" si="471"/>
        <v>2175570</v>
      </c>
      <c r="EU131" s="2">
        <f t="shared" si="332"/>
        <v>1.5748031496062995E-2</v>
      </c>
      <c r="EV131" s="8">
        <f t="shared" si="472"/>
        <v>3.0968504927999998</v>
      </c>
      <c r="EW131" s="116">
        <f t="shared" si="473"/>
        <v>2610.6840000000002</v>
      </c>
      <c r="EX131" s="217">
        <f t="shared" si="474"/>
        <v>1.6881627313412881</v>
      </c>
      <c r="EY131" s="207">
        <f t="shared" si="475"/>
        <v>2</v>
      </c>
      <c r="EZ131" s="144">
        <f t="shared" si="476"/>
        <v>69965.243484730352</v>
      </c>
      <c r="FA131" s="138">
        <f t="shared" si="333"/>
        <v>0.25</v>
      </c>
      <c r="FB131" s="116">
        <f t="shared" si="477"/>
        <v>2175570</v>
      </c>
      <c r="FC131" s="2">
        <f t="shared" si="334"/>
        <v>1.5748031496062995E-2</v>
      </c>
      <c r="FD131" s="8">
        <f t="shared" si="478"/>
        <v>3.0968504927999998</v>
      </c>
      <c r="FE131" s="116">
        <f t="shared" si="479"/>
        <v>2610.6840000000002</v>
      </c>
      <c r="FF131" s="217">
        <f t="shared" si="480"/>
        <v>1.6881627313412881</v>
      </c>
      <c r="FG131" s="207">
        <f t="shared" si="481"/>
        <v>2</v>
      </c>
      <c r="FH131" s="144">
        <f t="shared" si="482"/>
        <v>69965.243484730352</v>
      </c>
      <c r="FI131" s="128">
        <f t="shared" si="483"/>
        <v>0.25</v>
      </c>
      <c r="FJ131" s="2">
        <f t="shared" si="484"/>
        <v>1.5748031496062995E-2</v>
      </c>
      <c r="FK131" s="127">
        <f t="shared" si="485"/>
        <v>1.5748031496062995E-2</v>
      </c>
      <c r="FL131" s="216">
        <f t="shared" si="486"/>
        <v>0</v>
      </c>
      <c r="FM131" s="138">
        <f t="shared" si="487"/>
        <v>0</v>
      </c>
      <c r="FN131" s="138">
        <f t="shared" si="488"/>
        <v>0.25</v>
      </c>
      <c r="FO131" s="238">
        <f t="shared" si="489"/>
        <v>0</v>
      </c>
      <c r="FP131" s="216">
        <f t="shared" si="335"/>
        <v>0</v>
      </c>
      <c r="FQ131" s="138">
        <f t="shared" si="336"/>
        <v>0</v>
      </c>
      <c r="FR131" s="138">
        <f t="shared" si="337"/>
        <v>0.25</v>
      </c>
      <c r="FS131" s="238">
        <f t="shared" si="338"/>
        <v>0</v>
      </c>
      <c r="FT131" s="216">
        <f t="shared" si="490"/>
        <v>0</v>
      </c>
      <c r="FU131" s="138">
        <f t="shared" si="491"/>
        <v>0</v>
      </c>
      <c r="FV131" s="138">
        <f t="shared" si="492"/>
        <v>1.5748031496062995E-2</v>
      </c>
      <c r="FW131" s="238">
        <f t="shared" si="493"/>
        <v>0</v>
      </c>
      <c r="FX131" s="216">
        <f t="shared" si="339"/>
        <v>0</v>
      </c>
      <c r="FY131" s="138">
        <f t="shared" si="340"/>
        <v>0</v>
      </c>
      <c r="FZ131" s="138">
        <f t="shared" si="341"/>
        <v>1.5748031496062995E-2</v>
      </c>
      <c r="GA131" s="238">
        <f t="shared" si="342"/>
        <v>0</v>
      </c>
      <c r="GB131" s="216">
        <f t="shared" si="494"/>
        <v>0</v>
      </c>
      <c r="GC131" s="138">
        <f t="shared" si="495"/>
        <v>0</v>
      </c>
      <c r="GD131" s="138">
        <f t="shared" si="496"/>
        <v>1.5748031496062995E-2</v>
      </c>
      <c r="GE131" s="238">
        <f t="shared" si="497"/>
        <v>0</v>
      </c>
      <c r="GF131" s="216">
        <f t="shared" si="343"/>
        <v>0</v>
      </c>
      <c r="GG131" s="138">
        <f t="shared" si="344"/>
        <v>0</v>
      </c>
      <c r="GH131" s="138">
        <f t="shared" si="345"/>
        <v>1.5748031496062995E-2</v>
      </c>
      <c r="GI131" s="238">
        <f t="shared" si="346"/>
        <v>0</v>
      </c>
      <c r="GJ131" s="216">
        <f t="shared" si="498"/>
        <v>0.25</v>
      </c>
      <c r="GK131" s="216">
        <f t="shared" si="499"/>
        <v>1.5748031496062995E-2</v>
      </c>
      <c r="GL131" s="17">
        <f t="shared" si="500"/>
        <v>1.5748031496062995E-2</v>
      </c>
      <c r="GM131" s="216">
        <f t="shared" si="347"/>
        <v>2.6668052050225015E-3</v>
      </c>
      <c r="GN131" s="2">
        <f t="shared" si="501"/>
        <v>1</v>
      </c>
      <c r="GO131" s="2">
        <f t="shared" si="502"/>
        <v>2</v>
      </c>
      <c r="GP131" s="142">
        <f t="shared" si="503"/>
        <v>2</v>
      </c>
      <c r="GQ131" s="2">
        <f t="shared" si="504"/>
        <v>1.5748031496062995E-2</v>
      </c>
      <c r="GR131" s="8">
        <f t="shared" si="348"/>
        <v>2.8064880895679094E-2</v>
      </c>
      <c r="GS131" s="138">
        <f t="shared" si="505"/>
        <v>0.25</v>
      </c>
      <c r="GT131" s="12">
        <f t="shared" si="349"/>
        <v>2326.2760026410983</v>
      </c>
      <c r="GU131" s="138">
        <f t="shared" si="506"/>
        <v>0.25</v>
      </c>
      <c r="GV131" s="116">
        <f t="shared" si="507"/>
        <v>2175570</v>
      </c>
      <c r="GW131" s="2">
        <f t="shared" si="350"/>
        <v>1.5748031496062995E-2</v>
      </c>
      <c r="GX131" s="8">
        <f t="shared" si="351"/>
        <v>1.5484252463999999</v>
      </c>
      <c r="GY131" s="116">
        <f t="shared" si="508"/>
        <v>2610.6840000000002</v>
      </c>
      <c r="GZ131" s="217">
        <f t="shared" si="509"/>
        <v>6.7526509253651525</v>
      </c>
      <c r="HA131" s="207">
        <f t="shared" si="510"/>
        <v>2</v>
      </c>
      <c r="HB131" s="144">
        <f t="shared" si="511"/>
        <v>279860.97393892141</v>
      </c>
      <c r="HC131" s="138">
        <f t="shared" si="352"/>
        <v>0.25</v>
      </c>
      <c r="HD131" s="116">
        <f t="shared" si="512"/>
        <v>2175570</v>
      </c>
      <c r="HE131" s="2">
        <f t="shared" si="353"/>
        <v>1.5748031496062995E-2</v>
      </c>
      <c r="HF131" s="8">
        <f t="shared" si="513"/>
        <v>1.5484252463999999</v>
      </c>
      <c r="HG131" s="116">
        <f t="shared" si="514"/>
        <v>2610.6840000000002</v>
      </c>
      <c r="HH131" s="217">
        <f t="shared" si="515"/>
        <v>6.7526509253651525</v>
      </c>
      <c r="HI131" s="207">
        <f t="shared" si="516"/>
        <v>2</v>
      </c>
      <c r="HJ131" s="144">
        <f t="shared" si="517"/>
        <v>279860.97393892141</v>
      </c>
      <c r="HK131" s="138">
        <f t="shared" si="354"/>
        <v>0.25</v>
      </c>
      <c r="HL131" s="116">
        <f t="shared" si="518"/>
        <v>2175570</v>
      </c>
      <c r="HM131" s="2">
        <f t="shared" si="355"/>
        <v>1.5748031496062995E-2</v>
      </c>
      <c r="HN131" s="8">
        <f t="shared" si="519"/>
        <v>1.5484252463999999</v>
      </c>
      <c r="HO131" s="116">
        <f t="shared" si="520"/>
        <v>2610.6840000000002</v>
      </c>
      <c r="HP131" s="217">
        <f t="shared" si="521"/>
        <v>6.7526509253651525</v>
      </c>
      <c r="HQ131" s="207">
        <f t="shared" si="522"/>
        <v>2</v>
      </c>
      <c r="HR131" s="144">
        <f t="shared" si="523"/>
        <v>279860.97393892141</v>
      </c>
      <c r="HS131" s="128">
        <f t="shared" si="524"/>
        <v>0.25</v>
      </c>
      <c r="HT131" s="2">
        <f t="shared" si="525"/>
        <v>1.5748031496062995E-2</v>
      </c>
      <c r="HU131" s="127">
        <f t="shared" si="526"/>
        <v>1.5748031496062995E-2</v>
      </c>
      <c r="HV131" s="216">
        <f t="shared" si="527"/>
        <v>0</v>
      </c>
      <c r="HW131" s="138">
        <f t="shared" si="528"/>
        <v>0</v>
      </c>
      <c r="HX131" s="138">
        <f t="shared" si="529"/>
        <v>0.25</v>
      </c>
      <c r="HY131" s="238">
        <f t="shared" si="530"/>
        <v>0</v>
      </c>
      <c r="HZ131" s="138">
        <f t="shared" si="531"/>
        <v>0</v>
      </c>
      <c r="IA131" s="138">
        <f t="shared" si="532"/>
        <v>0</v>
      </c>
      <c r="IB131" s="138">
        <f t="shared" si="533"/>
        <v>0.25</v>
      </c>
      <c r="IC131" s="138">
        <f t="shared" si="534"/>
        <v>0</v>
      </c>
      <c r="ID131" s="216">
        <f t="shared" si="535"/>
        <v>0</v>
      </c>
      <c r="IE131" s="138">
        <f t="shared" si="536"/>
        <v>0</v>
      </c>
      <c r="IF131" s="138">
        <f t="shared" si="537"/>
        <v>1.5748031496062995E-2</v>
      </c>
      <c r="IG131" s="238">
        <f t="shared" si="538"/>
        <v>0</v>
      </c>
      <c r="IH131" s="138">
        <f t="shared" si="539"/>
        <v>0</v>
      </c>
      <c r="II131" s="138">
        <f t="shared" si="540"/>
        <v>0</v>
      </c>
      <c r="IJ131" s="138">
        <f t="shared" si="541"/>
        <v>1.5748031496062995E-2</v>
      </c>
      <c r="IK131" s="138">
        <f t="shared" si="542"/>
        <v>0</v>
      </c>
      <c r="IL131" s="216">
        <f t="shared" si="543"/>
        <v>0</v>
      </c>
      <c r="IM131" s="138">
        <f t="shared" si="544"/>
        <v>0</v>
      </c>
      <c r="IN131" s="138">
        <f t="shared" si="545"/>
        <v>1.5748031496062995E-2</v>
      </c>
      <c r="IO131" s="238">
        <f t="shared" si="546"/>
        <v>0</v>
      </c>
      <c r="IP131" s="138">
        <f t="shared" si="547"/>
        <v>0</v>
      </c>
      <c r="IQ131" s="138">
        <f t="shared" si="548"/>
        <v>0</v>
      </c>
      <c r="IR131" s="138">
        <f t="shared" si="549"/>
        <v>1.5748031496062995E-2</v>
      </c>
      <c r="IS131" s="138">
        <f t="shared" si="550"/>
        <v>0</v>
      </c>
      <c r="IT131" s="17">
        <f t="shared" si="551"/>
        <v>0.25</v>
      </c>
      <c r="IU131" s="17">
        <f t="shared" si="552"/>
        <v>1.5748031496062995E-2</v>
      </c>
      <c r="IV131" s="17">
        <f t="shared" si="553"/>
        <v>1.5748031496062995E-2</v>
      </c>
      <c r="IW131" s="253">
        <f t="shared" si="554"/>
        <v>8.60236248</v>
      </c>
      <c r="IX131" s="116">
        <f t="shared" si="356"/>
        <v>45.667052721594189</v>
      </c>
      <c r="IY131" s="8">
        <f t="shared" si="357"/>
        <v>1.180735032929151E-3</v>
      </c>
      <c r="IZ131" s="8">
        <f t="shared" si="555"/>
        <v>1.180735032929151E-3</v>
      </c>
      <c r="JA131" s="8">
        <f t="shared" si="556"/>
        <v>5.9036751646457549E-4</v>
      </c>
      <c r="JB131" s="134">
        <f t="shared" si="557"/>
        <v>2.4297479631940747E-2</v>
      </c>
      <c r="JC131" s="170">
        <f t="shared" ref="JC131:JC139" si="561">MAX(JA$130:JA$139)</f>
        <v>6.3172897578446421E-4</v>
      </c>
      <c r="JD131" s="272">
        <f t="shared" ref="JD131:JD139" si="562">MAX(JB$130:JB$139)</f>
        <v>2.5134219219710489E-2</v>
      </c>
      <c r="JE131" s="8"/>
      <c r="JF131" s="8"/>
    </row>
    <row r="132" spans="1:266" x14ac:dyDescent="0.25">
      <c r="A132" s="186">
        <v>72</v>
      </c>
      <c r="B132" s="187">
        <f>A132/100*'Inputs-Imperial'!$E$5</f>
        <v>7.0866144000000002</v>
      </c>
      <c r="C132" s="188">
        <f>'Inputs-Imperial'!$E$10+('Inputs-Imperial'!$E$9-'Inputs-Imperial'!$E$10)*(100-A132)/100</f>
        <v>1.4238845599999999</v>
      </c>
      <c r="D132" s="187">
        <f t="shared" si="558"/>
        <v>9.8425200000000324E-2</v>
      </c>
      <c r="E132" s="188">
        <f t="shared" si="559"/>
        <v>0.14063049859466445</v>
      </c>
      <c r="F132" s="423">
        <f>Loads!P92</f>
        <v>23.599682227659756</v>
      </c>
      <c r="G132" s="423">
        <f>Loads!M92</f>
        <v>235.99682227659758</v>
      </c>
      <c r="H132" s="423">
        <f>Loads!N92</f>
        <v>303.09175621071972</v>
      </c>
      <c r="I132" s="423">
        <f>Loads!V92</f>
        <v>-151.25383083995459</v>
      </c>
      <c r="J132" s="423">
        <f>Loads!Q92</f>
        <v>30.309175621071972</v>
      </c>
      <c r="K132" s="2">
        <v>72</v>
      </c>
      <c r="L132" s="12">
        <f t="shared" si="358"/>
        <v>85.039372799999995</v>
      </c>
      <c r="M132" s="11">
        <f t="shared" si="359"/>
        <v>17.08661472</v>
      </c>
      <c r="N132" s="11">
        <f t="shared" si="360"/>
        <v>1.1811024000000039</v>
      </c>
      <c r="O132" s="152">
        <f t="shared" si="361"/>
        <v>20.250791797631678</v>
      </c>
      <c r="P132" s="151">
        <f t="shared" si="362"/>
        <v>23.599682227659756</v>
      </c>
      <c r="Q132" s="12">
        <f t="shared" si="363"/>
        <v>235.99682227659758</v>
      </c>
      <c r="R132" s="12">
        <f t="shared" si="364"/>
        <v>3637.1010745286367</v>
      </c>
      <c r="S132" s="12">
        <f t="shared" si="365"/>
        <v>-1815.0459700794549</v>
      </c>
      <c r="T132" s="152">
        <f t="shared" si="366"/>
        <v>363.71010745286367</v>
      </c>
      <c r="U132" s="8">
        <f t="shared" si="313"/>
        <v>3.0755906496000001</v>
      </c>
      <c r="V132" s="8">
        <f t="shared" si="314"/>
        <v>3.0755906496000001</v>
      </c>
      <c r="W132" s="134">
        <f t="shared" si="315"/>
        <v>1.5377953248</v>
      </c>
      <c r="X132" s="311">
        <f t="shared" si="316"/>
        <v>4.27165368</v>
      </c>
      <c r="Y132" s="11">
        <f t="shared" si="317"/>
        <v>12.81496104</v>
      </c>
      <c r="Z132" s="11">
        <f t="shared" si="318"/>
        <v>8.54330736</v>
      </c>
      <c r="AA132" s="316">
        <f t="shared" si="367"/>
        <v>12.81496104</v>
      </c>
      <c r="AB132" s="170">
        <f t="shared" si="368"/>
        <v>2.3066929871999999</v>
      </c>
      <c r="AC132" s="11">
        <f t="shared" si="369"/>
        <v>12.81496104</v>
      </c>
      <c r="AD132" s="152">
        <f t="shared" si="370"/>
        <v>23.216511680335703</v>
      </c>
      <c r="AE132" s="151">
        <f t="shared" si="319"/>
        <v>1.8415726863309883</v>
      </c>
      <c r="AF132" s="12">
        <f t="shared" si="320"/>
        <v>39.089549607419961</v>
      </c>
      <c r="AG132" s="216">
        <f t="shared" si="321"/>
        <v>2.6816367023073289E-3</v>
      </c>
      <c r="AH132" s="2">
        <f t="shared" si="371"/>
        <v>1</v>
      </c>
      <c r="AI132" s="2">
        <f t="shared" si="372"/>
        <v>3</v>
      </c>
      <c r="AJ132" s="127">
        <f t="shared" si="373"/>
        <v>2</v>
      </c>
      <c r="AK132" s="2">
        <f t="shared" si="374"/>
        <v>1.5748031496062995E-2</v>
      </c>
      <c r="AL132" s="8">
        <f t="shared" si="322"/>
        <v>2.8220964363650181E-2</v>
      </c>
      <c r="AM132" s="138">
        <f t="shared" si="375"/>
        <v>0.25</v>
      </c>
      <c r="AN132" s="12">
        <f t="shared" si="323"/>
        <v>2339.2136390878663</v>
      </c>
      <c r="AO132" s="138">
        <f t="shared" si="376"/>
        <v>0.25</v>
      </c>
      <c r="AP132" s="116">
        <f t="shared" si="377"/>
        <v>2175570</v>
      </c>
      <c r="AQ132" s="2">
        <f t="shared" si="378"/>
        <v>1.5748031496062995E-2</v>
      </c>
      <c r="AR132" s="8">
        <f t="shared" si="379"/>
        <v>8.54330736</v>
      </c>
      <c r="AS132" s="116">
        <f t="shared" si="380"/>
        <v>2610.6840000000002</v>
      </c>
      <c r="AT132" s="217">
        <f t="shared" si="381"/>
        <v>0.22182103370182138</v>
      </c>
      <c r="AU132" s="207">
        <f t="shared" si="382"/>
        <v>2.977340648708128</v>
      </c>
      <c r="AV132" s="144">
        <f t="shared" si="383"/>
        <v>13685.771900901751</v>
      </c>
      <c r="AW132" s="138">
        <f t="shared" si="384"/>
        <v>0.25</v>
      </c>
      <c r="AX132" s="116">
        <f t="shared" si="385"/>
        <v>2175570</v>
      </c>
      <c r="AY132" s="2">
        <f t="shared" si="386"/>
        <v>1.5748031496062995E-2</v>
      </c>
      <c r="AZ132" s="8">
        <f t="shared" si="387"/>
        <v>8.54330736</v>
      </c>
      <c r="BA132" s="116">
        <f t="shared" si="388"/>
        <v>2610.6840000000002</v>
      </c>
      <c r="BB132" s="217">
        <f t="shared" si="389"/>
        <v>0.22182103370182138</v>
      </c>
      <c r="BC132" s="207">
        <f t="shared" si="390"/>
        <v>2.977340648708128</v>
      </c>
      <c r="BD132" s="144">
        <f t="shared" si="391"/>
        <v>13685.771900901751</v>
      </c>
      <c r="BE132" s="138">
        <f t="shared" si="392"/>
        <v>0.25</v>
      </c>
      <c r="BF132" s="116">
        <f t="shared" si="393"/>
        <v>2175570</v>
      </c>
      <c r="BG132" s="2">
        <f t="shared" si="394"/>
        <v>1.5748031496062995E-2</v>
      </c>
      <c r="BH132" s="8">
        <f t="shared" si="395"/>
        <v>8.54330736</v>
      </c>
      <c r="BI132" s="116">
        <f t="shared" si="396"/>
        <v>2610.6840000000002</v>
      </c>
      <c r="BJ132" s="217">
        <f t="shared" si="397"/>
        <v>0.22182103370182138</v>
      </c>
      <c r="BK132" s="207">
        <f t="shared" si="398"/>
        <v>2.977340648708128</v>
      </c>
      <c r="BL132" s="144">
        <f t="shared" si="399"/>
        <v>13685.771900901751</v>
      </c>
      <c r="BM132" s="216">
        <f t="shared" si="400"/>
        <v>0.25</v>
      </c>
      <c r="BN132" s="216">
        <f t="shared" si="401"/>
        <v>2.3622047244094495E-2</v>
      </c>
      <c r="BO132" s="238">
        <f t="shared" si="402"/>
        <v>1.5748031496062995E-2</v>
      </c>
      <c r="BP132" s="216">
        <f t="shared" si="403"/>
        <v>0</v>
      </c>
      <c r="BQ132" s="138">
        <f t="shared" si="404"/>
        <v>0</v>
      </c>
      <c r="BR132" s="138">
        <f t="shared" si="405"/>
        <v>0.25</v>
      </c>
      <c r="BS132" s="238">
        <f t="shared" si="406"/>
        <v>0</v>
      </c>
      <c r="BT132" s="138">
        <f t="shared" si="407"/>
        <v>0</v>
      </c>
      <c r="BU132" s="138">
        <f t="shared" si="408"/>
        <v>0</v>
      </c>
      <c r="BV132" s="138">
        <f t="shared" si="409"/>
        <v>0.25</v>
      </c>
      <c r="BW132" s="238">
        <f t="shared" si="410"/>
        <v>0</v>
      </c>
      <c r="BX132" s="216">
        <f t="shared" si="411"/>
        <v>0</v>
      </c>
      <c r="BY132" s="138">
        <f t="shared" si="412"/>
        <v>0</v>
      </c>
      <c r="BZ132" s="138">
        <f t="shared" si="413"/>
        <v>2.3622047244094495E-2</v>
      </c>
      <c r="CA132" s="238">
        <f t="shared" si="414"/>
        <v>0</v>
      </c>
      <c r="CB132" s="138">
        <f t="shared" si="415"/>
        <v>0</v>
      </c>
      <c r="CC132" s="138">
        <f t="shared" si="416"/>
        <v>0</v>
      </c>
      <c r="CD132" s="138">
        <f t="shared" si="417"/>
        <v>2.3622047244094495E-2</v>
      </c>
      <c r="CE132" s="238">
        <f t="shared" si="418"/>
        <v>0</v>
      </c>
      <c r="CF132" s="216">
        <f t="shared" si="419"/>
        <v>0</v>
      </c>
      <c r="CG132" s="138">
        <f t="shared" si="420"/>
        <v>0</v>
      </c>
      <c r="CH132" s="138">
        <f t="shared" si="421"/>
        <v>1.5748031496062995E-2</v>
      </c>
      <c r="CI132" s="238">
        <f t="shared" si="422"/>
        <v>0</v>
      </c>
      <c r="CJ132" s="138">
        <f t="shared" si="423"/>
        <v>0</v>
      </c>
      <c r="CK132" s="138">
        <f t="shared" si="424"/>
        <v>0</v>
      </c>
      <c r="CL132" s="138">
        <f t="shared" si="425"/>
        <v>1.5748031496062995E-2</v>
      </c>
      <c r="CM132" s="238">
        <f t="shared" si="426"/>
        <v>0</v>
      </c>
      <c r="CN132" s="17">
        <f t="shared" si="427"/>
        <v>0.25</v>
      </c>
      <c r="CO132" s="17">
        <f t="shared" si="428"/>
        <v>2.3622047244094495E-2</v>
      </c>
      <c r="CP132" s="17">
        <f t="shared" si="429"/>
        <v>1.5748031496062995E-2</v>
      </c>
      <c r="CQ132" s="17">
        <f>$U132-IF('Inputs-Imperial'!$E$13,0,2)*($CO132+$CN132+$CP132)</f>
        <v>3.0755906496000001</v>
      </c>
      <c r="CR132" s="116">
        <f t="shared" si="430"/>
        <v>1182.569947987605</v>
      </c>
      <c r="CS132" s="8">
        <f t="shared" si="324"/>
        <v>3.0575692611270966E-2</v>
      </c>
      <c r="CT132" s="8">
        <f t="shared" si="431"/>
        <v>0.17485906499598747</v>
      </c>
      <c r="CU132" s="8">
        <f t="shared" si="325"/>
        <v>3.0575692611270966E-2</v>
      </c>
      <c r="CV132" s="8">
        <f t="shared" si="432"/>
        <v>0.17485906499598747</v>
      </c>
      <c r="CW132" s="216">
        <f t="shared" si="433"/>
        <v>2.9007315846040123</v>
      </c>
      <c r="CX132" s="116">
        <f t="shared" si="434"/>
        <v>1253.856473254194</v>
      </c>
      <c r="CY132" s="8">
        <f t="shared" si="435"/>
        <v>3.2418826615805703E-2</v>
      </c>
      <c r="CZ132" s="8">
        <f t="shared" si="436"/>
        <v>0.18005228856031155</v>
      </c>
      <c r="DA132" s="8">
        <f t="shared" si="437"/>
        <v>3.2418826615805703E-2</v>
      </c>
      <c r="DB132" s="8">
        <f t="shared" si="438"/>
        <v>0.18005228856031155</v>
      </c>
      <c r="DC132" s="216">
        <f t="shared" si="439"/>
        <v>2.8955383610396885</v>
      </c>
      <c r="DD132" s="116">
        <f t="shared" si="440"/>
        <v>1256.1052975387549</v>
      </c>
      <c r="DE132" s="8">
        <f t="shared" si="441"/>
        <v>3.2476970626803534E-2</v>
      </c>
      <c r="DF132" s="8">
        <f t="shared" si="442"/>
        <v>0.18021368046517316</v>
      </c>
      <c r="DG132" s="8">
        <f t="shared" si="443"/>
        <v>3.2476970626803534E-2</v>
      </c>
      <c r="DH132" s="8">
        <f t="shared" si="444"/>
        <v>0.18021368046517316</v>
      </c>
      <c r="DI132" s="216">
        <f t="shared" si="445"/>
        <v>2.8953769691348268</v>
      </c>
      <c r="DJ132" s="116">
        <f t="shared" si="446"/>
        <v>1256.1753144066231</v>
      </c>
      <c r="DK132" s="8">
        <f t="shared" si="447"/>
        <v>3.2478780933443897E-2</v>
      </c>
      <c r="DL132" s="8">
        <f t="shared" si="448"/>
        <v>0.18021870306226237</v>
      </c>
      <c r="DM132" s="8">
        <f t="shared" si="449"/>
        <v>3.2478780933443897E-2</v>
      </c>
      <c r="DN132" s="8">
        <f t="shared" si="450"/>
        <v>0.18021870306226237</v>
      </c>
      <c r="DO132" s="216">
        <f t="shared" si="451"/>
        <v>2.8953719465377374</v>
      </c>
      <c r="DP132" s="116">
        <f t="shared" si="452"/>
        <v>1256.177493491934</v>
      </c>
      <c r="DQ132" s="170">
        <f t="shared" si="453"/>
        <v>3.2478837274333296E-2</v>
      </c>
      <c r="DR132" s="8">
        <f t="shared" si="454"/>
        <v>0.18021885937474272</v>
      </c>
      <c r="DS132" s="8">
        <f t="shared" si="455"/>
        <v>3.2478837274333296E-2</v>
      </c>
      <c r="DT132" s="134">
        <f t="shared" si="456"/>
        <v>0.18021885937474272</v>
      </c>
      <c r="DU132" s="170">
        <f t="shared" si="560"/>
        <v>3.7417273971028842E-2</v>
      </c>
      <c r="DV132" s="170">
        <f t="shared" si="560"/>
        <v>0.19343545169132995</v>
      </c>
      <c r="DW132" s="170">
        <f t="shared" si="560"/>
        <v>3.7417273971028842E-2</v>
      </c>
      <c r="DX132" s="272">
        <f t="shared" si="560"/>
        <v>0.19343545169132995</v>
      </c>
      <c r="DY132" s="272">
        <f t="shared" si="457"/>
        <v>2.6887197462173398</v>
      </c>
      <c r="DZ132" s="22">
        <f t="shared" si="326"/>
        <v>76.732195263791183</v>
      </c>
      <c r="EA132" s="216">
        <f t="shared" si="327"/>
        <v>5.027173933596492E-3</v>
      </c>
      <c r="EB132" s="12">
        <f t="shared" si="458"/>
        <v>1</v>
      </c>
      <c r="EC132" s="7">
        <f>ROUND(MAX(DV132,DX132)/'Inputs-Imperial'!$E$21,0)</f>
        <v>2</v>
      </c>
      <c r="ED132" s="12">
        <f t="shared" si="459"/>
        <v>2</v>
      </c>
      <c r="EE132" s="2">
        <f t="shared" si="460"/>
        <v>2</v>
      </c>
      <c r="EF132" s="127">
        <f t="shared" si="461"/>
        <v>2</v>
      </c>
      <c r="EG132" s="2">
        <f t="shared" si="462"/>
        <v>1.5748031496062995E-2</v>
      </c>
      <c r="EH132" s="8">
        <f t="shared" si="328"/>
        <v>5.2904890624382014E-2</v>
      </c>
      <c r="EI132" s="138">
        <f t="shared" si="463"/>
        <v>0.25</v>
      </c>
      <c r="EJ132" s="12">
        <f t="shared" si="329"/>
        <v>4385.2449593256651</v>
      </c>
      <c r="EK132" s="138">
        <f t="shared" si="464"/>
        <v>0.25</v>
      </c>
      <c r="EL132" s="116">
        <f t="shared" si="465"/>
        <v>2175570</v>
      </c>
      <c r="EM132" s="2">
        <f t="shared" si="330"/>
        <v>1.5748031496062995E-2</v>
      </c>
      <c r="EN132" s="8">
        <f t="shared" si="466"/>
        <v>3.0755906496000001</v>
      </c>
      <c r="EO132" s="116">
        <f t="shared" si="467"/>
        <v>2610.6840000000002</v>
      </c>
      <c r="EP132" s="217">
        <f t="shared" si="468"/>
        <v>1.7115820501683747</v>
      </c>
      <c r="EQ132" s="207">
        <f t="shared" si="469"/>
        <v>2</v>
      </c>
      <c r="ER132" s="144">
        <f t="shared" si="470"/>
        <v>70935.847984855631</v>
      </c>
      <c r="ES132" s="138">
        <f t="shared" si="331"/>
        <v>0.25</v>
      </c>
      <c r="ET132" s="116">
        <f t="shared" si="471"/>
        <v>2175570</v>
      </c>
      <c r="EU132" s="2">
        <f t="shared" si="332"/>
        <v>1.5748031496062995E-2</v>
      </c>
      <c r="EV132" s="8">
        <f t="shared" si="472"/>
        <v>3.0755906496000001</v>
      </c>
      <c r="EW132" s="116">
        <f t="shared" si="473"/>
        <v>2610.6840000000002</v>
      </c>
      <c r="EX132" s="217">
        <f t="shared" si="474"/>
        <v>1.7115820501683747</v>
      </c>
      <c r="EY132" s="207">
        <f t="shared" si="475"/>
        <v>2</v>
      </c>
      <c r="EZ132" s="144">
        <f t="shared" si="476"/>
        <v>70935.847984855631</v>
      </c>
      <c r="FA132" s="138">
        <f t="shared" si="333"/>
        <v>0.25</v>
      </c>
      <c r="FB132" s="116">
        <f t="shared" si="477"/>
        <v>2175570</v>
      </c>
      <c r="FC132" s="2">
        <f t="shared" si="334"/>
        <v>1.5748031496062995E-2</v>
      </c>
      <c r="FD132" s="8">
        <f t="shared" si="478"/>
        <v>3.0755906496000001</v>
      </c>
      <c r="FE132" s="116">
        <f t="shared" si="479"/>
        <v>2610.6840000000002</v>
      </c>
      <c r="FF132" s="217">
        <f t="shared" si="480"/>
        <v>1.7115820501683747</v>
      </c>
      <c r="FG132" s="207">
        <f t="shared" si="481"/>
        <v>2</v>
      </c>
      <c r="FH132" s="144">
        <f t="shared" si="482"/>
        <v>70935.847984855631</v>
      </c>
      <c r="FI132" s="128">
        <f t="shared" si="483"/>
        <v>0.25</v>
      </c>
      <c r="FJ132" s="2">
        <f t="shared" si="484"/>
        <v>1.5748031496062995E-2</v>
      </c>
      <c r="FK132" s="127">
        <f t="shared" si="485"/>
        <v>1.5748031496062995E-2</v>
      </c>
      <c r="FL132" s="216">
        <f t="shared" si="486"/>
        <v>0</v>
      </c>
      <c r="FM132" s="138">
        <f t="shared" si="487"/>
        <v>0</v>
      </c>
      <c r="FN132" s="138">
        <f t="shared" si="488"/>
        <v>0.25</v>
      </c>
      <c r="FO132" s="238">
        <f t="shared" si="489"/>
        <v>0</v>
      </c>
      <c r="FP132" s="216">
        <f t="shared" si="335"/>
        <v>0</v>
      </c>
      <c r="FQ132" s="138">
        <f t="shared" si="336"/>
        <v>0</v>
      </c>
      <c r="FR132" s="138">
        <f t="shared" si="337"/>
        <v>0.25</v>
      </c>
      <c r="FS132" s="238">
        <f t="shared" si="338"/>
        <v>0</v>
      </c>
      <c r="FT132" s="216">
        <f t="shared" si="490"/>
        <v>0</v>
      </c>
      <c r="FU132" s="138">
        <f t="shared" si="491"/>
        <v>0</v>
      </c>
      <c r="FV132" s="138">
        <f t="shared" si="492"/>
        <v>1.5748031496062995E-2</v>
      </c>
      <c r="FW132" s="238">
        <f t="shared" si="493"/>
        <v>0</v>
      </c>
      <c r="FX132" s="216">
        <f t="shared" si="339"/>
        <v>0</v>
      </c>
      <c r="FY132" s="138">
        <f t="shared" si="340"/>
        <v>0</v>
      </c>
      <c r="FZ132" s="138">
        <f t="shared" si="341"/>
        <v>1.5748031496062995E-2</v>
      </c>
      <c r="GA132" s="238">
        <f t="shared" si="342"/>
        <v>0</v>
      </c>
      <c r="GB132" s="216">
        <f t="shared" si="494"/>
        <v>0</v>
      </c>
      <c r="GC132" s="138">
        <f t="shared" si="495"/>
        <v>0</v>
      </c>
      <c r="GD132" s="138">
        <f t="shared" si="496"/>
        <v>1.5748031496062995E-2</v>
      </c>
      <c r="GE132" s="238">
        <f t="shared" si="497"/>
        <v>0</v>
      </c>
      <c r="GF132" s="216">
        <f t="shared" si="343"/>
        <v>0</v>
      </c>
      <c r="GG132" s="138">
        <f t="shared" si="344"/>
        <v>0</v>
      </c>
      <c r="GH132" s="138">
        <f t="shared" si="345"/>
        <v>1.5748031496062995E-2</v>
      </c>
      <c r="GI132" s="238">
        <f t="shared" si="346"/>
        <v>0</v>
      </c>
      <c r="GJ132" s="216">
        <f t="shared" si="498"/>
        <v>0.25</v>
      </c>
      <c r="GK132" s="216">
        <f t="shared" si="499"/>
        <v>1.5748031496062995E-2</v>
      </c>
      <c r="GL132" s="17">
        <f t="shared" si="500"/>
        <v>1.5748031496062995E-2</v>
      </c>
      <c r="GM132" s="216">
        <f t="shared" si="347"/>
        <v>2.5609845279010129E-3</v>
      </c>
      <c r="GN132" s="2">
        <f t="shared" si="501"/>
        <v>1</v>
      </c>
      <c r="GO132" s="2">
        <f t="shared" si="502"/>
        <v>2</v>
      </c>
      <c r="GP132" s="142">
        <f t="shared" si="503"/>
        <v>2</v>
      </c>
      <c r="GQ132" s="2">
        <f t="shared" si="504"/>
        <v>1.5748031496062995E-2</v>
      </c>
      <c r="GR132" s="8">
        <f t="shared" si="348"/>
        <v>2.6951246988665013E-2</v>
      </c>
      <c r="GS132" s="138">
        <f t="shared" si="505"/>
        <v>0.25</v>
      </c>
      <c r="GT132" s="12">
        <f t="shared" si="349"/>
        <v>2233.9677600640503</v>
      </c>
      <c r="GU132" s="138">
        <f t="shared" si="506"/>
        <v>0.25</v>
      </c>
      <c r="GV132" s="116">
        <f t="shared" si="507"/>
        <v>2175570</v>
      </c>
      <c r="GW132" s="2">
        <f t="shared" si="350"/>
        <v>1.5748031496062995E-2</v>
      </c>
      <c r="GX132" s="8">
        <f t="shared" si="351"/>
        <v>1.5377953248</v>
      </c>
      <c r="GY132" s="116">
        <f t="shared" si="508"/>
        <v>2610.6840000000002</v>
      </c>
      <c r="GZ132" s="217">
        <f t="shared" si="509"/>
        <v>6.8463282006734989</v>
      </c>
      <c r="HA132" s="207">
        <f t="shared" si="510"/>
        <v>2</v>
      </c>
      <c r="HB132" s="144">
        <f t="shared" si="511"/>
        <v>283743.39193942252</v>
      </c>
      <c r="HC132" s="138">
        <f t="shared" si="352"/>
        <v>0.25</v>
      </c>
      <c r="HD132" s="116">
        <f t="shared" si="512"/>
        <v>2175570</v>
      </c>
      <c r="HE132" s="2">
        <f t="shared" si="353"/>
        <v>1.5748031496062995E-2</v>
      </c>
      <c r="HF132" s="8">
        <f t="shared" si="513"/>
        <v>1.5377953248</v>
      </c>
      <c r="HG132" s="116">
        <f t="shared" si="514"/>
        <v>2610.6840000000002</v>
      </c>
      <c r="HH132" s="217">
        <f t="shared" si="515"/>
        <v>6.8463282006734989</v>
      </c>
      <c r="HI132" s="207">
        <f t="shared" si="516"/>
        <v>2</v>
      </c>
      <c r="HJ132" s="144">
        <f t="shared" si="517"/>
        <v>283743.39193942252</v>
      </c>
      <c r="HK132" s="138">
        <f t="shared" si="354"/>
        <v>0.25</v>
      </c>
      <c r="HL132" s="116">
        <f t="shared" si="518"/>
        <v>2175570</v>
      </c>
      <c r="HM132" s="2">
        <f t="shared" si="355"/>
        <v>1.5748031496062995E-2</v>
      </c>
      <c r="HN132" s="8">
        <f t="shared" si="519"/>
        <v>1.5377953248</v>
      </c>
      <c r="HO132" s="116">
        <f t="shared" si="520"/>
        <v>2610.6840000000002</v>
      </c>
      <c r="HP132" s="217">
        <f t="shared" si="521"/>
        <v>6.8463282006734989</v>
      </c>
      <c r="HQ132" s="207">
        <f t="shared" si="522"/>
        <v>2</v>
      </c>
      <c r="HR132" s="144">
        <f t="shared" si="523"/>
        <v>283743.39193942252</v>
      </c>
      <c r="HS132" s="128">
        <f t="shared" si="524"/>
        <v>0.25</v>
      </c>
      <c r="HT132" s="2">
        <f t="shared" si="525"/>
        <v>1.5748031496062995E-2</v>
      </c>
      <c r="HU132" s="127">
        <f t="shared" si="526"/>
        <v>1.5748031496062995E-2</v>
      </c>
      <c r="HV132" s="216">
        <f t="shared" si="527"/>
        <v>0</v>
      </c>
      <c r="HW132" s="138">
        <f t="shared" si="528"/>
        <v>0</v>
      </c>
      <c r="HX132" s="138">
        <f t="shared" si="529"/>
        <v>0.25</v>
      </c>
      <c r="HY132" s="238">
        <f t="shared" si="530"/>
        <v>0</v>
      </c>
      <c r="HZ132" s="138">
        <f t="shared" si="531"/>
        <v>0</v>
      </c>
      <c r="IA132" s="138">
        <f t="shared" si="532"/>
        <v>0</v>
      </c>
      <c r="IB132" s="138">
        <f t="shared" si="533"/>
        <v>0.25</v>
      </c>
      <c r="IC132" s="138">
        <f t="shared" si="534"/>
        <v>0</v>
      </c>
      <c r="ID132" s="216">
        <f t="shared" si="535"/>
        <v>0</v>
      </c>
      <c r="IE132" s="138">
        <f t="shared" si="536"/>
        <v>0</v>
      </c>
      <c r="IF132" s="138">
        <f t="shared" si="537"/>
        <v>1.5748031496062995E-2</v>
      </c>
      <c r="IG132" s="238">
        <f t="shared" si="538"/>
        <v>0</v>
      </c>
      <c r="IH132" s="138">
        <f t="shared" si="539"/>
        <v>0</v>
      </c>
      <c r="II132" s="138">
        <f t="shared" si="540"/>
        <v>0</v>
      </c>
      <c r="IJ132" s="138">
        <f t="shared" si="541"/>
        <v>1.5748031496062995E-2</v>
      </c>
      <c r="IK132" s="138">
        <f t="shared" si="542"/>
        <v>0</v>
      </c>
      <c r="IL132" s="216">
        <f t="shared" si="543"/>
        <v>0</v>
      </c>
      <c r="IM132" s="138">
        <f t="shared" si="544"/>
        <v>0</v>
      </c>
      <c r="IN132" s="138">
        <f t="shared" si="545"/>
        <v>1.5748031496062995E-2</v>
      </c>
      <c r="IO132" s="238">
        <f t="shared" si="546"/>
        <v>0</v>
      </c>
      <c r="IP132" s="138">
        <f t="shared" si="547"/>
        <v>0</v>
      </c>
      <c r="IQ132" s="138">
        <f t="shared" si="548"/>
        <v>0</v>
      </c>
      <c r="IR132" s="138">
        <f t="shared" si="549"/>
        <v>1.5748031496062995E-2</v>
      </c>
      <c r="IS132" s="138">
        <f t="shared" si="550"/>
        <v>0</v>
      </c>
      <c r="IT132" s="17">
        <f t="shared" si="551"/>
        <v>0.25</v>
      </c>
      <c r="IU132" s="17">
        <f t="shared" si="552"/>
        <v>1.5748031496062995E-2</v>
      </c>
      <c r="IV132" s="17">
        <f t="shared" si="553"/>
        <v>1.5748031496062995E-2</v>
      </c>
      <c r="IW132" s="253">
        <f t="shared" si="554"/>
        <v>8.54330736</v>
      </c>
      <c r="IX132" s="116">
        <f t="shared" si="356"/>
        <v>42.572518127553785</v>
      </c>
      <c r="IY132" s="8">
        <f t="shared" si="357"/>
        <v>1.1007249340057549E-3</v>
      </c>
      <c r="IZ132" s="8">
        <f t="shared" si="555"/>
        <v>1.1007249340057549E-3</v>
      </c>
      <c r="JA132" s="8">
        <f t="shared" si="556"/>
        <v>5.5036246700287744E-4</v>
      </c>
      <c r="JB132" s="134">
        <f t="shared" si="557"/>
        <v>2.3459805348784918E-2</v>
      </c>
      <c r="JC132" s="170">
        <f t="shared" si="561"/>
        <v>6.3172897578446421E-4</v>
      </c>
      <c r="JD132" s="272">
        <f t="shared" si="562"/>
        <v>2.5134219219710489E-2</v>
      </c>
      <c r="JE132" s="8"/>
      <c r="JF132" s="8"/>
    </row>
    <row r="133" spans="1:266" x14ac:dyDescent="0.25">
      <c r="A133" s="186">
        <v>73</v>
      </c>
      <c r="B133" s="187">
        <f>A133/100*'Inputs-Imperial'!$E$5</f>
        <v>7.1850396000000005</v>
      </c>
      <c r="C133" s="188">
        <f>'Inputs-Imperial'!$E$10+('Inputs-Imperial'!$E$9-'Inputs-Imperial'!$E$10)*(100-A133)/100</f>
        <v>1.41404204</v>
      </c>
      <c r="D133" s="187">
        <f t="shared" si="558"/>
        <v>9.8425200000000324E-2</v>
      </c>
      <c r="E133" s="188">
        <f t="shared" si="559"/>
        <v>0.13966174659516045</v>
      </c>
      <c r="F133" s="423">
        <f>Loads!P93</f>
        <v>22.543857132782382</v>
      </c>
      <c r="G133" s="423">
        <f>Loads!M93</f>
        <v>225.43857132782387</v>
      </c>
      <c r="H133" s="423">
        <f>Loads!N93</f>
        <v>279.8637217787811</v>
      </c>
      <c r="I133" s="423">
        <f>Loads!V93</f>
        <v>-143.00341685487268</v>
      </c>
      <c r="J133" s="423">
        <f>Loads!Q93</f>
        <v>27.986372177878106</v>
      </c>
      <c r="K133" s="2">
        <v>73</v>
      </c>
      <c r="L133" s="12">
        <f t="shared" si="358"/>
        <v>86.22047520000001</v>
      </c>
      <c r="M133" s="11">
        <f t="shared" si="359"/>
        <v>16.96850448</v>
      </c>
      <c r="N133" s="11">
        <f t="shared" si="360"/>
        <v>1.1811024000000039</v>
      </c>
      <c r="O133" s="152">
        <f t="shared" si="361"/>
        <v>20.111291509703104</v>
      </c>
      <c r="P133" s="151">
        <f t="shared" si="362"/>
        <v>22.543857132782382</v>
      </c>
      <c r="Q133" s="12">
        <f t="shared" si="363"/>
        <v>225.43857132782387</v>
      </c>
      <c r="R133" s="12">
        <f t="shared" si="364"/>
        <v>3358.364661345373</v>
      </c>
      <c r="S133" s="12">
        <f t="shared" si="365"/>
        <v>-1716.0410022584722</v>
      </c>
      <c r="T133" s="152">
        <f t="shared" si="366"/>
        <v>335.83646613453726</v>
      </c>
      <c r="U133" s="8">
        <f t="shared" si="313"/>
        <v>3.0543308063999999</v>
      </c>
      <c r="V133" s="8">
        <f t="shared" si="314"/>
        <v>3.0543308063999999</v>
      </c>
      <c r="W133" s="134">
        <f t="shared" si="315"/>
        <v>1.5271654031999999</v>
      </c>
      <c r="X133" s="311">
        <f t="shared" si="316"/>
        <v>4.24212612</v>
      </c>
      <c r="Y133" s="11">
        <f t="shared" si="317"/>
        <v>12.72637836</v>
      </c>
      <c r="Z133" s="11">
        <f t="shared" si="318"/>
        <v>8.48425224</v>
      </c>
      <c r="AA133" s="316">
        <f t="shared" si="367"/>
        <v>12.72637836</v>
      </c>
      <c r="AB133" s="170">
        <f t="shared" si="368"/>
        <v>2.2907481048</v>
      </c>
      <c r="AC133" s="11">
        <f t="shared" si="369"/>
        <v>12.72637836</v>
      </c>
      <c r="AD133" s="152">
        <f t="shared" si="370"/>
        <v>22.896655409176457</v>
      </c>
      <c r="AE133" s="151">
        <f t="shared" si="319"/>
        <v>1.7714275416829883</v>
      </c>
      <c r="AF133" s="12">
        <f t="shared" si="320"/>
        <v>37.473617250900368</v>
      </c>
      <c r="AG133" s="216">
        <f t="shared" si="321"/>
        <v>2.5711719249768535E-3</v>
      </c>
      <c r="AH133" s="2">
        <f t="shared" si="371"/>
        <v>1</v>
      </c>
      <c r="AI133" s="2">
        <f t="shared" si="372"/>
        <v>3</v>
      </c>
      <c r="AJ133" s="127">
        <f t="shared" si="373"/>
        <v>2</v>
      </c>
      <c r="AK133" s="2">
        <f t="shared" si="374"/>
        <v>1.5748031496062995E-2</v>
      </c>
      <c r="AL133" s="8">
        <f t="shared" si="322"/>
        <v>2.7058456950994469E-2</v>
      </c>
      <c r="AM133" s="138">
        <f t="shared" si="375"/>
        <v>0.25</v>
      </c>
      <c r="AN133" s="12">
        <f t="shared" si="323"/>
        <v>2242.8543098961386</v>
      </c>
      <c r="AO133" s="138">
        <f t="shared" si="376"/>
        <v>0.25</v>
      </c>
      <c r="AP133" s="116">
        <f t="shared" si="377"/>
        <v>2175570</v>
      </c>
      <c r="AQ133" s="2">
        <f t="shared" si="378"/>
        <v>1.5748031496062995E-2</v>
      </c>
      <c r="AR133" s="8">
        <f t="shared" si="379"/>
        <v>8.48425224</v>
      </c>
      <c r="AS133" s="116">
        <f t="shared" si="380"/>
        <v>2610.6840000000002</v>
      </c>
      <c r="AT133" s="217">
        <f t="shared" si="381"/>
        <v>0.22491977661586807</v>
      </c>
      <c r="AU133" s="207">
        <f t="shared" si="382"/>
        <v>2.9607888290847217</v>
      </c>
      <c r="AV133" s="144">
        <f t="shared" si="383"/>
        <v>13799.810505719437</v>
      </c>
      <c r="AW133" s="138">
        <f t="shared" si="384"/>
        <v>0.25</v>
      </c>
      <c r="AX133" s="116">
        <f t="shared" si="385"/>
        <v>2175570</v>
      </c>
      <c r="AY133" s="2">
        <f t="shared" si="386"/>
        <v>1.5748031496062995E-2</v>
      </c>
      <c r="AZ133" s="8">
        <f t="shared" si="387"/>
        <v>8.48425224</v>
      </c>
      <c r="BA133" s="116">
        <f t="shared" si="388"/>
        <v>2610.6840000000002</v>
      </c>
      <c r="BB133" s="217">
        <f t="shared" si="389"/>
        <v>0.22491977661586807</v>
      </c>
      <c r="BC133" s="207">
        <f t="shared" si="390"/>
        <v>2.9607888290847217</v>
      </c>
      <c r="BD133" s="144">
        <f t="shared" si="391"/>
        <v>13799.810505719437</v>
      </c>
      <c r="BE133" s="138">
        <f t="shared" si="392"/>
        <v>0.25</v>
      </c>
      <c r="BF133" s="116">
        <f t="shared" si="393"/>
        <v>2175570</v>
      </c>
      <c r="BG133" s="2">
        <f t="shared" si="394"/>
        <v>1.5748031496062995E-2</v>
      </c>
      <c r="BH133" s="8">
        <f t="shared" si="395"/>
        <v>8.48425224</v>
      </c>
      <c r="BI133" s="116">
        <f t="shared" si="396"/>
        <v>2610.6840000000002</v>
      </c>
      <c r="BJ133" s="217">
        <f t="shared" si="397"/>
        <v>0.22491977661586807</v>
      </c>
      <c r="BK133" s="207">
        <f t="shared" si="398"/>
        <v>2.9607888290847217</v>
      </c>
      <c r="BL133" s="144">
        <f t="shared" si="399"/>
        <v>13799.810505719437</v>
      </c>
      <c r="BM133" s="216">
        <f t="shared" si="400"/>
        <v>0.25</v>
      </c>
      <c r="BN133" s="216">
        <f t="shared" si="401"/>
        <v>2.3622047244094495E-2</v>
      </c>
      <c r="BO133" s="238">
        <f t="shared" si="402"/>
        <v>1.5748031496062995E-2</v>
      </c>
      <c r="BP133" s="216">
        <f t="shared" si="403"/>
        <v>0</v>
      </c>
      <c r="BQ133" s="138">
        <f t="shared" si="404"/>
        <v>0</v>
      </c>
      <c r="BR133" s="138">
        <f t="shared" si="405"/>
        <v>0.25</v>
      </c>
      <c r="BS133" s="238">
        <f t="shared" si="406"/>
        <v>0</v>
      </c>
      <c r="BT133" s="138">
        <f t="shared" si="407"/>
        <v>0</v>
      </c>
      <c r="BU133" s="138">
        <f t="shared" si="408"/>
        <v>0</v>
      </c>
      <c r="BV133" s="138">
        <f t="shared" si="409"/>
        <v>0.25</v>
      </c>
      <c r="BW133" s="238">
        <f t="shared" si="410"/>
        <v>0</v>
      </c>
      <c r="BX133" s="216">
        <f t="shared" si="411"/>
        <v>0</v>
      </c>
      <c r="BY133" s="138">
        <f t="shared" si="412"/>
        <v>0</v>
      </c>
      <c r="BZ133" s="138">
        <f t="shared" si="413"/>
        <v>2.3622047244094495E-2</v>
      </c>
      <c r="CA133" s="238">
        <f t="shared" si="414"/>
        <v>0</v>
      </c>
      <c r="CB133" s="138">
        <f t="shared" si="415"/>
        <v>0</v>
      </c>
      <c r="CC133" s="138">
        <f t="shared" si="416"/>
        <v>0</v>
      </c>
      <c r="CD133" s="138">
        <f t="shared" si="417"/>
        <v>2.3622047244094495E-2</v>
      </c>
      <c r="CE133" s="238">
        <f t="shared" si="418"/>
        <v>0</v>
      </c>
      <c r="CF133" s="216">
        <f t="shared" si="419"/>
        <v>0</v>
      </c>
      <c r="CG133" s="138">
        <f t="shared" si="420"/>
        <v>0</v>
      </c>
      <c r="CH133" s="138">
        <f t="shared" si="421"/>
        <v>1.5748031496062995E-2</v>
      </c>
      <c r="CI133" s="238">
        <f t="shared" si="422"/>
        <v>0</v>
      </c>
      <c r="CJ133" s="138">
        <f t="shared" si="423"/>
        <v>0</v>
      </c>
      <c r="CK133" s="138">
        <f t="shared" si="424"/>
        <v>0</v>
      </c>
      <c r="CL133" s="138">
        <f t="shared" si="425"/>
        <v>1.5748031496062995E-2</v>
      </c>
      <c r="CM133" s="238">
        <f t="shared" si="426"/>
        <v>0</v>
      </c>
      <c r="CN133" s="17">
        <f t="shared" si="427"/>
        <v>0.25</v>
      </c>
      <c r="CO133" s="17">
        <f t="shared" si="428"/>
        <v>2.3622047244094495E-2</v>
      </c>
      <c r="CP133" s="17">
        <f t="shared" si="429"/>
        <v>1.5748031496062995E-2</v>
      </c>
      <c r="CQ133" s="17">
        <f>$U133-IF('Inputs-Imperial'!$E$13,0,2)*($CO133+$CN133+$CP133)</f>
        <v>3.0543308063999999</v>
      </c>
      <c r="CR133" s="116">
        <f t="shared" si="430"/>
        <v>1099.5418879671793</v>
      </c>
      <c r="CS133" s="8">
        <f t="shared" si="324"/>
        <v>2.842897778428358E-2</v>
      </c>
      <c r="CT133" s="8">
        <f t="shared" si="431"/>
        <v>0.16860894930069276</v>
      </c>
      <c r="CU133" s="8">
        <f t="shared" si="325"/>
        <v>2.842897778428358E-2</v>
      </c>
      <c r="CV133" s="8">
        <f t="shared" si="432"/>
        <v>0.16860894930069276</v>
      </c>
      <c r="CW133" s="216">
        <f t="shared" si="433"/>
        <v>2.8857218570993068</v>
      </c>
      <c r="CX133" s="116">
        <f t="shared" si="434"/>
        <v>1163.7866806474415</v>
      </c>
      <c r="CY133" s="8">
        <f t="shared" si="435"/>
        <v>3.0090045728897979E-2</v>
      </c>
      <c r="CZ133" s="8">
        <f t="shared" si="436"/>
        <v>0.17346482562438409</v>
      </c>
      <c r="DA133" s="8">
        <f t="shared" si="437"/>
        <v>3.0090045728897979E-2</v>
      </c>
      <c r="DB133" s="8">
        <f t="shared" si="438"/>
        <v>0.17346482562438409</v>
      </c>
      <c r="DC133" s="216">
        <f t="shared" si="439"/>
        <v>2.8808659807756158</v>
      </c>
      <c r="DD133" s="116">
        <f t="shared" si="440"/>
        <v>1165.7483144846606</v>
      </c>
      <c r="DE133" s="8">
        <f t="shared" si="441"/>
        <v>3.0140764346705529E-2</v>
      </c>
      <c r="DF133" s="8">
        <f t="shared" si="442"/>
        <v>0.17361095687399897</v>
      </c>
      <c r="DG133" s="8">
        <f t="shared" si="443"/>
        <v>3.0140764346705529E-2</v>
      </c>
      <c r="DH133" s="8">
        <f t="shared" si="444"/>
        <v>0.17361095687399897</v>
      </c>
      <c r="DI133" s="216">
        <f t="shared" si="445"/>
        <v>2.8807198495260011</v>
      </c>
      <c r="DJ133" s="116">
        <f t="shared" si="446"/>
        <v>1165.8074497934829</v>
      </c>
      <c r="DK133" s="8">
        <f t="shared" si="447"/>
        <v>3.0142293307447429E-2</v>
      </c>
      <c r="DL133" s="8">
        <f t="shared" si="448"/>
        <v>0.17361536022900576</v>
      </c>
      <c r="DM133" s="8">
        <f t="shared" si="449"/>
        <v>3.0142293307447429E-2</v>
      </c>
      <c r="DN133" s="8">
        <f t="shared" si="450"/>
        <v>0.17361536022900576</v>
      </c>
      <c r="DO133" s="216">
        <f t="shared" si="451"/>
        <v>2.8807154461709943</v>
      </c>
      <c r="DP133" s="116">
        <f t="shared" si="452"/>
        <v>1165.8092318036004</v>
      </c>
      <c r="DQ133" s="170">
        <f t="shared" si="453"/>
        <v>3.0142339381841316E-2</v>
      </c>
      <c r="DR133" s="8">
        <f t="shared" si="454"/>
        <v>0.17361549291996184</v>
      </c>
      <c r="DS133" s="8">
        <f t="shared" si="455"/>
        <v>3.0142339381841316E-2</v>
      </c>
      <c r="DT133" s="134">
        <f t="shared" si="456"/>
        <v>0.17361549291996184</v>
      </c>
      <c r="DU133" s="170">
        <f t="shared" si="560"/>
        <v>3.7417273971028842E-2</v>
      </c>
      <c r="DV133" s="170">
        <f t="shared" si="560"/>
        <v>0.19343545169132995</v>
      </c>
      <c r="DW133" s="170">
        <f t="shared" si="560"/>
        <v>3.7417273971028842E-2</v>
      </c>
      <c r="DX133" s="272">
        <f t="shared" si="560"/>
        <v>0.19343545169132995</v>
      </c>
      <c r="DY133" s="272">
        <f t="shared" si="457"/>
        <v>2.6674599030173396</v>
      </c>
      <c r="DZ133" s="22">
        <f t="shared" si="326"/>
        <v>73.809480903457867</v>
      </c>
      <c r="EA133" s="216">
        <f t="shared" si="327"/>
        <v>4.8356898584034913E-3</v>
      </c>
      <c r="EB133" s="12">
        <f t="shared" si="458"/>
        <v>1</v>
      </c>
      <c r="EC133" s="7">
        <f>ROUND(MAX(DV133,DX133)/'Inputs-Imperial'!$E$21,0)</f>
        <v>2</v>
      </c>
      <c r="ED133" s="12">
        <f t="shared" si="459"/>
        <v>2</v>
      </c>
      <c r="EE133" s="2">
        <f t="shared" si="460"/>
        <v>2</v>
      </c>
      <c r="EF133" s="127">
        <f t="shared" si="461"/>
        <v>2</v>
      </c>
      <c r="EG133" s="2">
        <f t="shared" si="462"/>
        <v>1.5748031496062995E-2</v>
      </c>
      <c r="EH133" s="8">
        <f t="shared" si="328"/>
        <v>5.0889753653151494E-2</v>
      </c>
      <c r="EI133" s="138">
        <f t="shared" si="463"/>
        <v>0.25</v>
      </c>
      <c r="EJ133" s="12">
        <f t="shared" si="329"/>
        <v>4218.2118336326166</v>
      </c>
      <c r="EK133" s="138">
        <f t="shared" si="464"/>
        <v>0.25</v>
      </c>
      <c r="EL133" s="116">
        <f t="shared" si="465"/>
        <v>2175570</v>
      </c>
      <c r="EM133" s="2">
        <f t="shared" si="330"/>
        <v>1.5748031496062995E-2</v>
      </c>
      <c r="EN133" s="8">
        <f t="shared" si="466"/>
        <v>3.0543308063999999</v>
      </c>
      <c r="EO133" s="116">
        <f t="shared" si="467"/>
        <v>2610.6840000000002</v>
      </c>
      <c r="EP133" s="217">
        <f t="shared" si="468"/>
        <v>1.7354921035175008</v>
      </c>
      <c r="EQ133" s="207">
        <f t="shared" si="469"/>
        <v>2</v>
      </c>
      <c r="ER133" s="144">
        <f t="shared" si="470"/>
        <v>71926.790785124278</v>
      </c>
      <c r="ES133" s="138">
        <f t="shared" si="331"/>
        <v>0.25</v>
      </c>
      <c r="ET133" s="116">
        <f t="shared" si="471"/>
        <v>2175570</v>
      </c>
      <c r="EU133" s="2">
        <f t="shared" si="332"/>
        <v>1.5748031496062995E-2</v>
      </c>
      <c r="EV133" s="8">
        <f t="shared" si="472"/>
        <v>3.0543308063999999</v>
      </c>
      <c r="EW133" s="116">
        <f t="shared" si="473"/>
        <v>2610.6840000000002</v>
      </c>
      <c r="EX133" s="217">
        <f t="shared" si="474"/>
        <v>1.7354921035175008</v>
      </c>
      <c r="EY133" s="207">
        <f t="shared" si="475"/>
        <v>2</v>
      </c>
      <c r="EZ133" s="144">
        <f t="shared" si="476"/>
        <v>71926.790785124278</v>
      </c>
      <c r="FA133" s="138">
        <f t="shared" si="333"/>
        <v>0.25</v>
      </c>
      <c r="FB133" s="116">
        <f t="shared" si="477"/>
        <v>2175570</v>
      </c>
      <c r="FC133" s="2">
        <f t="shared" si="334"/>
        <v>1.5748031496062995E-2</v>
      </c>
      <c r="FD133" s="8">
        <f t="shared" si="478"/>
        <v>3.0543308063999999</v>
      </c>
      <c r="FE133" s="116">
        <f t="shared" si="479"/>
        <v>2610.6840000000002</v>
      </c>
      <c r="FF133" s="217">
        <f t="shared" si="480"/>
        <v>1.7354921035175008</v>
      </c>
      <c r="FG133" s="207">
        <f t="shared" si="481"/>
        <v>2</v>
      </c>
      <c r="FH133" s="144">
        <f t="shared" si="482"/>
        <v>71926.790785124278</v>
      </c>
      <c r="FI133" s="128">
        <f t="shared" si="483"/>
        <v>0.25</v>
      </c>
      <c r="FJ133" s="2">
        <f t="shared" si="484"/>
        <v>1.5748031496062995E-2</v>
      </c>
      <c r="FK133" s="127">
        <f t="shared" si="485"/>
        <v>1.5748031496062995E-2</v>
      </c>
      <c r="FL133" s="216">
        <f t="shared" si="486"/>
        <v>0</v>
      </c>
      <c r="FM133" s="138">
        <f t="shared" si="487"/>
        <v>0</v>
      </c>
      <c r="FN133" s="138">
        <f t="shared" si="488"/>
        <v>0.25</v>
      </c>
      <c r="FO133" s="238">
        <f t="shared" si="489"/>
        <v>0</v>
      </c>
      <c r="FP133" s="216">
        <f t="shared" si="335"/>
        <v>0</v>
      </c>
      <c r="FQ133" s="138">
        <f t="shared" si="336"/>
        <v>0</v>
      </c>
      <c r="FR133" s="138">
        <f t="shared" si="337"/>
        <v>0.25</v>
      </c>
      <c r="FS133" s="238">
        <f t="shared" si="338"/>
        <v>0</v>
      </c>
      <c r="FT133" s="216">
        <f t="shared" si="490"/>
        <v>0</v>
      </c>
      <c r="FU133" s="138">
        <f t="shared" si="491"/>
        <v>0</v>
      </c>
      <c r="FV133" s="138">
        <f t="shared" si="492"/>
        <v>1.5748031496062995E-2</v>
      </c>
      <c r="FW133" s="238">
        <f t="shared" si="493"/>
        <v>0</v>
      </c>
      <c r="FX133" s="216">
        <f t="shared" si="339"/>
        <v>0</v>
      </c>
      <c r="FY133" s="138">
        <f t="shared" si="340"/>
        <v>0</v>
      </c>
      <c r="FZ133" s="138">
        <f t="shared" si="341"/>
        <v>1.5748031496062995E-2</v>
      </c>
      <c r="GA133" s="238">
        <f t="shared" si="342"/>
        <v>0</v>
      </c>
      <c r="GB133" s="216">
        <f t="shared" si="494"/>
        <v>0</v>
      </c>
      <c r="GC133" s="138">
        <f t="shared" si="495"/>
        <v>0</v>
      </c>
      <c r="GD133" s="138">
        <f t="shared" si="496"/>
        <v>1.5748031496062995E-2</v>
      </c>
      <c r="GE133" s="238">
        <f t="shared" si="497"/>
        <v>0</v>
      </c>
      <c r="GF133" s="216">
        <f t="shared" si="343"/>
        <v>0</v>
      </c>
      <c r="GG133" s="138">
        <f t="shared" si="344"/>
        <v>0</v>
      </c>
      <c r="GH133" s="138">
        <f t="shared" si="345"/>
        <v>1.5748031496062995E-2</v>
      </c>
      <c r="GI133" s="238">
        <f t="shared" si="346"/>
        <v>0</v>
      </c>
      <c r="GJ133" s="216">
        <f t="shared" si="498"/>
        <v>0.25</v>
      </c>
      <c r="GK133" s="216">
        <f t="shared" si="499"/>
        <v>1.5748031496062995E-2</v>
      </c>
      <c r="GL133" s="17">
        <f t="shared" si="500"/>
        <v>1.5748031496062995E-2</v>
      </c>
      <c r="GM133" s="216">
        <f t="shared" si="347"/>
        <v>2.4551153683751697E-3</v>
      </c>
      <c r="GN133" s="2">
        <f t="shared" si="501"/>
        <v>1</v>
      </c>
      <c r="GO133" s="2">
        <f t="shared" si="502"/>
        <v>2</v>
      </c>
      <c r="GP133" s="142">
        <f t="shared" si="503"/>
        <v>2</v>
      </c>
      <c r="GQ133" s="2">
        <f t="shared" si="504"/>
        <v>1.5748031496062995E-2</v>
      </c>
      <c r="GR133" s="8">
        <f t="shared" si="348"/>
        <v>2.583710286331883E-2</v>
      </c>
      <c r="GS133" s="138">
        <f t="shared" si="505"/>
        <v>0.25</v>
      </c>
      <c r="GT133" s="12">
        <f t="shared" si="349"/>
        <v>2141.6172258889555</v>
      </c>
      <c r="GU133" s="138">
        <f t="shared" si="506"/>
        <v>0.25</v>
      </c>
      <c r="GV133" s="116">
        <f t="shared" si="507"/>
        <v>2175570</v>
      </c>
      <c r="GW133" s="2">
        <f t="shared" si="350"/>
        <v>1.5748031496062995E-2</v>
      </c>
      <c r="GX133" s="8">
        <f t="shared" si="351"/>
        <v>1.5271654031999999</v>
      </c>
      <c r="GY133" s="116">
        <f t="shared" si="508"/>
        <v>2610.6840000000002</v>
      </c>
      <c r="GZ133" s="217">
        <f t="shared" si="509"/>
        <v>6.9419684140700033</v>
      </c>
      <c r="HA133" s="207">
        <f t="shared" si="510"/>
        <v>2</v>
      </c>
      <c r="HB133" s="144">
        <f t="shared" si="511"/>
        <v>287707.16314049711</v>
      </c>
      <c r="HC133" s="138">
        <f t="shared" si="352"/>
        <v>0.25</v>
      </c>
      <c r="HD133" s="116">
        <f t="shared" si="512"/>
        <v>2175570</v>
      </c>
      <c r="HE133" s="2">
        <f t="shared" si="353"/>
        <v>1.5748031496062995E-2</v>
      </c>
      <c r="HF133" s="8">
        <f t="shared" si="513"/>
        <v>1.5271654031999999</v>
      </c>
      <c r="HG133" s="116">
        <f t="shared" si="514"/>
        <v>2610.6840000000002</v>
      </c>
      <c r="HH133" s="217">
        <f t="shared" si="515"/>
        <v>6.9419684140700033</v>
      </c>
      <c r="HI133" s="207">
        <f t="shared" si="516"/>
        <v>2</v>
      </c>
      <c r="HJ133" s="144">
        <f t="shared" si="517"/>
        <v>287707.16314049711</v>
      </c>
      <c r="HK133" s="138">
        <f t="shared" si="354"/>
        <v>0.25</v>
      </c>
      <c r="HL133" s="116">
        <f t="shared" si="518"/>
        <v>2175570</v>
      </c>
      <c r="HM133" s="2">
        <f t="shared" si="355"/>
        <v>1.5748031496062995E-2</v>
      </c>
      <c r="HN133" s="8">
        <f t="shared" si="519"/>
        <v>1.5271654031999999</v>
      </c>
      <c r="HO133" s="116">
        <f t="shared" si="520"/>
        <v>2610.6840000000002</v>
      </c>
      <c r="HP133" s="217">
        <f t="shared" si="521"/>
        <v>6.9419684140700033</v>
      </c>
      <c r="HQ133" s="207">
        <f t="shared" si="522"/>
        <v>2</v>
      </c>
      <c r="HR133" s="144">
        <f t="shared" si="523"/>
        <v>287707.16314049711</v>
      </c>
      <c r="HS133" s="128">
        <f t="shared" si="524"/>
        <v>0.25</v>
      </c>
      <c r="HT133" s="2">
        <f t="shared" si="525"/>
        <v>1.5748031496062995E-2</v>
      </c>
      <c r="HU133" s="127">
        <f t="shared" si="526"/>
        <v>1.5748031496062995E-2</v>
      </c>
      <c r="HV133" s="216">
        <f t="shared" si="527"/>
        <v>0</v>
      </c>
      <c r="HW133" s="138">
        <f t="shared" si="528"/>
        <v>0</v>
      </c>
      <c r="HX133" s="138">
        <f t="shared" si="529"/>
        <v>0.25</v>
      </c>
      <c r="HY133" s="238">
        <f t="shared" si="530"/>
        <v>0</v>
      </c>
      <c r="HZ133" s="138">
        <f t="shared" si="531"/>
        <v>0</v>
      </c>
      <c r="IA133" s="138">
        <f t="shared" si="532"/>
        <v>0</v>
      </c>
      <c r="IB133" s="138">
        <f t="shared" si="533"/>
        <v>0.25</v>
      </c>
      <c r="IC133" s="138">
        <f t="shared" si="534"/>
        <v>0</v>
      </c>
      <c r="ID133" s="216">
        <f t="shared" si="535"/>
        <v>0</v>
      </c>
      <c r="IE133" s="138">
        <f t="shared" si="536"/>
        <v>0</v>
      </c>
      <c r="IF133" s="138">
        <f t="shared" si="537"/>
        <v>1.5748031496062995E-2</v>
      </c>
      <c r="IG133" s="238">
        <f t="shared" si="538"/>
        <v>0</v>
      </c>
      <c r="IH133" s="138">
        <f t="shared" si="539"/>
        <v>0</v>
      </c>
      <c r="II133" s="138">
        <f t="shared" si="540"/>
        <v>0</v>
      </c>
      <c r="IJ133" s="138">
        <f t="shared" si="541"/>
        <v>1.5748031496062995E-2</v>
      </c>
      <c r="IK133" s="138">
        <f t="shared" si="542"/>
        <v>0</v>
      </c>
      <c r="IL133" s="216">
        <f t="shared" si="543"/>
        <v>0</v>
      </c>
      <c r="IM133" s="138">
        <f t="shared" si="544"/>
        <v>0</v>
      </c>
      <c r="IN133" s="138">
        <f t="shared" si="545"/>
        <v>1.5748031496062995E-2</v>
      </c>
      <c r="IO133" s="238">
        <f t="shared" si="546"/>
        <v>0</v>
      </c>
      <c r="IP133" s="138">
        <f t="shared" si="547"/>
        <v>0</v>
      </c>
      <c r="IQ133" s="138">
        <f t="shared" si="548"/>
        <v>0</v>
      </c>
      <c r="IR133" s="138">
        <f t="shared" si="549"/>
        <v>1.5748031496062995E-2</v>
      </c>
      <c r="IS133" s="138">
        <f t="shared" si="550"/>
        <v>0</v>
      </c>
      <c r="IT133" s="17">
        <f t="shared" si="551"/>
        <v>0.25</v>
      </c>
      <c r="IU133" s="17">
        <f t="shared" si="552"/>
        <v>1.5748031496062995E-2</v>
      </c>
      <c r="IV133" s="17">
        <f t="shared" si="553"/>
        <v>1.5748031496062995E-2</v>
      </c>
      <c r="IW133" s="253">
        <f t="shared" si="554"/>
        <v>8.48425224</v>
      </c>
      <c r="IX133" s="116">
        <f t="shared" si="356"/>
        <v>39.583507966818445</v>
      </c>
      <c r="IY133" s="8">
        <f t="shared" si="357"/>
        <v>1.0234432002342087E-3</v>
      </c>
      <c r="IZ133" s="8">
        <f t="shared" si="555"/>
        <v>1.0234432002342087E-3</v>
      </c>
      <c r="JA133" s="8">
        <f t="shared" si="556"/>
        <v>5.1172160011710437E-4</v>
      </c>
      <c r="JB133" s="134">
        <f t="shared" si="557"/>
        <v>2.2621264335069877E-2</v>
      </c>
      <c r="JC133" s="170">
        <f t="shared" si="561"/>
        <v>6.3172897578446421E-4</v>
      </c>
      <c r="JD133" s="272">
        <f t="shared" si="562"/>
        <v>2.5134219219710489E-2</v>
      </c>
      <c r="JE133" s="8"/>
      <c r="JF133" s="8"/>
    </row>
    <row r="134" spans="1:266" x14ac:dyDescent="0.25">
      <c r="A134" s="186">
        <v>74</v>
      </c>
      <c r="B134" s="187">
        <f>A134/100*'Inputs-Imperial'!$E$5</f>
        <v>7.2834648</v>
      </c>
      <c r="C134" s="188">
        <f>'Inputs-Imperial'!$E$10+('Inputs-Imperial'!$E$9-'Inputs-Imperial'!$E$10)*(100-A134)/100</f>
        <v>1.4041995199999999</v>
      </c>
      <c r="D134" s="187">
        <f t="shared" si="558"/>
        <v>9.8425199999999435E-2</v>
      </c>
      <c r="E134" s="188">
        <f t="shared" si="559"/>
        <v>0.13869299459565518</v>
      </c>
      <c r="F134" s="423">
        <f>Loads!P94</f>
        <v>21.499913995262073</v>
      </c>
      <c r="G134" s="423">
        <f>Loads!M94</f>
        <v>214.99913995262079</v>
      </c>
      <c r="H134" s="423">
        <f>Loads!N94</f>
        <v>257.67488530812591</v>
      </c>
      <c r="I134" s="423">
        <f>Loads!V94</f>
        <v>-134.93910728858077</v>
      </c>
      <c r="J134" s="423">
        <f>Loads!Q94</f>
        <v>25.767488530812585</v>
      </c>
      <c r="K134" s="2">
        <v>74</v>
      </c>
      <c r="L134" s="12">
        <f t="shared" si="358"/>
        <v>87.401577599999996</v>
      </c>
      <c r="M134" s="11">
        <f t="shared" si="359"/>
        <v>16.85039424</v>
      </c>
      <c r="N134" s="11">
        <f t="shared" si="360"/>
        <v>1.1811023999999932</v>
      </c>
      <c r="O134" s="152">
        <f t="shared" si="361"/>
        <v>19.971791221774346</v>
      </c>
      <c r="P134" s="151">
        <f t="shared" si="362"/>
        <v>21.499913995262073</v>
      </c>
      <c r="Q134" s="12">
        <f t="shared" si="363"/>
        <v>214.99913995262079</v>
      </c>
      <c r="R134" s="12">
        <f t="shared" si="364"/>
        <v>3092.0986236975109</v>
      </c>
      <c r="S134" s="12">
        <f t="shared" si="365"/>
        <v>-1619.2692874629693</v>
      </c>
      <c r="T134" s="152">
        <f t="shared" si="366"/>
        <v>309.20986236975102</v>
      </c>
      <c r="U134" s="8">
        <f t="shared" si="313"/>
        <v>3.0330709631999997</v>
      </c>
      <c r="V134" s="8">
        <f t="shared" si="314"/>
        <v>3.0330709631999997</v>
      </c>
      <c r="W134" s="134">
        <f t="shared" si="315"/>
        <v>1.5165354815999998</v>
      </c>
      <c r="X134" s="311">
        <f t="shared" si="316"/>
        <v>4.21259856</v>
      </c>
      <c r="Y134" s="11">
        <f t="shared" si="317"/>
        <v>12.63779568</v>
      </c>
      <c r="Z134" s="11">
        <f t="shared" si="318"/>
        <v>8.42519712</v>
      </c>
      <c r="AA134" s="316">
        <f t="shared" si="367"/>
        <v>12.63779568</v>
      </c>
      <c r="AB134" s="170">
        <f t="shared" si="368"/>
        <v>2.2748032223999997</v>
      </c>
      <c r="AC134" s="11">
        <f t="shared" si="369"/>
        <v>12.63779568</v>
      </c>
      <c r="AD134" s="152">
        <f t="shared" si="370"/>
        <v>22.579017794233341</v>
      </c>
      <c r="AE134" s="151">
        <f t="shared" si="319"/>
        <v>1.7012392461200221</v>
      </c>
      <c r="AF134" s="12">
        <f t="shared" si="320"/>
        <v>35.857832750291934</v>
      </c>
      <c r="AG134" s="216">
        <f t="shared" si="321"/>
        <v>2.4607140074817549E-3</v>
      </c>
      <c r="AH134" s="2">
        <f t="shared" si="371"/>
        <v>1</v>
      </c>
      <c r="AI134" s="2">
        <f t="shared" si="372"/>
        <v>3</v>
      </c>
      <c r="AJ134" s="127">
        <f t="shared" si="373"/>
        <v>2</v>
      </c>
      <c r="AK134" s="2">
        <f t="shared" si="374"/>
        <v>1.5748031496062995E-2</v>
      </c>
      <c r="AL134" s="8">
        <f t="shared" si="322"/>
        <v>2.5896021729761826E-2</v>
      </c>
      <c r="AM134" s="138">
        <f t="shared" si="375"/>
        <v>0.25</v>
      </c>
      <c r="AN134" s="12">
        <f t="shared" si="323"/>
        <v>2146.5009645949431</v>
      </c>
      <c r="AO134" s="138">
        <f t="shared" si="376"/>
        <v>0.25</v>
      </c>
      <c r="AP134" s="116">
        <f t="shared" si="377"/>
        <v>2175570</v>
      </c>
      <c r="AQ134" s="2">
        <f t="shared" si="378"/>
        <v>1.5748031496062995E-2</v>
      </c>
      <c r="AR134" s="8">
        <f t="shared" si="379"/>
        <v>8.42519712</v>
      </c>
      <c r="AS134" s="116">
        <f t="shared" si="380"/>
        <v>2610.6840000000002</v>
      </c>
      <c r="AT134" s="217">
        <f t="shared" si="381"/>
        <v>0.22808390811391968</v>
      </c>
      <c r="AU134" s="207">
        <f t="shared" si="382"/>
        <v>2.9441087392494634</v>
      </c>
      <c r="AV134" s="144">
        <f t="shared" si="383"/>
        <v>13915.106611456444</v>
      </c>
      <c r="AW134" s="138">
        <f t="shared" si="384"/>
        <v>0.25</v>
      </c>
      <c r="AX134" s="116">
        <f t="shared" si="385"/>
        <v>2175570</v>
      </c>
      <c r="AY134" s="2">
        <f t="shared" si="386"/>
        <v>1.5748031496062995E-2</v>
      </c>
      <c r="AZ134" s="8">
        <f t="shared" si="387"/>
        <v>8.42519712</v>
      </c>
      <c r="BA134" s="116">
        <f t="shared" si="388"/>
        <v>2610.6840000000002</v>
      </c>
      <c r="BB134" s="217">
        <f t="shared" si="389"/>
        <v>0.22808390811391968</v>
      </c>
      <c r="BC134" s="207">
        <f t="shared" si="390"/>
        <v>2.9441087392494634</v>
      </c>
      <c r="BD134" s="144">
        <f t="shared" si="391"/>
        <v>13915.106611456444</v>
      </c>
      <c r="BE134" s="138">
        <f t="shared" si="392"/>
        <v>0.25</v>
      </c>
      <c r="BF134" s="116">
        <f t="shared" si="393"/>
        <v>2175570</v>
      </c>
      <c r="BG134" s="2">
        <f t="shared" si="394"/>
        <v>1.5748031496062995E-2</v>
      </c>
      <c r="BH134" s="8">
        <f t="shared" si="395"/>
        <v>8.42519712</v>
      </c>
      <c r="BI134" s="116">
        <f t="shared" si="396"/>
        <v>2610.6840000000002</v>
      </c>
      <c r="BJ134" s="217">
        <f t="shared" si="397"/>
        <v>0.22808390811391968</v>
      </c>
      <c r="BK134" s="207">
        <f t="shared" si="398"/>
        <v>2.9441087392494634</v>
      </c>
      <c r="BL134" s="144">
        <f t="shared" si="399"/>
        <v>13915.106611456444</v>
      </c>
      <c r="BM134" s="216">
        <f t="shared" si="400"/>
        <v>0.25</v>
      </c>
      <c r="BN134" s="216">
        <f t="shared" si="401"/>
        <v>2.3622047244094495E-2</v>
      </c>
      <c r="BO134" s="238">
        <f t="shared" si="402"/>
        <v>1.5748031496062995E-2</v>
      </c>
      <c r="BP134" s="216">
        <f t="shared" si="403"/>
        <v>0</v>
      </c>
      <c r="BQ134" s="138">
        <f t="shared" si="404"/>
        <v>0</v>
      </c>
      <c r="BR134" s="138">
        <f t="shared" si="405"/>
        <v>0.25</v>
      </c>
      <c r="BS134" s="238">
        <f t="shared" si="406"/>
        <v>0</v>
      </c>
      <c r="BT134" s="138">
        <f t="shared" si="407"/>
        <v>0</v>
      </c>
      <c r="BU134" s="138">
        <f t="shared" si="408"/>
        <v>0</v>
      </c>
      <c r="BV134" s="138">
        <f t="shared" si="409"/>
        <v>0.25</v>
      </c>
      <c r="BW134" s="238">
        <f t="shared" si="410"/>
        <v>0</v>
      </c>
      <c r="BX134" s="216">
        <f t="shared" si="411"/>
        <v>0</v>
      </c>
      <c r="BY134" s="138">
        <f t="shared" si="412"/>
        <v>0</v>
      </c>
      <c r="BZ134" s="138">
        <f t="shared" si="413"/>
        <v>2.3622047244094495E-2</v>
      </c>
      <c r="CA134" s="238">
        <f t="shared" si="414"/>
        <v>0</v>
      </c>
      <c r="CB134" s="138">
        <f t="shared" si="415"/>
        <v>0</v>
      </c>
      <c r="CC134" s="138">
        <f t="shared" si="416"/>
        <v>0</v>
      </c>
      <c r="CD134" s="138">
        <f t="shared" si="417"/>
        <v>2.3622047244094495E-2</v>
      </c>
      <c r="CE134" s="238">
        <f t="shared" si="418"/>
        <v>0</v>
      </c>
      <c r="CF134" s="216">
        <f t="shared" si="419"/>
        <v>0</v>
      </c>
      <c r="CG134" s="138">
        <f t="shared" si="420"/>
        <v>0</v>
      </c>
      <c r="CH134" s="138">
        <f t="shared" si="421"/>
        <v>1.5748031496062995E-2</v>
      </c>
      <c r="CI134" s="238">
        <f t="shared" si="422"/>
        <v>0</v>
      </c>
      <c r="CJ134" s="138">
        <f t="shared" si="423"/>
        <v>0</v>
      </c>
      <c r="CK134" s="138">
        <f t="shared" si="424"/>
        <v>0</v>
      </c>
      <c r="CL134" s="138">
        <f t="shared" si="425"/>
        <v>1.5748031496062995E-2</v>
      </c>
      <c r="CM134" s="238">
        <f t="shared" si="426"/>
        <v>0</v>
      </c>
      <c r="CN134" s="17">
        <f t="shared" si="427"/>
        <v>0.25</v>
      </c>
      <c r="CO134" s="17">
        <f t="shared" si="428"/>
        <v>2.3622047244094495E-2</v>
      </c>
      <c r="CP134" s="17">
        <f t="shared" si="429"/>
        <v>1.5748031496062995E-2</v>
      </c>
      <c r="CQ134" s="17">
        <f>$U134-IF('Inputs-Imperial'!$E$13,0,2)*($CO134+$CN134+$CP134)</f>
        <v>3.0330709631999997</v>
      </c>
      <c r="CR134" s="116">
        <f t="shared" si="430"/>
        <v>1019.4613516181088</v>
      </c>
      <c r="CS134" s="8">
        <f t="shared" si="324"/>
        <v>2.635847204572531E-2</v>
      </c>
      <c r="CT134" s="8">
        <f t="shared" si="431"/>
        <v>0.16235292435224352</v>
      </c>
      <c r="CU134" s="8">
        <f t="shared" si="325"/>
        <v>2.635847204572531E-2</v>
      </c>
      <c r="CV134" s="8">
        <f t="shared" si="432"/>
        <v>0.16235292435224352</v>
      </c>
      <c r="CW134" s="216">
        <f t="shared" si="433"/>
        <v>2.8707180388477558</v>
      </c>
      <c r="CX134" s="116">
        <f t="shared" si="434"/>
        <v>1077.1167986036735</v>
      </c>
      <c r="CY134" s="8">
        <f t="shared" si="435"/>
        <v>2.7849170526095059E-2</v>
      </c>
      <c r="CZ134" s="8">
        <f t="shared" si="436"/>
        <v>0.16688070747122047</v>
      </c>
      <c r="DA134" s="8">
        <f t="shared" si="437"/>
        <v>2.7849170526095059E-2</v>
      </c>
      <c r="DB134" s="8">
        <f t="shared" si="438"/>
        <v>0.16688070747122047</v>
      </c>
      <c r="DC134" s="216">
        <f t="shared" si="439"/>
        <v>2.8661902557287795</v>
      </c>
      <c r="DD134" s="116">
        <f t="shared" si="440"/>
        <v>1078.8183434498803</v>
      </c>
      <c r="DE134" s="8">
        <f t="shared" si="441"/>
        <v>2.7893164466809051E-2</v>
      </c>
      <c r="DF134" s="8">
        <f t="shared" si="442"/>
        <v>0.16701246799807806</v>
      </c>
      <c r="DG134" s="8">
        <f t="shared" si="443"/>
        <v>2.7893164466809051E-2</v>
      </c>
      <c r="DH134" s="8">
        <f t="shared" si="444"/>
        <v>0.16701246799807806</v>
      </c>
      <c r="DI134" s="216">
        <f t="shared" si="445"/>
        <v>2.8660584952019215</v>
      </c>
      <c r="DJ134" s="116">
        <f t="shared" si="446"/>
        <v>1078.8679396718539</v>
      </c>
      <c r="DK134" s="8">
        <f t="shared" si="447"/>
        <v>2.7894446791664612E-2</v>
      </c>
      <c r="DL134" s="8">
        <f t="shared" si="448"/>
        <v>0.16701630696331604</v>
      </c>
      <c r="DM134" s="8">
        <f t="shared" si="449"/>
        <v>2.7894446791664612E-2</v>
      </c>
      <c r="DN134" s="8">
        <f t="shared" si="450"/>
        <v>0.16701630696331604</v>
      </c>
      <c r="DO134" s="216">
        <f t="shared" si="451"/>
        <v>2.8660546562366833</v>
      </c>
      <c r="DP134" s="116">
        <f t="shared" si="452"/>
        <v>1078.8693847721795</v>
      </c>
      <c r="DQ134" s="170">
        <f t="shared" si="453"/>
        <v>2.7894484155157082E-2</v>
      </c>
      <c r="DR134" s="8">
        <f t="shared" si="454"/>
        <v>0.16701641881910018</v>
      </c>
      <c r="DS134" s="8">
        <f t="shared" si="455"/>
        <v>2.7894484155157082E-2</v>
      </c>
      <c r="DT134" s="134">
        <f t="shared" si="456"/>
        <v>0.16701641881910018</v>
      </c>
      <c r="DU134" s="170">
        <f t="shared" si="560"/>
        <v>3.7417273971028842E-2</v>
      </c>
      <c r="DV134" s="170">
        <f t="shared" si="560"/>
        <v>0.19343545169132995</v>
      </c>
      <c r="DW134" s="170">
        <f t="shared" si="560"/>
        <v>3.7417273971028842E-2</v>
      </c>
      <c r="DX134" s="272">
        <f t="shared" si="560"/>
        <v>0.19343545169132995</v>
      </c>
      <c r="DY134" s="272">
        <f t="shared" si="457"/>
        <v>2.6462000598173394</v>
      </c>
      <c r="DZ134" s="22">
        <f t="shared" si="326"/>
        <v>70.884968588334289</v>
      </c>
      <c r="EA134" s="216">
        <f t="shared" si="327"/>
        <v>4.6440879886990166E-3</v>
      </c>
      <c r="EB134" s="12">
        <f t="shared" si="458"/>
        <v>1</v>
      </c>
      <c r="EC134" s="7">
        <f>ROUND(MAX(DV134,DX134)/'Inputs-Imperial'!$E$21,0)</f>
        <v>2</v>
      </c>
      <c r="ED134" s="12">
        <f t="shared" si="459"/>
        <v>2</v>
      </c>
      <c r="EE134" s="2">
        <f t="shared" si="460"/>
        <v>2</v>
      </c>
      <c r="EF134" s="127">
        <f t="shared" si="461"/>
        <v>2</v>
      </c>
      <c r="EG134" s="2">
        <f t="shared" si="462"/>
        <v>1.5748031496062995E-2</v>
      </c>
      <c r="EH134" s="8">
        <f t="shared" si="328"/>
        <v>4.8873377037972308E-2</v>
      </c>
      <c r="EI134" s="138">
        <f t="shared" si="463"/>
        <v>0.25</v>
      </c>
      <c r="EJ134" s="12">
        <f t="shared" si="329"/>
        <v>4051.0759548233036</v>
      </c>
      <c r="EK134" s="138">
        <f t="shared" si="464"/>
        <v>0.25</v>
      </c>
      <c r="EL134" s="116">
        <f t="shared" si="465"/>
        <v>2175570</v>
      </c>
      <c r="EM134" s="2">
        <f t="shared" si="330"/>
        <v>1.5748031496062995E-2</v>
      </c>
      <c r="EN134" s="8">
        <f t="shared" si="466"/>
        <v>3.0330709631999997</v>
      </c>
      <c r="EO134" s="116">
        <f t="shared" si="467"/>
        <v>2610.6840000000002</v>
      </c>
      <c r="EP134" s="217">
        <f t="shared" si="468"/>
        <v>1.7599066984098746</v>
      </c>
      <c r="EQ134" s="207">
        <f t="shared" si="469"/>
        <v>2</v>
      </c>
      <c r="ER134" s="144">
        <f t="shared" si="470"/>
        <v>72938.644112124806</v>
      </c>
      <c r="ES134" s="138">
        <f t="shared" si="331"/>
        <v>0.25</v>
      </c>
      <c r="ET134" s="116">
        <f t="shared" si="471"/>
        <v>2175570</v>
      </c>
      <c r="EU134" s="2">
        <f t="shared" si="332"/>
        <v>1.5748031496062995E-2</v>
      </c>
      <c r="EV134" s="8">
        <f t="shared" si="472"/>
        <v>3.0330709631999997</v>
      </c>
      <c r="EW134" s="116">
        <f t="shared" si="473"/>
        <v>2610.6840000000002</v>
      </c>
      <c r="EX134" s="217">
        <f t="shared" si="474"/>
        <v>1.7599066984098746</v>
      </c>
      <c r="EY134" s="207">
        <f t="shared" si="475"/>
        <v>2</v>
      </c>
      <c r="EZ134" s="144">
        <f t="shared" si="476"/>
        <v>72938.644112124806</v>
      </c>
      <c r="FA134" s="138">
        <f t="shared" si="333"/>
        <v>0.25</v>
      </c>
      <c r="FB134" s="116">
        <f t="shared" si="477"/>
        <v>2175570</v>
      </c>
      <c r="FC134" s="2">
        <f t="shared" si="334"/>
        <v>1.5748031496062995E-2</v>
      </c>
      <c r="FD134" s="8">
        <f t="shared" si="478"/>
        <v>3.0330709631999997</v>
      </c>
      <c r="FE134" s="116">
        <f t="shared" si="479"/>
        <v>2610.6840000000002</v>
      </c>
      <c r="FF134" s="217">
        <f t="shared" si="480"/>
        <v>1.7599066984098746</v>
      </c>
      <c r="FG134" s="207">
        <f t="shared" si="481"/>
        <v>2</v>
      </c>
      <c r="FH134" s="144">
        <f t="shared" si="482"/>
        <v>72938.644112124806</v>
      </c>
      <c r="FI134" s="128">
        <f t="shared" si="483"/>
        <v>0.25</v>
      </c>
      <c r="FJ134" s="2">
        <f t="shared" si="484"/>
        <v>1.5748031496062995E-2</v>
      </c>
      <c r="FK134" s="127">
        <f t="shared" si="485"/>
        <v>1.5748031496062995E-2</v>
      </c>
      <c r="FL134" s="216">
        <f t="shared" si="486"/>
        <v>0</v>
      </c>
      <c r="FM134" s="138">
        <f t="shared" si="487"/>
        <v>0</v>
      </c>
      <c r="FN134" s="138">
        <f t="shared" si="488"/>
        <v>0.25</v>
      </c>
      <c r="FO134" s="238">
        <f t="shared" si="489"/>
        <v>0</v>
      </c>
      <c r="FP134" s="216">
        <f t="shared" si="335"/>
        <v>0</v>
      </c>
      <c r="FQ134" s="138">
        <f t="shared" si="336"/>
        <v>0</v>
      </c>
      <c r="FR134" s="138">
        <f t="shared" si="337"/>
        <v>0.25</v>
      </c>
      <c r="FS134" s="238">
        <f t="shared" si="338"/>
        <v>0</v>
      </c>
      <c r="FT134" s="216">
        <f t="shared" si="490"/>
        <v>0</v>
      </c>
      <c r="FU134" s="138">
        <f t="shared" si="491"/>
        <v>0</v>
      </c>
      <c r="FV134" s="138">
        <f t="shared" si="492"/>
        <v>1.5748031496062995E-2</v>
      </c>
      <c r="FW134" s="238">
        <f t="shared" si="493"/>
        <v>0</v>
      </c>
      <c r="FX134" s="216">
        <f t="shared" si="339"/>
        <v>0</v>
      </c>
      <c r="FY134" s="138">
        <f t="shared" si="340"/>
        <v>0</v>
      </c>
      <c r="FZ134" s="138">
        <f t="shared" si="341"/>
        <v>1.5748031496062995E-2</v>
      </c>
      <c r="GA134" s="238">
        <f t="shared" si="342"/>
        <v>0</v>
      </c>
      <c r="GB134" s="216">
        <f t="shared" si="494"/>
        <v>0</v>
      </c>
      <c r="GC134" s="138">
        <f t="shared" si="495"/>
        <v>0</v>
      </c>
      <c r="GD134" s="138">
        <f t="shared" si="496"/>
        <v>1.5748031496062995E-2</v>
      </c>
      <c r="GE134" s="238">
        <f t="shared" si="497"/>
        <v>0</v>
      </c>
      <c r="GF134" s="216">
        <f t="shared" si="343"/>
        <v>0</v>
      </c>
      <c r="GG134" s="138">
        <f t="shared" si="344"/>
        <v>0</v>
      </c>
      <c r="GH134" s="138">
        <f t="shared" si="345"/>
        <v>1.5748031496062995E-2</v>
      </c>
      <c r="GI134" s="238">
        <f t="shared" si="346"/>
        <v>0</v>
      </c>
      <c r="GJ134" s="216">
        <f t="shared" si="498"/>
        <v>0.25</v>
      </c>
      <c r="GK134" s="216">
        <f t="shared" si="499"/>
        <v>1.5748031496062995E-2</v>
      </c>
      <c r="GL134" s="17">
        <f t="shared" si="500"/>
        <v>1.5748031496062995E-2</v>
      </c>
      <c r="GM134" s="216">
        <f t="shared" si="347"/>
        <v>2.3492558957529785E-3</v>
      </c>
      <c r="GN134" s="2">
        <f t="shared" si="501"/>
        <v>1</v>
      </c>
      <c r="GO134" s="2">
        <f t="shared" si="502"/>
        <v>2</v>
      </c>
      <c r="GP134" s="142">
        <f t="shared" si="503"/>
        <v>2</v>
      </c>
      <c r="GQ134" s="2">
        <f t="shared" si="504"/>
        <v>1.5748031496062995E-2</v>
      </c>
      <c r="GR134" s="8">
        <f t="shared" si="348"/>
        <v>2.4723060680850489E-2</v>
      </c>
      <c r="GS134" s="138">
        <f t="shared" si="505"/>
        <v>0.25</v>
      </c>
      <c r="GT134" s="12">
        <f t="shared" si="349"/>
        <v>2049.2751416791834</v>
      </c>
      <c r="GU134" s="138">
        <f t="shared" si="506"/>
        <v>0.25</v>
      </c>
      <c r="GV134" s="116">
        <f t="shared" si="507"/>
        <v>2175570</v>
      </c>
      <c r="GW134" s="2">
        <f t="shared" si="350"/>
        <v>1.5748031496062995E-2</v>
      </c>
      <c r="GX134" s="8">
        <f t="shared" si="351"/>
        <v>1.5165354815999998</v>
      </c>
      <c r="GY134" s="116">
        <f t="shared" si="508"/>
        <v>2610.6840000000002</v>
      </c>
      <c r="GZ134" s="217">
        <f t="shared" si="509"/>
        <v>7.0396267936394983</v>
      </c>
      <c r="HA134" s="207">
        <f t="shared" si="510"/>
        <v>2</v>
      </c>
      <c r="HB134" s="144">
        <f t="shared" si="511"/>
        <v>291754.57644849923</v>
      </c>
      <c r="HC134" s="138">
        <f t="shared" si="352"/>
        <v>0.25</v>
      </c>
      <c r="HD134" s="116">
        <f t="shared" si="512"/>
        <v>2175570</v>
      </c>
      <c r="HE134" s="2">
        <f t="shared" si="353"/>
        <v>1.5748031496062995E-2</v>
      </c>
      <c r="HF134" s="8">
        <f t="shared" si="513"/>
        <v>1.5165354815999998</v>
      </c>
      <c r="HG134" s="116">
        <f t="shared" si="514"/>
        <v>2610.6840000000002</v>
      </c>
      <c r="HH134" s="217">
        <f t="shared" si="515"/>
        <v>7.0396267936394983</v>
      </c>
      <c r="HI134" s="207">
        <f t="shared" si="516"/>
        <v>2</v>
      </c>
      <c r="HJ134" s="144">
        <f t="shared" si="517"/>
        <v>291754.57644849923</v>
      </c>
      <c r="HK134" s="138">
        <f t="shared" si="354"/>
        <v>0.25</v>
      </c>
      <c r="HL134" s="116">
        <f t="shared" si="518"/>
        <v>2175570</v>
      </c>
      <c r="HM134" s="2">
        <f t="shared" si="355"/>
        <v>1.5748031496062995E-2</v>
      </c>
      <c r="HN134" s="8">
        <f t="shared" si="519"/>
        <v>1.5165354815999998</v>
      </c>
      <c r="HO134" s="116">
        <f t="shared" si="520"/>
        <v>2610.6840000000002</v>
      </c>
      <c r="HP134" s="217">
        <f t="shared" si="521"/>
        <v>7.0396267936394983</v>
      </c>
      <c r="HQ134" s="207">
        <f t="shared" si="522"/>
        <v>2</v>
      </c>
      <c r="HR134" s="144">
        <f t="shared" si="523"/>
        <v>291754.57644849923</v>
      </c>
      <c r="HS134" s="128">
        <f t="shared" si="524"/>
        <v>0.25</v>
      </c>
      <c r="HT134" s="2">
        <f t="shared" si="525"/>
        <v>1.5748031496062995E-2</v>
      </c>
      <c r="HU134" s="127">
        <f t="shared" si="526"/>
        <v>1.5748031496062995E-2</v>
      </c>
      <c r="HV134" s="216">
        <f t="shared" si="527"/>
        <v>0</v>
      </c>
      <c r="HW134" s="138">
        <f t="shared" si="528"/>
        <v>0</v>
      </c>
      <c r="HX134" s="138">
        <f t="shared" si="529"/>
        <v>0.25</v>
      </c>
      <c r="HY134" s="238">
        <f t="shared" si="530"/>
        <v>0</v>
      </c>
      <c r="HZ134" s="138">
        <f t="shared" si="531"/>
        <v>0</v>
      </c>
      <c r="IA134" s="138">
        <f t="shared" si="532"/>
        <v>0</v>
      </c>
      <c r="IB134" s="138">
        <f t="shared" si="533"/>
        <v>0.25</v>
      </c>
      <c r="IC134" s="138">
        <f t="shared" si="534"/>
        <v>0</v>
      </c>
      <c r="ID134" s="216">
        <f t="shared" si="535"/>
        <v>0</v>
      </c>
      <c r="IE134" s="138">
        <f t="shared" si="536"/>
        <v>0</v>
      </c>
      <c r="IF134" s="138">
        <f t="shared" si="537"/>
        <v>1.5748031496062995E-2</v>
      </c>
      <c r="IG134" s="238">
        <f t="shared" si="538"/>
        <v>0</v>
      </c>
      <c r="IH134" s="138">
        <f t="shared" si="539"/>
        <v>0</v>
      </c>
      <c r="II134" s="138">
        <f t="shared" si="540"/>
        <v>0</v>
      </c>
      <c r="IJ134" s="138">
        <f t="shared" si="541"/>
        <v>1.5748031496062995E-2</v>
      </c>
      <c r="IK134" s="138">
        <f t="shared" si="542"/>
        <v>0</v>
      </c>
      <c r="IL134" s="216">
        <f t="shared" si="543"/>
        <v>0</v>
      </c>
      <c r="IM134" s="138">
        <f t="shared" si="544"/>
        <v>0</v>
      </c>
      <c r="IN134" s="138">
        <f t="shared" si="545"/>
        <v>1.5748031496062995E-2</v>
      </c>
      <c r="IO134" s="238">
        <f t="shared" si="546"/>
        <v>0</v>
      </c>
      <c r="IP134" s="138">
        <f t="shared" si="547"/>
        <v>0</v>
      </c>
      <c r="IQ134" s="138">
        <f t="shared" si="548"/>
        <v>0</v>
      </c>
      <c r="IR134" s="138">
        <f t="shared" si="549"/>
        <v>1.5748031496062995E-2</v>
      </c>
      <c r="IS134" s="138">
        <f t="shared" si="550"/>
        <v>0</v>
      </c>
      <c r="IT134" s="17">
        <f t="shared" si="551"/>
        <v>0.25</v>
      </c>
      <c r="IU134" s="17">
        <f t="shared" si="552"/>
        <v>1.5748031496062995E-2</v>
      </c>
      <c r="IV134" s="17">
        <f t="shared" si="553"/>
        <v>1.5748031496062995E-2</v>
      </c>
      <c r="IW134" s="253">
        <f t="shared" si="554"/>
        <v>8.42519712</v>
      </c>
      <c r="IX134" s="116">
        <f t="shared" si="356"/>
        <v>36.700608658251909</v>
      </c>
      <c r="IY134" s="8">
        <f t="shared" si="357"/>
        <v>9.4890499364611101E-4</v>
      </c>
      <c r="IZ134" s="8">
        <f t="shared" si="555"/>
        <v>9.4890499364611101E-4</v>
      </c>
      <c r="JA134" s="8">
        <f t="shared" si="556"/>
        <v>4.744524968230555E-4</v>
      </c>
      <c r="JB134" s="134">
        <f t="shared" si="557"/>
        <v>2.1781930511849852E-2</v>
      </c>
      <c r="JC134" s="170">
        <f t="shared" si="561"/>
        <v>6.3172897578446421E-4</v>
      </c>
      <c r="JD134" s="272">
        <f t="shared" si="562"/>
        <v>2.5134219219710489E-2</v>
      </c>
      <c r="JE134" s="8"/>
      <c r="JF134" s="8"/>
    </row>
    <row r="135" spans="1:266" x14ac:dyDescent="0.25">
      <c r="A135" s="186">
        <v>75</v>
      </c>
      <c r="B135" s="187">
        <f>A135/100*'Inputs-Imperial'!$E$5</f>
        <v>7.3818900000000003</v>
      </c>
      <c r="C135" s="188">
        <f>'Inputs-Imperial'!$E$10+('Inputs-Imperial'!$E$9-'Inputs-Imperial'!$E$10)*(100-A135)/100</f>
        <v>1.3943569999999998</v>
      </c>
      <c r="D135" s="187">
        <f t="shared" si="558"/>
        <v>9.8425200000000324E-2</v>
      </c>
      <c r="E135" s="188">
        <f t="shared" si="559"/>
        <v>0.13772424259615246</v>
      </c>
      <c r="F135" s="423">
        <f>Loads!P95</f>
        <v>20.468100596559495</v>
      </c>
      <c r="G135" s="423">
        <f>Loads!M95</f>
        <v>204.68100596559503</v>
      </c>
      <c r="H135" s="423">
        <f>Loads!N95</f>
        <v>236.51355195846114</v>
      </c>
      <c r="I135" s="423">
        <f>Loads!V95</f>
        <v>-127.06261965424724</v>
      </c>
      <c r="J135" s="423">
        <f>Loads!Q95</f>
        <v>23.651355195846111</v>
      </c>
      <c r="K135" s="2">
        <v>75</v>
      </c>
      <c r="L135" s="12">
        <f t="shared" si="358"/>
        <v>88.582680000000011</v>
      </c>
      <c r="M135" s="11">
        <f t="shared" si="359"/>
        <v>16.732284</v>
      </c>
      <c r="N135" s="11">
        <f t="shared" si="360"/>
        <v>1.1811024000000039</v>
      </c>
      <c r="O135" s="152">
        <f t="shared" si="361"/>
        <v>19.832290933845954</v>
      </c>
      <c r="P135" s="151">
        <f t="shared" si="362"/>
        <v>20.468100596559495</v>
      </c>
      <c r="Q135" s="12">
        <f t="shared" si="363"/>
        <v>204.68100596559503</v>
      </c>
      <c r="R135" s="12">
        <f t="shared" si="364"/>
        <v>2838.1626235015337</v>
      </c>
      <c r="S135" s="12">
        <f t="shared" si="365"/>
        <v>-1524.751435850967</v>
      </c>
      <c r="T135" s="152">
        <f t="shared" si="366"/>
        <v>283.81626235015335</v>
      </c>
      <c r="U135" s="8">
        <f t="shared" si="313"/>
        <v>3.01181112</v>
      </c>
      <c r="V135" s="8">
        <f t="shared" si="314"/>
        <v>3.01181112</v>
      </c>
      <c r="W135" s="134">
        <f t="shared" si="315"/>
        <v>1.50590556</v>
      </c>
      <c r="X135" s="311">
        <f t="shared" si="316"/>
        <v>4.183071</v>
      </c>
      <c r="Y135" s="11">
        <f t="shared" si="317"/>
        <v>12.549213</v>
      </c>
      <c r="Z135" s="11">
        <f t="shared" si="318"/>
        <v>8.366142</v>
      </c>
      <c r="AA135" s="316">
        <f t="shared" si="367"/>
        <v>12.549213</v>
      </c>
      <c r="AB135" s="170">
        <f t="shared" si="368"/>
        <v>2.2588583399999997</v>
      </c>
      <c r="AC135" s="11">
        <f t="shared" si="369"/>
        <v>12.549213</v>
      </c>
      <c r="AD135" s="152">
        <f t="shared" si="370"/>
        <v>22.263598835506361</v>
      </c>
      <c r="AE135" s="151">
        <f t="shared" si="319"/>
        <v>1.6310266306388692</v>
      </c>
      <c r="AF135" s="12">
        <f t="shared" si="320"/>
        <v>34.243148358819418</v>
      </c>
      <c r="AG135" s="216">
        <f t="shared" si="321"/>
        <v>2.3503265712167946E-3</v>
      </c>
      <c r="AH135" s="2">
        <f t="shared" si="371"/>
        <v>1</v>
      </c>
      <c r="AI135" s="2">
        <f t="shared" si="372"/>
        <v>3</v>
      </c>
      <c r="AJ135" s="127">
        <f t="shared" si="373"/>
        <v>2</v>
      </c>
      <c r="AK135" s="2">
        <f t="shared" si="374"/>
        <v>1.5748031496062995E-2</v>
      </c>
      <c r="AL135" s="8">
        <f t="shared" si="322"/>
        <v>2.4734328237743412E-2</v>
      </c>
      <c r="AM135" s="138">
        <f t="shared" si="375"/>
        <v>0.25</v>
      </c>
      <c r="AN135" s="12">
        <f t="shared" si="323"/>
        <v>2050.2091006475412</v>
      </c>
      <c r="AO135" s="138">
        <f t="shared" si="376"/>
        <v>0.25</v>
      </c>
      <c r="AP135" s="116">
        <f t="shared" si="377"/>
        <v>2175570</v>
      </c>
      <c r="AQ135" s="2">
        <f t="shared" si="378"/>
        <v>1.5748031496062995E-2</v>
      </c>
      <c r="AR135" s="8">
        <f t="shared" si="379"/>
        <v>8.366142</v>
      </c>
      <c r="AS135" s="116">
        <f t="shared" si="380"/>
        <v>2610.6840000000002</v>
      </c>
      <c r="AT135" s="217">
        <f t="shared" si="381"/>
        <v>0.23131528096299112</v>
      </c>
      <c r="AU135" s="207">
        <f t="shared" si="382"/>
        <v>2.9272946495975565</v>
      </c>
      <c r="AV135" s="144">
        <f t="shared" si="383"/>
        <v>14031.652107540131</v>
      </c>
      <c r="AW135" s="138">
        <f t="shared" si="384"/>
        <v>0.25</v>
      </c>
      <c r="AX135" s="116">
        <f t="shared" si="385"/>
        <v>2175570</v>
      </c>
      <c r="AY135" s="2">
        <f t="shared" si="386"/>
        <v>1.5748031496062995E-2</v>
      </c>
      <c r="AZ135" s="8">
        <f t="shared" si="387"/>
        <v>8.366142</v>
      </c>
      <c r="BA135" s="116">
        <f t="shared" si="388"/>
        <v>2610.6840000000002</v>
      </c>
      <c r="BB135" s="217">
        <f t="shared" si="389"/>
        <v>0.23131528096299112</v>
      </c>
      <c r="BC135" s="207">
        <f t="shared" si="390"/>
        <v>2.9272946495975565</v>
      </c>
      <c r="BD135" s="144">
        <f t="shared" si="391"/>
        <v>14031.652107540131</v>
      </c>
      <c r="BE135" s="138">
        <f t="shared" si="392"/>
        <v>0.25</v>
      </c>
      <c r="BF135" s="116">
        <f t="shared" si="393"/>
        <v>2175570</v>
      </c>
      <c r="BG135" s="2">
        <f t="shared" si="394"/>
        <v>1.5748031496062995E-2</v>
      </c>
      <c r="BH135" s="8">
        <f t="shared" si="395"/>
        <v>8.366142</v>
      </c>
      <c r="BI135" s="116">
        <f t="shared" si="396"/>
        <v>2610.6840000000002</v>
      </c>
      <c r="BJ135" s="217">
        <f t="shared" si="397"/>
        <v>0.23131528096299112</v>
      </c>
      <c r="BK135" s="207">
        <f t="shared" si="398"/>
        <v>2.9272946495975565</v>
      </c>
      <c r="BL135" s="144">
        <f t="shared" si="399"/>
        <v>14031.652107540131</v>
      </c>
      <c r="BM135" s="216">
        <f t="shared" si="400"/>
        <v>0.25</v>
      </c>
      <c r="BN135" s="216">
        <f t="shared" si="401"/>
        <v>2.3622047244094495E-2</v>
      </c>
      <c r="BO135" s="238">
        <f t="shared" si="402"/>
        <v>1.5748031496062995E-2</v>
      </c>
      <c r="BP135" s="216">
        <f t="shared" si="403"/>
        <v>0</v>
      </c>
      <c r="BQ135" s="138">
        <f t="shared" si="404"/>
        <v>0</v>
      </c>
      <c r="BR135" s="138">
        <f t="shared" si="405"/>
        <v>0</v>
      </c>
      <c r="BS135" s="238">
        <f t="shared" si="406"/>
        <v>0.25</v>
      </c>
      <c r="BT135" s="138">
        <f t="shared" si="407"/>
        <v>0</v>
      </c>
      <c r="BU135" s="138">
        <f t="shared" si="408"/>
        <v>0</v>
      </c>
      <c r="BV135" s="138">
        <f t="shared" si="409"/>
        <v>0</v>
      </c>
      <c r="BW135" s="238">
        <f t="shared" si="410"/>
        <v>0.25</v>
      </c>
      <c r="BX135" s="216">
        <f t="shared" si="411"/>
        <v>0</v>
      </c>
      <c r="BY135" s="138">
        <f t="shared" si="412"/>
        <v>0</v>
      </c>
      <c r="BZ135" s="138">
        <f t="shared" si="413"/>
        <v>0</v>
      </c>
      <c r="CA135" s="238">
        <f t="shared" si="414"/>
        <v>2.3622047244094495E-2</v>
      </c>
      <c r="CB135" s="138">
        <f t="shared" si="415"/>
        <v>0</v>
      </c>
      <c r="CC135" s="138">
        <f t="shared" si="416"/>
        <v>0</v>
      </c>
      <c r="CD135" s="138">
        <f t="shared" si="417"/>
        <v>0</v>
      </c>
      <c r="CE135" s="238">
        <f t="shared" si="418"/>
        <v>2.3622047244094495E-2</v>
      </c>
      <c r="CF135" s="216">
        <f t="shared" si="419"/>
        <v>0</v>
      </c>
      <c r="CG135" s="138">
        <f t="shared" si="420"/>
        <v>0</v>
      </c>
      <c r="CH135" s="138">
        <f t="shared" si="421"/>
        <v>0</v>
      </c>
      <c r="CI135" s="238">
        <f t="shared" si="422"/>
        <v>1.5748031496062995E-2</v>
      </c>
      <c r="CJ135" s="138">
        <f t="shared" si="423"/>
        <v>0</v>
      </c>
      <c r="CK135" s="138">
        <f t="shared" si="424"/>
        <v>0</v>
      </c>
      <c r="CL135" s="138">
        <f t="shared" si="425"/>
        <v>0</v>
      </c>
      <c r="CM135" s="238">
        <f t="shared" si="426"/>
        <v>1.5748031496062995E-2</v>
      </c>
      <c r="CN135" s="17">
        <f t="shared" si="427"/>
        <v>0.25</v>
      </c>
      <c r="CO135" s="17">
        <f t="shared" si="428"/>
        <v>2.3622047244094495E-2</v>
      </c>
      <c r="CP135" s="17">
        <f t="shared" si="429"/>
        <v>1.5748031496062995E-2</v>
      </c>
      <c r="CQ135" s="17">
        <f>$U135-IF('Inputs-Imperial'!$E$13,0,2)*($CO135+$CN135+$CP135)</f>
        <v>3.01181112</v>
      </c>
      <c r="CR135" s="116">
        <f t="shared" si="430"/>
        <v>942.34416117752221</v>
      </c>
      <c r="CS135" s="8">
        <f t="shared" si="324"/>
        <v>2.4364584484174546E-2</v>
      </c>
      <c r="CT135" s="8">
        <f t="shared" si="431"/>
        <v>0.15609159004947878</v>
      </c>
      <c r="CU135" s="8">
        <f t="shared" si="325"/>
        <v>2.4364584484174546E-2</v>
      </c>
      <c r="CV135" s="8">
        <f t="shared" si="432"/>
        <v>0.15609159004947878</v>
      </c>
      <c r="CW135" s="216">
        <f t="shared" si="433"/>
        <v>2.8557195299505214</v>
      </c>
      <c r="CX135" s="116">
        <f t="shared" si="434"/>
        <v>993.8520200373838</v>
      </c>
      <c r="CY135" s="8">
        <f t="shared" si="435"/>
        <v>2.5696335271723197E-2</v>
      </c>
      <c r="CZ135" s="8">
        <f t="shared" si="436"/>
        <v>0.16030076503786</v>
      </c>
      <c r="DA135" s="8">
        <f t="shared" si="437"/>
        <v>2.5696335271723197E-2</v>
      </c>
      <c r="DB135" s="8">
        <f t="shared" si="438"/>
        <v>0.16030076503786</v>
      </c>
      <c r="DC135" s="216">
        <f t="shared" si="439"/>
        <v>2.8515103549621399</v>
      </c>
      <c r="DD135" s="116">
        <f t="shared" si="440"/>
        <v>995.3190661091661</v>
      </c>
      <c r="DE135" s="8">
        <f t="shared" si="441"/>
        <v>2.5734266177893879E-2</v>
      </c>
      <c r="DF135" s="8">
        <f t="shared" si="442"/>
        <v>0.16041903309113253</v>
      </c>
      <c r="DG135" s="8">
        <f t="shared" si="443"/>
        <v>2.5734266177893879E-2</v>
      </c>
      <c r="DH135" s="8">
        <f t="shared" si="444"/>
        <v>0.16041903309113253</v>
      </c>
      <c r="DI135" s="216">
        <f t="shared" si="445"/>
        <v>2.8513920869088674</v>
      </c>
      <c r="DJ135" s="116">
        <f t="shared" si="446"/>
        <v>995.36034925955221</v>
      </c>
      <c r="DK135" s="8">
        <f t="shared" si="447"/>
        <v>2.5735333565847021E-2</v>
      </c>
      <c r="DL135" s="8">
        <f t="shared" si="448"/>
        <v>0.16042235993104895</v>
      </c>
      <c r="DM135" s="8">
        <f t="shared" si="449"/>
        <v>2.5735333565847021E-2</v>
      </c>
      <c r="DN135" s="8">
        <f t="shared" si="450"/>
        <v>0.16042235993104895</v>
      </c>
      <c r="DO135" s="216">
        <f t="shared" si="451"/>
        <v>2.8513887600689509</v>
      </c>
      <c r="DP135" s="116">
        <f t="shared" si="452"/>
        <v>995.3615105899845</v>
      </c>
      <c r="DQ135" s="170">
        <f t="shared" si="453"/>
        <v>2.5735363592385731E-2</v>
      </c>
      <c r="DR135" s="8">
        <f t="shared" si="454"/>
        <v>0.16042245351691181</v>
      </c>
      <c r="DS135" s="8">
        <f t="shared" si="455"/>
        <v>2.5735363592385731E-2</v>
      </c>
      <c r="DT135" s="134">
        <f t="shared" si="456"/>
        <v>0.16042245351691181</v>
      </c>
      <c r="DU135" s="170">
        <f t="shared" si="560"/>
        <v>3.7417273971028842E-2</v>
      </c>
      <c r="DV135" s="170">
        <f t="shared" si="560"/>
        <v>0.19343545169132995</v>
      </c>
      <c r="DW135" s="170">
        <f t="shared" si="560"/>
        <v>3.7417273971028842E-2</v>
      </c>
      <c r="DX135" s="272">
        <f t="shared" si="560"/>
        <v>0.19343545169132995</v>
      </c>
      <c r="DY135" s="272">
        <f t="shared" si="457"/>
        <v>2.6249402166173397</v>
      </c>
      <c r="DZ135" s="22">
        <f t="shared" si="326"/>
        <v>67.959442943286248</v>
      </c>
      <c r="EA135" s="216">
        <f t="shared" si="327"/>
        <v>4.4524197298372297E-3</v>
      </c>
      <c r="EB135" s="12">
        <f t="shared" si="458"/>
        <v>1</v>
      </c>
      <c r="EC135" s="7">
        <f>ROUND(MAX(DV135,DX135)/'Inputs-Imperial'!$E$21,0)</f>
        <v>2</v>
      </c>
      <c r="ED135" s="12">
        <f t="shared" si="459"/>
        <v>2</v>
      </c>
      <c r="EE135" s="2">
        <f t="shared" si="460"/>
        <v>2</v>
      </c>
      <c r="EF135" s="127">
        <f t="shared" si="461"/>
        <v>2</v>
      </c>
      <c r="EG135" s="2">
        <f t="shared" si="462"/>
        <v>1.5748031496062995E-2</v>
      </c>
      <c r="EH135" s="8">
        <f t="shared" si="328"/>
        <v>4.6856301757667813E-2</v>
      </c>
      <c r="EI135" s="138">
        <f t="shared" si="463"/>
        <v>0.25</v>
      </c>
      <c r="EJ135" s="12">
        <f t="shared" si="329"/>
        <v>3883.8821642088087</v>
      </c>
      <c r="EK135" s="138">
        <f t="shared" si="464"/>
        <v>0.25</v>
      </c>
      <c r="EL135" s="116">
        <f t="shared" si="465"/>
        <v>2175570</v>
      </c>
      <c r="EM135" s="2">
        <f t="shared" si="330"/>
        <v>1.5748031496062995E-2</v>
      </c>
      <c r="EN135" s="8">
        <f t="shared" si="466"/>
        <v>3.01181112</v>
      </c>
      <c r="EO135" s="116">
        <f t="shared" si="467"/>
        <v>2610.6840000000002</v>
      </c>
      <c r="EP135" s="217">
        <f t="shared" si="468"/>
        <v>1.784840130887277</v>
      </c>
      <c r="EQ135" s="207">
        <f t="shared" si="469"/>
        <v>2</v>
      </c>
      <c r="ER135" s="144">
        <f t="shared" si="470"/>
        <v>73972.00045971194</v>
      </c>
      <c r="ES135" s="138">
        <f t="shared" si="331"/>
        <v>0.25</v>
      </c>
      <c r="ET135" s="116">
        <f t="shared" si="471"/>
        <v>2175570</v>
      </c>
      <c r="EU135" s="2">
        <f t="shared" si="332"/>
        <v>1.5748031496062995E-2</v>
      </c>
      <c r="EV135" s="8">
        <f t="shared" si="472"/>
        <v>3.01181112</v>
      </c>
      <c r="EW135" s="116">
        <f t="shared" si="473"/>
        <v>2610.6840000000002</v>
      </c>
      <c r="EX135" s="217">
        <f t="shared" si="474"/>
        <v>1.784840130887277</v>
      </c>
      <c r="EY135" s="207">
        <f t="shared" si="475"/>
        <v>2</v>
      </c>
      <c r="EZ135" s="144">
        <f t="shared" si="476"/>
        <v>73972.00045971194</v>
      </c>
      <c r="FA135" s="138">
        <f t="shared" si="333"/>
        <v>0.25</v>
      </c>
      <c r="FB135" s="116">
        <f t="shared" si="477"/>
        <v>2175570</v>
      </c>
      <c r="FC135" s="2">
        <f t="shared" si="334"/>
        <v>1.5748031496062995E-2</v>
      </c>
      <c r="FD135" s="8">
        <f t="shared" si="478"/>
        <v>3.01181112</v>
      </c>
      <c r="FE135" s="116">
        <f t="shared" si="479"/>
        <v>2610.6840000000002</v>
      </c>
      <c r="FF135" s="217">
        <f t="shared" si="480"/>
        <v>1.784840130887277</v>
      </c>
      <c r="FG135" s="207">
        <f t="shared" si="481"/>
        <v>2</v>
      </c>
      <c r="FH135" s="144">
        <f t="shared" si="482"/>
        <v>73972.00045971194</v>
      </c>
      <c r="FI135" s="128">
        <f t="shared" si="483"/>
        <v>0.25</v>
      </c>
      <c r="FJ135" s="2">
        <f t="shared" si="484"/>
        <v>1.5748031496062995E-2</v>
      </c>
      <c r="FK135" s="127">
        <f t="shared" si="485"/>
        <v>1.5748031496062995E-2</v>
      </c>
      <c r="FL135" s="216">
        <f t="shared" si="486"/>
        <v>0</v>
      </c>
      <c r="FM135" s="138">
        <f t="shared" si="487"/>
        <v>0</v>
      </c>
      <c r="FN135" s="138">
        <f t="shared" si="488"/>
        <v>0</v>
      </c>
      <c r="FO135" s="238">
        <f t="shared" si="489"/>
        <v>0.25</v>
      </c>
      <c r="FP135" s="216">
        <f t="shared" si="335"/>
        <v>0</v>
      </c>
      <c r="FQ135" s="138">
        <f t="shared" si="336"/>
        <v>0</v>
      </c>
      <c r="FR135" s="138">
        <f t="shared" si="337"/>
        <v>0</v>
      </c>
      <c r="FS135" s="238">
        <f t="shared" si="338"/>
        <v>0.25</v>
      </c>
      <c r="FT135" s="216">
        <f t="shared" si="490"/>
        <v>0</v>
      </c>
      <c r="FU135" s="138">
        <f t="shared" si="491"/>
        <v>0</v>
      </c>
      <c r="FV135" s="138">
        <f t="shared" si="492"/>
        <v>0</v>
      </c>
      <c r="FW135" s="238">
        <f t="shared" si="493"/>
        <v>1.5748031496062995E-2</v>
      </c>
      <c r="FX135" s="216">
        <f t="shared" si="339"/>
        <v>0</v>
      </c>
      <c r="FY135" s="138">
        <f t="shared" si="340"/>
        <v>0</v>
      </c>
      <c r="FZ135" s="138">
        <f t="shared" si="341"/>
        <v>0</v>
      </c>
      <c r="GA135" s="238">
        <f t="shared" si="342"/>
        <v>1.5748031496062995E-2</v>
      </c>
      <c r="GB135" s="216">
        <f t="shared" si="494"/>
        <v>0</v>
      </c>
      <c r="GC135" s="138">
        <f t="shared" si="495"/>
        <v>0</v>
      </c>
      <c r="GD135" s="138">
        <f t="shared" si="496"/>
        <v>0</v>
      </c>
      <c r="GE135" s="238">
        <f t="shared" si="497"/>
        <v>1.5748031496062995E-2</v>
      </c>
      <c r="GF135" s="216">
        <f t="shared" si="343"/>
        <v>0</v>
      </c>
      <c r="GG135" s="138">
        <f t="shared" si="344"/>
        <v>0</v>
      </c>
      <c r="GH135" s="138">
        <f t="shared" si="345"/>
        <v>0</v>
      </c>
      <c r="GI135" s="238">
        <f t="shared" si="346"/>
        <v>1.5748031496062995E-2</v>
      </c>
      <c r="GJ135" s="216">
        <f t="shared" si="498"/>
        <v>0.25</v>
      </c>
      <c r="GK135" s="216">
        <f t="shared" si="499"/>
        <v>1.5748031496062995E-2</v>
      </c>
      <c r="GL135" s="17">
        <f t="shared" si="500"/>
        <v>1.5748031496062995E-2</v>
      </c>
      <c r="GM135" s="216">
        <f t="shared" si="347"/>
        <v>2.2434684977007012E-3</v>
      </c>
      <c r="GN135" s="2">
        <f t="shared" si="501"/>
        <v>1</v>
      </c>
      <c r="GO135" s="2">
        <f t="shared" si="502"/>
        <v>2</v>
      </c>
      <c r="GP135" s="142">
        <f t="shared" si="503"/>
        <v>2</v>
      </c>
      <c r="GQ135" s="2">
        <f t="shared" si="504"/>
        <v>1.5748031496062995E-2</v>
      </c>
      <c r="GR135" s="8">
        <f t="shared" si="348"/>
        <v>2.3609776995559384E-2</v>
      </c>
      <c r="GS135" s="138">
        <f t="shared" si="505"/>
        <v>0.25</v>
      </c>
      <c r="GT135" s="12">
        <f t="shared" si="349"/>
        <v>1956.9959287065294</v>
      </c>
      <c r="GU135" s="138">
        <f t="shared" si="506"/>
        <v>0.25</v>
      </c>
      <c r="GV135" s="116">
        <f t="shared" si="507"/>
        <v>2175570</v>
      </c>
      <c r="GW135" s="2">
        <f t="shared" si="350"/>
        <v>1.5748031496062995E-2</v>
      </c>
      <c r="GX135" s="8">
        <f t="shared" si="351"/>
        <v>1.50590556</v>
      </c>
      <c r="GY135" s="116">
        <f t="shared" si="508"/>
        <v>2610.6840000000002</v>
      </c>
      <c r="GZ135" s="217">
        <f t="shared" si="509"/>
        <v>7.139360523549108</v>
      </c>
      <c r="HA135" s="207">
        <f t="shared" si="510"/>
        <v>2</v>
      </c>
      <c r="HB135" s="144">
        <f t="shared" si="511"/>
        <v>295888.00183884776</v>
      </c>
      <c r="HC135" s="138">
        <f t="shared" si="352"/>
        <v>0.25</v>
      </c>
      <c r="HD135" s="116">
        <f t="shared" si="512"/>
        <v>2175570</v>
      </c>
      <c r="HE135" s="2">
        <f t="shared" si="353"/>
        <v>1.5748031496062995E-2</v>
      </c>
      <c r="HF135" s="8">
        <f t="shared" si="513"/>
        <v>1.50590556</v>
      </c>
      <c r="HG135" s="116">
        <f t="shared" si="514"/>
        <v>2610.6840000000002</v>
      </c>
      <c r="HH135" s="217">
        <f t="shared" si="515"/>
        <v>7.139360523549108</v>
      </c>
      <c r="HI135" s="207">
        <f t="shared" si="516"/>
        <v>2</v>
      </c>
      <c r="HJ135" s="144">
        <f t="shared" si="517"/>
        <v>295888.00183884776</v>
      </c>
      <c r="HK135" s="138">
        <f t="shared" si="354"/>
        <v>0.25</v>
      </c>
      <c r="HL135" s="116">
        <f t="shared" si="518"/>
        <v>2175570</v>
      </c>
      <c r="HM135" s="2">
        <f t="shared" si="355"/>
        <v>1.5748031496062995E-2</v>
      </c>
      <c r="HN135" s="8">
        <f t="shared" si="519"/>
        <v>1.50590556</v>
      </c>
      <c r="HO135" s="116">
        <f t="shared" si="520"/>
        <v>2610.6840000000002</v>
      </c>
      <c r="HP135" s="217">
        <f t="shared" si="521"/>
        <v>7.139360523549108</v>
      </c>
      <c r="HQ135" s="207">
        <f t="shared" si="522"/>
        <v>2</v>
      </c>
      <c r="HR135" s="144">
        <f t="shared" si="523"/>
        <v>295888.00183884776</v>
      </c>
      <c r="HS135" s="128">
        <f t="shared" si="524"/>
        <v>0.25</v>
      </c>
      <c r="HT135" s="2">
        <f t="shared" si="525"/>
        <v>1.5748031496062995E-2</v>
      </c>
      <c r="HU135" s="127">
        <f t="shared" si="526"/>
        <v>1.5748031496062995E-2</v>
      </c>
      <c r="HV135" s="216">
        <f t="shared" si="527"/>
        <v>0</v>
      </c>
      <c r="HW135" s="138">
        <f t="shared" si="528"/>
        <v>0</v>
      </c>
      <c r="HX135" s="138">
        <f t="shared" si="529"/>
        <v>0</v>
      </c>
      <c r="HY135" s="238">
        <f t="shared" si="530"/>
        <v>0.25</v>
      </c>
      <c r="HZ135" s="138">
        <f t="shared" si="531"/>
        <v>0</v>
      </c>
      <c r="IA135" s="138">
        <f t="shared" si="532"/>
        <v>0</v>
      </c>
      <c r="IB135" s="138">
        <f t="shared" si="533"/>
        <v>0</v>
      </c>
      <c r="IC135" s="138">
        <f t="shared" si="534"/>
        <v>0.25</v>
      </c>
      <c r="ID135" s="216">
        <f t="shared" si="535"/>
        <v>0</v>
      </c>
      <c r="IE135" s="138">
        <f t="shared" si="536"/>
        <v>0</v>
      </c>
      <c r="IF135" s="138">
        <f t="shared" si="537"/>
        <v>0</v>
      </c>
      <c r="IG135" s="238">
        <f t="shared" si="538"/>
        <v>1.5748031496062995E-2</v>
      </c>
      <c r="IH135" s="138">
        <f t="shared" si="539"/>
        <v>0</v>
      </c>
      <c r="II135" s="138">
        <f t="shared" si="540"/>
        <v>0</v>
      </c>
      <c r="IJ135" s="138">
        <f t="shared" si="541"/>
        <v>0</v>
      </c>
      <c r="IK135" s="138">
        <f t="shared" si="542"/>
        <v>1.5748031496062995E-2</v>
      </c>
      <c r="IL135" s="216">
        <f t="shared" si="543"/>
        <v>0</v>
      </c>
      <c r="IM135" s="138">
        <f t="shared" si="544"/>
        <v>0</v>
      </c>
      <c r="IN135" s="138">
        <f t="shared" si="545"/>
        <v>0</v>
      </c>
      <c r="IO135" s="238">
        <f t="shared" si="546"/>
        <v>1.5748031496062995E-2</v>
      </c>
      <c r="IP135" s="138">
        <f t="shared" si="547"/>
        <v>0</v>
      </c>
      <c r="IQ135" s="138">
        <f t="shared" si="548"/>
        <v>0</v>
      </c>
      <c r="IR135" s="138">
        <f t="shared" si="549"/>
        <v>0</v>
      </c>
      <c r="IS135" s="138">
        <f t="shared" si="550"/>
        <v>1.5748031496062995E-2</v>
      </c>
      <c r="IT135" s="17">
        <f t="shared" si="551"/>
        <v>0.25</v>
      </c>
      <c r="IU135" s="17">
        <f t="shared" si="552"/>
        <v>1.5748031496062995E-2</v>
      </c>
      <c r="IV135" s="17">
        <f t="shared" si="553"/>
        <v>1.5748031496062995E-2</v>
      </c>
      <c r="IW135" s="253">
        <f t="shared" si="554"/>
        <v>8.366142</v>
      </c>
      <c r="IX135" s="116">
        <f t="shared" si="356"/>
        <v>33.924389802390799</v>
      </c>
      <c r="IY135" s="8">
        <f t="shared" si="357"/>
        <v>8.7712504143028366E-4</v>
      </c>
      <c r="IZ135" s="8">
        <f t="shared" si="555"/>
        <v>8.7712504143028366E-4</v>
      </c>
      <c r="JA135" s="8">
        <f t="shared" si="556"/>
        <v>4.3856252071514183E-4</v>
      </c>
      <c r="JB135" s="134">
        <f t="shared" si="557"/>
        <v>2.0941884363999859E-2</v>
      </c>
      <c r="JC135" s="170">
        <f t="shared" si="561"/>
        <v>6.3172897578446421E-4</v>
      </c>
      <c r="JD135" s="272">
        <f t="shared" si="562"/>
        <v>2.5134219219710489E-2</v>
      </c>
      <c r="JE135" s="8"/>
      <c r="JF135" s="8"/>
    </row>
    <row r="136" spans="1:266" x14ac:dyDescent="0.25">
      <c r="A136" s="186">
        <v>76</v>
      </c>
      <c r="B136" s="187">
        <f>A136/100*'Inputs-Imperial'!$E$5</f>
        <v>7.4803152000000006</v>
      </c>
      <c r="C136" s="188">
        <f>'Inputs-Imperial'!$E$10+('Inputs-Imperial'!$E$9-'Inputs-Imperial'!$E$10)*(100-A136)/100</f>
        <v>1.38451448</v>
      </c>
      <c r="D136" s="187">
        <f t="shared" si="558"/>
        <v>9.8425200000000324E-2</v>
      </c>
      <c r="E136" s="188">
        <f t="shared" si="559"/>
        <v>0.13675549059664843</v>
      </c>
      <c r="F136" s="423">
        <f>Loads!P96</f>
        <v>19.44867720365205</v>
      </c>
      <c r="G136" s="423">
        <f>Loads!M96</f>
        <v>194.48677203652056</v>
      </c>
      <c r="H136" s="423">
        <f>Loads!N96</f>
        <v>216.36778301009619</v>
      </c>
      <c r="I136" s="423">
        <f>Loads!V96</f>
        <v>-119.37572833397729</v>
      </c>
      <c r="J136" s="423">
        <f>Loads!Q96</f>
        <v>21.636778301009617</v>
      </c>
      <c r="K136" s="2">
        <v>76</v>
      </c>
      <c r="L136" s="12">
        <f t="shared" si="358"/>
        <v>89.763782400000011</v>
      </c>
      <c r="M136" s="11">
        <f t="shared" si="359"/>
        <v>16.61417376</v>
      </c>
      <c r="N136" s="11">
        <f t="shared" si="360"/>
        <v>1.1811024000000039</v>
      </c>
      <c r="O136" s="152">
        <f t="shared" si="361"/>
        <v>19.692790645917373</v>
      </c>
      <c r="P136" s="151">
        <f t="shared" si="362"/>
        <v>19.44867720365205</v>
      </c>
      <c r="Q136" s="12">
        <f t="shared" si="363"/>
        <v>194.48677203652056</v>
      </c>
      <c r="R136" s="12">
        <f t="shared" si="364"/>
        <v>2596.4133961211542</v>
      </c>
      <c r="S136" s="12">
        <f t="shared" si="365"/>
        <v>-1432.5087400077275</v>
      </c>
      <c r="T136" s="152">
        <f t="shared" si="366"/>
        <v>259.64133961211542</v>
      </c>
      <c r="U136" s="8">
        <f t="shared" si="313"/>
        <v>2.9905512767999998</v>
      </c>
      <c r="V136" s="8">
        <f t="shared" si="314"/>
        <v>2.9905512767999998</v>
      </c>
      <c r="W136" s="134">
        <f t="shared" si="315"/>
        <v>1.4952756383999999</v>
      </c>
      <c r="X136" s="311">
        <f t="shared" si="316"/>
        <v>4.15354344</v>
      </c>
      <c r="Y136" s="11">
        <f t="shared" si="317"/>
        <v>12.46063032</v>
      </c>
      <c r="Z136" s="11">
        <f t="shared" si="318"/>
        <v>8.30708688</v>
      </c>
      <c r="AA136" s="316">
        <f t="shared" si="367"/>
        <v>12.46063032</v>
      </c>
      <c r="AB136" s="170">
        <f t="shared" si="368"/>
        <v>2.2429134575999998</v>
      </c>
      <c r="AC136" s="11">
        <f t="shared" si="369"/>
        <v>12.46063032</v>
      </c>
      <c r="AD136" s="152">
        <f t="shared" si="370"/>
        <v>21.950398532995514</v>
      </c>
      <c r="AE136" s="151">
        <f t="shared" si="319"/>
        <v>1.5608100637120941</v>
      </c>
      <c r="AF136" s="12">
        <f t="shared" si="320"/>
        <v>32.630586133878197</v>
      </c>
      <c r="AG136" s="216">
        <f t="shared" si="321"/>
        <v>2.2400779115843527E-3</v>
      </c>
      <c r="AH136" s="2">
        <f t="shared" si="371"/>
        <v>1</v>
      </c>
      <c r="AI136" s="2">
        <f t="shared" si="372"/>
        <v>3</v>
      </c>
      <c r="AJ136" s="127">
        <f t="shared" si="373"/>
        <v>2</v>
      </c>
      <c r="AK136" s="2">
        <f t="shared" si="374"/>
        <v>1.5748031496062995E-2</v>
      </c>
      <c r="AL136" s="8">
        <f t="shared" si="322"/>
        <v>2.3574095200975118E-2</v>
      </c>
      <c r="AM136" s="138">
        <f t="shared" si="375"/>
        <v>0.25</v>
      </c>
      <c r="AN136" s="12">
        <f t="shared" si="323"/>
        <v>1954.0382926922848</v>
      </c>
      <c r="AO136" s="138">
        <f t="shared" si="376"/>
        <v>0.25</v>
      </c>
      <c r="AP136" s="116">
        <f t="shared" si="377"/>
        <v>2175570</v>
      </c>
      <c r="AQ136" s="2">
        <f t="shared" si="378"/>
        <v>1.5748031496062995E-2</v>
      </c>
      <c r="AR136" s="8">
        <f t="shared" si="379"/>
        <v>8.30708688</v>
      </c>
      <c r="AS136" s="116">
        <f t="shared" si="380"/>
        <v>2610.6840000000002</v>
      </c>
      <c r="AT136" s="217">
        <f t="shared" si="381"/>
        <v>0.23461581402001455</v>
      </c>
      <c r="AU136" s="207">
        <f t="shared" si="382"/>
        <v>2.91034002506475</v>
      </c>
      <c r="AV136" s="144">
        <f t="shared" si="383"/>
        <v>14149.433741908393</v>
      </c>
      <c r="AW136" s="138">
        <f t="shared" si="384"/>
        <v>0.25</v>
      </c>
      <c r="AX136" s="116">
        <f t="shared" si="385"/>
        <v>2175570</v>
      </c>
      <c r="AY136" s="2">
        <f t="shared" si="386"/>
        <v>1.5748031496062995E-2</v>
      </c>
      <c r="AZ136" s="8">
        <f t="shared" si="387"/>
        <v>8.30708688</v>
      </c>
      <c r="BA136" s="116">
        <f t="shared" si="388"/>
        <v>2610.6840000000002</v>
      </c>
      <c r="BB136" s="217">
        <f t="shared" si="389"/>
        <v>0.23461581402001455</v>
      </c>
      <c r="BC136" s="207">
        <f t="shared" si="390"/>
        <v>2.91034002506475</v>
      </c>
      <c r="BD136" s="144">
        <f t="shared" si="391"/>
        <v>14149.433741908393</v>
      </c>
      <c r="BE136" s="138">
        <f t="shared" si="392"/>
        <v>0.25</v>
      </c>
      <c r="BF136" s="116">
        <f t="shared" si="393"/>
        <v>2175570</v>
      </c>
      <c r="BG136" s="2">
        <f t="shared" si="394"/>
        <v>1.5748031496062995E-2</v>
      </c>
      <c r="BH136" s="8">
        <f t="shared" si="395"/>
        <v>8.30708688</v>
      </c>
      <c r="BI136" s="116">
        <f t="shared" si="396"/>
        <v>2610.6840000000002</v>
      </c>
      <c r="BJ136" s="217">
        <f t="shared" si="397"/>
        <v>0.23461581402001455</v>
      </c>
      <c r="BK136" s="207">
        <f t="shared" si="398"/>
        <v>2.91034002506475</v>
      </c>
      <c r="BL136" s="144">
        <f t="shared" si="399"/>
        <v>14149.433741908393</v>
      </c>
      <c r="BM136" s="216">
        <f t="shared" si="400"/>
        <v>0.25</v>
      </c>
      <c r="BN136" s="216">
        <f t="shared" si="401"/>
        <v>2.3622047244094495E-2</v>
      </c>
      <c r="BO136" s="238">
        <f t="shared" si="402"/>
        <v>1.5748031496062995E-2</v>
      </c>
      <c r="BP136" s="216">
        <f t="shared" si="403"/>
        <v>0</v>
      </c>
      <c r="BQ136" s="138">
        <f t="shared" si="404"/>
        <v>0</v>
      </c>
      <c r="BR136" s="138">
        <f t="shared" si="405"/>
        <v>0</v>
      </c>
      <c r="BS136" s="238">
        <f t="shared" si="406"/>
        <v>0.25</v>
      </c>
      <c r="BT136" s="138">
        <f t="shared" si="407"/>
        <v>0</v>
      </c>
      <c r="BU136" s="138">
        <f t="shared" si="408"/>
        <v>0</v>
      </c>
      <c r="BV136" s="138">
        <f t="shared" si="409"/>
        <v>0</v>
      </c>
      <c r="BW136" s="238">
        <f t="shared" si="410"/>
        <v>0.25</v>
      </c>
      <c r="BX136" s="216">
        <f t="shared" si="411"/>
        <v>0</v>
      </c>
      <c r="BY136" s="138">
        <f t="shared" si="412"/>
        <v>0</v>
      </c>
      <c r="BZ136" s="138">
        <f t="shared" si="413"/>
        <v>0</v>
      </c>
      <c r="CA136" s="238">
        <f t="shared" si="414"/>
        <v>2.3622047244094495E-2</v>
      </c>
      <c r="CB136" s="138">
        <f t="shared" si="415"/>
        <v>0</v>
      </c>
      <c r="CC136" s="138">
        <f t="shared" si="416"/>
        <v>0</v>
      </c>
      <c r="CD136" s="138">
        <f t="shared" si="417"/>
        <v>0</v>
      </c>
      <c r="CE136" s="238">
        <f t="shared" si="418"/>
        <v>2.3622047244094495E-2</v>
      </c>
      <c r="CF136" s="216">
        <f t="shared" si="419"/>
        <v>0</v>
      </c>
      <c r="CG136" s="138">
        <f t="shared" si="420"/>
        <v>0</v>
      </c>
      <c r="CH136" s="138">
        <f t="shared" si="421"/>
        <v>0</v>
      </c>
      <c r="CI136" s="238">
        <f t="shared" si="422"/>
        <v>1.5748031496062995E-2</v>
      </c>
      <c r="CJ136" s="138">
        <f t="shared" si="423"/>
        <v>0</v>
      </c>
      <c r="CK136" s="138">
        <f t="shared" si="424"/>
        <v>0</v>
      </c>
      <c r="CL136" s="138">
        <f t="shared" si="425"/>
        <v>0</v>
      </c>
      <c r="CM136" s="238">
        <f t="shared" si="426"/>
        <v>1.5748031496062995E-2</v>
      </c>
      <c r="CN136" s="17">
        <f t="shared" si="427"/>
        <v>0.25</v>
      </c>
      <c r="CO136" s="17">
        <f t="shared" si="428"/>
        <v>2.3622047244094495E-2</v>
      </c>
      <c r="CP136" s="17">
        <f t="shared" si="429"/>
        <v>1.5748031496062995E-2</v>
      </c>
      <c r="CQ136" s="17">
        <f>$U136-IF('Inputs-Imperial'!$E$13,0,2)*($CO136+$CN136+$CP136)</f>
        <v>2.9905512767999998</v>
      </c>
      <c r="CR136" s="116">
        <f t="shared" si="430"/>
        <v>868.20561020422042</v>
      </c>
      <c r="CS136" s="8">
        <f t="shared" si="324"/>
        <v>2.2447710519076562E-2</v>
      </c>
      <c r="CT136" s="8">
        <f t="shared" si="431"/>
        <v>0.1498256003461243</v>
      </c>
      <c r="CU136" s="8">
        <f t="shared" si="325"/>
        <v>2.2447710519076562E-2</v>
      </c>
      <c r="CV136" s="8">
        <f t="shared" si="432"/>
        <v>0.1498256003461243</v>
      </c>
      <c r="CW136" s="216">
        <f t="shared" si="433"/>
        <v>2.8407256764538751</v>
      </c>
      <c r="CX136" s="116">
        <f t="shared" si="434"/>
        <v>913.99652477612688</v>
      </c>
      <c r="CY136" s="8">
        <f t="shared" si="435"/>
        <v>2.3631648036448901E-2</v>
      </c>
      <c r="CZ136" s="8">
        <f t="shared" si="436"/>
        <v>0.15372588603240803</v>
      </c>
      <c r="DA136" s="8">
        <f t="shared" si="437"/>
        <v>2.3631648036448901E-2</v>
      </c>
      <c r="DB136" s="8">
        <f t="shared" si="438"/>
        <v>0.15372588603240803</v>
      </c>
      <c r="DC136" s="216">
        <f t="shared" si="439"/>
        <v>2.8368253907675918</v>
      </c>
      <c r="DD136" s="116">
        <f t="shared" si="440"/>
        <v>915.25315748059256</v>
      </c>
      <c r="DE136" s="8">
        <f t="shared" si="441"/>
        <v>2.3664138643336378E-2</v>
      </c>
      <c r="DF136" s="8">
        <f t="shared" si="442"/>
        <v>0.15383152681858286</v>
      </c>
      <c r="DG136" s="8">
        <f t="shared" si="443"/>
        <v>2.3664138643336378E-2</v>
      </c>
      <c r="DH136" s="8">
        <f t="shared" si="444"/>
        <v>0.15383152681858286</v>
      </c>
      <c r="DI136" s="216">
        <f t="shared" si="445"/>
        <v>2.836719749981417</v>
      </c>
      <c r="DJ136" s="116">
        <f t="shared" si="446"/>
        <v>915.28724194138772</v>
      </c>
      <c r="DK136" s="8">
        <f t="shared" si="447"/>
        <v>2.3665019907060245E-2</v>
      </c>
      <c r="DL136" s="8">
        <f t="shared" si="448"/>
        <v>0.15383439117135103</v>
      </c>
      <c r="DM136" s="8">
        <f t="shared" si="449"/>
        <v>2.3665019907060245E-2</v>
      </c>
      <c r="DN136" s="8">
        <f t="shared" si="450"/>
        <v>0.15383439117135103</v>
      </c>
      <c r="DO136" s="216">
        <f t="shared" si="451"/>
        <v>2.8367168856286487</v>
      </c>
      <c r="DP136" s="116">
        <f t="shared" si="452"/>
        <v>915.28816614554728</v>
      </c>
      <c r="DQ136" s="170">
        <f t="shared" si="453"/>
        <v>2.3665043802629671E-2</v>
      </c>
      <c r="DR136" s="8">
        <f t="shared" si="454"/>
        <v>0.15383446883787025</v>
      </c>
      <c r="DS136" s="8">
        <f t="shared" si="455"/>
        <v>2.3665043802629671E-2</v>
      </c>
      <c r="DT136" s="134">
        <f t="shared" si="456"/>
        <v>0.15383446883787025</v>
      </c>
      <c r="DU136" s="170">
        <f t="shared" si="560"/>
        <v>3.7417273971028842E-2</v>
      </c>
      <c r="DV136" s="170">
        <f t="shared" si="560"/>
        <v>0.19343545169132995</v>
      </c>
      <c r="DW136" s="170">
        <f t="shared" si="560"/>
        <v>3.7417273971028842E-2</v>
      </c>
      <c r="DX136" s="272">
        <f t="shared" si="560"/>
        <v>0.19343545169132995</v>
      </c>
      <c r="DY136" s="272">
        <f t="shared" si="457"/>
        <v>2.6036803734173395</v>
      </c>
      <c r="DZ136" s="22">
        <f t="shared" si="326"/>
        <v>65.033752654670607</v>
      </c>
      <c r="EA136" s="216">
        <f t="shared" si="327"/>
        <v>4.260740684214441E-3</v>
      </c>
      <c r="EB136" s="12">
        <f t="shared" si="458"/>
        <v>1</v>
      </c>
      <c r="EC136" s="7">
        <f>ROUND(MAX(DV136,DX136)/'Inputs-Imperial'!$E$21,0)</f>
        <v>2</v>
      </c>
      <c r="ED136" s="12">
        <f t="shared" si="459"/>
        <v>2</v>
      </c>
      <c r="EE136" s="2">
        <f t="shared" si="460"/>
        <v>2</v>
      </c>
      <c r="EF136" s="127">
        <f t="shared" si="461"/>
        <v>2</v>
      </c>
      <c r="EG136" s="2">
        <f t="shared" si="462"/>
        <v>1.5748031496062995E-2</v>
      </c>
      <c r="EH136" s="8">
        <f t="shared" si="328"/>
        <v>4.4839112959824741E-2</v>
      </c>
      <c r="EI136" s="138">
        <f t="shared" si="463"/>
        <v>0.25</v>
      </c>
      <c r="EJ136" s="12">
        <f t="shared" si="329"/>
        <v>3716.6789642144249</v>
      </c>
      <c r="EK136" s="138">
        <f t="shared" si="464"/>
        <v>0.25</v>
      </c>
      <c r="EL136" s="116">
        <f t="shared" si="465"/>
        <v>2175570</v>
      </c>
      <c r="EM136" s="2">
        <f t="shared" si="330"/>
        <v>1.5748031496062995E-2</v>
      </c>
      <c r="EN136" s="8">
        <f t="shared" si="466"/>
        <v>2.9905512767999998</v>
      </c>
      <c r="EO136" s="116">
        <f t="shared" si="467"/>
        <v>2610.6840000000002</v>
      </c>
      <c r="EP136" s="217">
        <f t="shared" si="468"/>
        <v>1.8103072069445569</v>
      </c>
      <c r="EQ136" s="207">
        <f t="shared" si="469"/>
        <v>2</v>
      </c>
      <c r="ER136" s="144">
        <f t="shared" si="470"/>
        <v>75027.473456545631</v>
      </c>
      <c r="ES136" s="138">
        <f t="shared" si="331"/>
        <v>0.25</v>
      </c>
      <c r="ET136" s="116">
        <f t="shared" si="471"/>
        <v>2175570</v>
      </c>
      <c r="EU136" s="2">
        <f t="shared" si="332"/>
        <v>1.5748031496062995E-2</v>
      </c>
      <c r="EV136" s="8">
        <f t="shared" si="472"/>
        <v>2.9905512767999998</v>
      </c>
      <c r="EW136" s="116">
        <f t="shared" si="473"/>
        <v>2610.6840000000002</v>
      </c>
      <c r="EX136" s="217">
        <f t="shared" si="474"/>
        <v>1.8103072069445569</v>
      </c>
      <c r="EY136" s="207">
        <f t="shared" si="475"/>
        <v>2</v>
      </c>
      <c r="EZ136" s="144">
        <f t="shared" si="476"/>
        <v>75027.473456545631</v>
      </c>
      <c r="FA136" s="138">
        <f t="shared" si="333"/>
        <v>0.25</v>
      </c>
      <c r="FB136" s="116">
        <f t="shared" si="477"/>
        <v>2175570</v>
      </c>
      <c r="FC136" s="2">
        <f t="shared" si="334"/>
        <v>1.5748031496062995E-2</v>
      </c>
      <c r="FD136" s="8">
        <f t="shared" si="478"/>
        <v>2.9905512767999998</v>
      </c>
      <c r="FE136" s="116">
        <f t="shared" si="479"/>
        <v>2610.6840000000002</v>
      </c>
      <c r="FF136" s="217">
        <f t="shared" si="480"/>
        <v>1.8103072069445569</v>
      </c>
      <c r="FG136" s="207">
        <f t="shared" si="481"/>
        <v>2</v>
      </c>
      <c r="FH136" s="144">
        <f t="shared" si="482"/>
        <v>75027.473456545631</v>
      </c>
      <c r="FI136" s="128">
        <f t="shared" si="483"/>
        <v>0.25</v>
      </c>
      <c r="FJ136" s="2">
        <f t="shared" si="484"/>
        <v>1.5748031496062995E-2</v>
      </c>
      <c r="FK136" s="127">
        <f t="shared" si="485"/>
        <v>1.5748031496062995E-2</v>
      </c>
      <c r="FL136" s="216">
        <f t="shared" si="486"/>
        <v>0</v>
      </c>
      <c r="FM136" s="138">
        <f t="shared" si="487"/>
        <v>0</v>
      </c>
      <c r="FN136" s="138">
        <f t="shared" si="488"/>
        <v>0</v>
      </c>
      <c r="FO136" s="238">
        <f t="shared" si="489"/>
        <v>0.25</v>
      </c>
      <c r="FP136" s="216">
        <f t="shared" si="335"/>
        <v>0</v>
      </c>
      <c r="FQ136" s="138">
        <f t="shared" si="336"/>
        <v>0</v>
      </c>
      <c r="FR136" s="138">
        <f t="shared" si="337"/>
        <v>0</v>
      </c>
      <c r="FS136" s="238">
        <f t="shared" si="338"/>
        <v>0.25</v>
      </c>
      <c r="FT136" s="216">
        <f t="shared" si="490"/>
        <v>0</v>
      </c>
      <c r="FU136" s="138">
        <f t="shared" si="491"/>
        <v>0</v>
      </c>
      <c r="FV136" s="138">
        <f t="shared" si="492"/>
        <v>0</v>
      </c>
      <c r="FW136" s="238">
        <f t="shared" si="493"/>
        <v>1.5748031496062995E-2</v>
      </c>
      <c r="FX136" s="216">
        <f t="shared" si="339"/>
        <v>0</v>
      </c>
      <c r="FY136" s="138">
        <f t="shared" si="340"/>
        <v>0</v>
      </c>
      <c r="FZ136" s="138">
        <f t="shared" si="341"/>
        <v>0</v>
      </c>
      <c r="GA136" s="238">
        <f t="shared" si="342"/>
        <v>1.5748031496062995E-2</v>
      </c>
      <c r="GB136" s="216">
        <f t="shared" si="494"/>
        <v>0</v>
      </c>
      <c r="GC136" s="138">
        <f t="shared" si="495"/>
        <v>0</v>
      </c>
      <c r="GD136" s="138">
        <f t="shared" si="496"/>
        <v>0</v>
      </c>
      <c r="GE136" s="238">
        <f t="shared" si="497"/>
        <v>1.5748031496062995E-2</v>
      </c>
      <c r="GF136" s="216">
        <f t="shared" si="343"/>
        <v>0</v>
      </c>
      <c r="GG136" s="138">
        <f t="shared" si="344"/>
        <v>0</v>
      </c>
      <c r="GH136" s="138">
        <f t="shared" si="345"/>
        <v>0</v>
      </c>
      <c r="GI136" s="238">
        <f t="shared" si="346"/>
        <v>1.5748031496062995E-2</v>
      </c>
      <c r="GJ136" s="216">
        <f t="shared" si="498"/>
        <v>0.25</v>
      </c>
      <c r="GK136" s="216">
        <f t="shared" si="499"/>
        <v>1.5748031496062995E-2</v>
      </c>
      <c r="GL136" s="17">
        <f t="shared" si="500"/>
        <v>1.5748031496062995E-2</v>
      </c>
      <c r="GM136" s="216">
        <f t="shared" si="347"/>
        <v>2.1378201351632061E-3</v>
      </c>
      <c r="GN136" s="2">
        <f t="shared" si="501"/>
        <v>1</v>
      </c>
      <c r="GO136" s="2">
        <f t="shared" si="502"/>
        <v>2</v>
      </c>
      <c r="GP136" s="142">
        <f t="shared" si="503"/>
        <v>2</v>
      </c>
      <c r="GQ136" s="2">
        <f t="shared" si="504"/>
        <v>1.5748031496062995E-2</v>
      </c>
      <c r="GR136" s="8">
        <f t="shared" si="348"/>
        <v>2.2497956489939321E-2</v>
      </c>
      <c r="GS136" s="138">
        <f t="shared" si="505"/>
        <v>0.25</v>
      </c>
      <c r="GT136" s="12">
        <f t="shared" si="349"/>
        <v>1864.8379975511386</v>
      </c>
      <c r="GU136" s="138">
        <f t="shared" si="506"/>
        <v>0.25</v>
      </c>
      <c r="GV136" s="116">
        <f t="shared" si="507"/>
        <v>2175570</v>
      </c>
      <c r="GW136" s="2">
        <f t="shared" si="350"/>
        <v>1.5748031496062995E-2</v>
      </c>
      <c r="GX136" s="8">
        <f t="shared" si="351"/>
        <v>1.4952756383999999</v>
      </c>
      <c r="GY136" s="116">
        <f t="shared" si="508"/>
        <v>2610.6840000000002</v>
      </c>
      <c r="GZ136" s="217">
        <f t="shared" si="509"/>
        <v>7.2412288277782277</v>
      </c>
      <c r="HA136" s="207">
        <f t="shared" si="510"/>
        <v>2</v>
      </c>
      <c r="HB136" s="144">
        <f t="shared" si="511"/>
        <v>300109.89382618252</v>
      </c>
      <c r="HC136" s="138">
        <f t="shared" si="352"/>
        <v>0.25</v>
      </c>
      <c r="HD136" s="116">
        <f t="shared" si="512"/>
        <v>2175570</v>
      </c>
      <c r="HE136" s="2">
        <f t="shared" si="353"/>
        <v>1.5748031496062995E-2</v>
      </c>
      <c r="HF136" s="8">
        <f t="shared" si="513"/>
        <v>1.4952756383999999</v>
      </c>
      <c r="HG136" s="116">
        <f t="shared" si="514"/>
        <v>2610.6840000000002</v>
      </c>
      <c r="HH136" s="217">
        <f t="shared" si="515"/>
        <v>7.2412288277782277</v>
      </c>
      <c r="HI136" s="207">
        <f t="shared" si="516"/>
        <v>2</v>
      </c>
      <c r="HJ136" s="144">
        <f t="shared" si="517"/>
        <v>300109.89382618252</v>
      </c>
      <c r="HK136" s="138">
        <f t="shared" si="354"/>
        <v>0.25</v>
      </c>
      <c r="HL136" s="116">
        <f t="shared" si="518"/>
        <v>2175570</v>
      </c>
      <c r="HM136" s="2">
        <f t="shared" si="355"/>
        <v>1.5748031496062995E-2</v>
      </c>
      <c r="HN136" s="8">
        <f t="shared" si="519"/>
        <v>1.4952756383999999</v>
      </c>
      <c r="HO136" s="116">
        <f t="shared" si="520"/>
        <v>2610.6840000000002</v>
      </c>
      <c r="HP136" s="217">
        <f t="shared" si="521"/>
        <v>7.2412288277782277</v>
      </c>
      <c r="HQ136" s="207">
        <f t="shared" si="522"/>
        <v>2</v>
      </c>
      <c r="HR136" s="144">
        <f t="shared" si="523"/>
        <v>300109.89382618252</v>
      </c>
      <c r="HS136" s="128">
        <f t="shared" si="524"/>
        <v>0.25</v>
      </c>
      <c r="HT136" s="2">
        <f t="shared" si="525"/>
        <v>1.5748031496062995E-2</v>
      </c>
      <c r="HU136" s="127">
        <f t="shared" si="526"/>
        <v>1.5748031496062995E-2</v>
      </c>
      <c r="HV136" s="216">
        <f t="shared" si="527"/>
        <v>0</v>
      </c>
      <c r="HW136" s="138">
        <f t="shared" si="528"/>
        <v>0</v>
      </c>
      <c r="HX136" s="138">
        <f t="shared" si="529"/>
        <v>0</v>
      </c>
      <c r="HY136" s="238">
        <f t="shared" si="530"/>
        <v>0.25</v>
      </c>
      <c r="HZ136" s="138">
        <f t="shared" si="531"/>
        <v>0</v>
      </c>
      <c r="IA136" s="138">
        <f t="shared" si="532"/>
        <v>0</v>
      </c>
      <c r="IB136" s="138">
        <f t="shared" si="533"/>
        <v>0</v>
      </c>
      <c r="IC136" s="138">
        <f t="shared" si="534"/>
        <v>0.25</v>
      </c>
      <c r="ID136" s="216">
        <f t="shared" si="535"/>
        <v>0</v>
      </c>
      <c r="IE136" s="138">
        <f t="shared" si="536"/>
        <v>0</v>
      </c>
      <c r="IF136" s="138">
        <f t="shared" si="537"/>
        <v>0</v>
      </c>
      <c r="IG136" s="238">
        <f t="shared" si="538"/>
        <v>1.5748031496062995E-2</v>
      </c>
      <c r="IH136" s="138">
        <f t="shared" si="539"/>
        <v>0</v>
      </c>
      <c r="II136" s="138">
        <f t="shared" si="540"/>
        <v>0</v>
      </c>
      <c r="IJ136" s="138">
        <f t="shared" si="541"/>
        <v>0</v>
      </c>
      <c r="IK136" s="138">
        <f t="shared" si="542"/>
        <v>1.5748031496062995E-2</v>
      </c>
      <c r="IL136" s="216">
        <f t="shared" si="543"/>
        <v>0</v>
      </c>
      <c r="IM136" s="138">
        <f t="shared" si="544"/>
        <v>0</v>
      </c>
      <c r="IN136" s="138">
        <f t="shared" si="545"/>
        <v>0</v>
      </c>
      <c r="IO136" s="238">
        <f t="shared" si="546"/>
        <v>1.5748031496062995E-2</v>
      </c>
      <c r="IP136" s="138">
        <f t="shared" si="547"/>
        <v>0</v>
      </c>
      <c r="IQ136" s="138">
        <f t="shared" si="548"/>
        <v>0</v>
      </c>
      <c r="IR136" s="138">
        <f t="shared" si="549"/>
        <v>0</v>
      </c>
      <c r="IS136" s="138">
        <f t="shared" si="550"/>
        <v>1.5748031496062995E-2</v>
      </c>
      <c r="IT136" s="17">
        <f t="shared" si="551"/>
        <v>0.25</v>
      </c>
      <c r="IU136" s="17">
        <f t="shared" si="552"/>
        <v>1.5748031496062995E-2</v>
      </c>
      <c r="IV136" s="17">
        <f t="shared" si="553"/>
        <v>1.5748031496062995E-2</v>
      </c>
      <c r="IW136" s="253">
        <f t="shared" si="554"/>
        <v>8.30708688</v>
      </c>
      <c r="IX136" s="116">
        <f t="shared" si="356"/>
        <v>31.255401967351933</v>
      </c>
      <c r="IY136" s="8">
        <f t="shared" si="357"/>
        <v>8.0811757868675619E-4</v>
      </c>
      <c r="IZ136" s="8">
        <f t="shared" si="555"/>
        <v>8.0811757868675619E-4</v>
      </c>
      <c r="JA136" s="8">
        <f t="shared" si="556"/>
        <v>4.0405878934337809E-4</v>
      </c>
      <c r="JB136" s="134">
        <f t="shared" si="557"/>
        <v>2.0101213628618997E-2</v>
      </c>
      <c r="JC136" s="170">
        <f t="shared" si="561"/>
        <v>6.3172897578446421E-4</v>
      </c>
      <c r="JD136" s="272">
        <f t="shared" si="562"/>
        <v>2.5134219219710489E-2</v>
      </c>
      <c r="JE136" s="8"/>
      <c r="JF136" s="8"/>
    </row>
    <row r="137" spans="1:266" x14ac:dyDescent="0.25">
      <c r="A137" s="186">
        <v>77</v>
      </c>
      <c r="B137" s="187">
        <f>A137/100*'Inputs-Imperial'!$E$5</f>
        <v>7.5787404</v>
      </c>
      <c r="C137" s="188">
        <f>'Inputs-Imperial'!$E$10+('Inputs-Imperial'!$E$9-'Inputs-Imperial'!$E$10)*(100-A137)/100</f>
        <v>1.3746719599999999</v>
      </c>
      <c r="D137" s="187">
        <f t="shared" si="558"/>
        <v>9.8425199999999435E-2</v>
      </c>
      <c r="E137" s="188">
        <f t="shared" si="559"/>
        <v>0.13578673859714321</v>
      </c>
      <c r="F137" s="423">
        <f>Loads!P97</f>
        <v>18.441917846423927</v>
      </c>
      <c r="G137" s="423">
        <f>Loads!M97</f>
        <v>184.41917846423934</v>
      </c>
      <c r="H137" s="423">
        <f>Loads!N97</f>
        <v>197.22538357504735</v>
      </c>
      <c r="I137" s="423">
        <f>Loads!V97</f>
        <v>-111.88027182762995</v>
      </c>
      <c r="J137" s="423">
        <f>Loads!Q97</f>
        <v>19.722538357504735</v>
      </c>
      <c r="K137" s="2">
        <v>77</v>
      </c>
      <c r="L137" s="12">
        <f t="shared" si="358"/>
        <v>90.944884799999997</v>
      </c>
      <c r="M137" s="11">
        <f t="shared" si="359"/>
        <v>16.49606352</v>
      </c>
      <c r="N137" s="11">
        <f t="shared" si="360"/>
        <v>1.1811023999999932</v>
      </c>
      <c r="O137" s="152">
        <f t="shared" si="361"/>
        <v>19.553290357988622</v>
      </c>
      <c r="P137" s="151">
        <f t="shared" si="362"/>
        <v>18.441917846423927</v>
      </c>
      <c r="Q137" s="12">
        <f t="shared" si="363"/>
        <v>184.41917846423934</v>
      </c>
      <c r="R137" s="12">
        <f t="shared" si="364"/>
        <v>2366.7046029005683</v>
      </c>
      <c r="S137" s="12">
        <f t="shared" si="365"/>
        <v>-1342.5632619315595</v>
      </c>
      <c r="T137" s="152">
        <f t="shared" si="366"/>
        <v>236.67046029005684</v>
      </c>
      <c r="U137" s="8">
        <f t="shared" si="313"/>
        <v>2.9692914336</v>
      </c>
      <c r="V137" s="8">
        <f t="shared" si="314"/>
        <v>2.9692914336</v>
      </c>
      <c r="W137" s="134">
        <f t="shared" si="315"/>
        <v>1.4846457168</v>
      </c>
      <c r="X137" s="311">
        <f t="shared" si="316"/>
        <v>4.12401588</v>
      </c>
      <c r="Y137" s="11">
        <f t="shared" si="317"/>
        <v>12.37204764</v>
      </c>
      <c r="Z137" s="11">
        <f t="shared" si="318"/>
        <v>8.2480317599999999</v>
      </c>
      <c r="AA137" s="316">
        <f t="shared" si="367"/>
        <v>12.37204764</v>
      </c>
      <c r="AB137" s="170">
        <f t="shared" si="368"/>
        <v>2.2269685751999999</v>
      </c>
      <c r="AC137" s="11">
        <f t="shared" si="369"/>
        <v>12.37204764</v>
      </c>
      <c r="AD137" s="152">
        <f t="shared" si="370"/>
        <v>21.639416886700804</v>
      </c>
      <c r="AE137" s="151">
        <f t="shared" si="319"/>
        <v>1.4906116095770163</v>
      </c>
      <c r="AF137" s="12">
        <f t="shared" si="320"/>
        <v>31.021243986400453</v>
      </c>
      <c r="AG137" s="216">
        <f t="shared" si="321"/>
        <v>2.130041404694145E-3</v>
      </c>
      <c r="AH137" s="2">
        <f t="shared" si="371"/>
        <v>1</v>
      </c>
      <c r="AI137" s="2">
        <f t="shared" si="372"/>
        <v>3</v>
      </c>
      <c r="AJ137" s="127">
        <f t="shared" si="373"/>
        <v>2</v>
      </c>
      <c r="AK137" s="2">
        <f t="shared" si="374"/>
        <v>1.5748031496062995E-2</v>
      </c>
      <c r="AL137" s="8">
        <f t="shared" si="322"/>
        <v>2.241609481375741E-2</v>
      </c>
      <c r="AM137" s="138">
        <f t="shared" si="375"/>
        <v>0.25</v>
      </c>
      <c r="AN137" s="12">
        <f t="shared" si="323"/>
        <v>1858.0525473101122</v>
      </c>
      <c r="AO137" s="138">
        <f t="shared" si="376"/>
        <v>0.25</v>
      </c>
      <c r="AP137" s="116">
        <f t="shared" si="377"/>
        <v>2175570</v>
      </c>
      <c r="AQ137" s="2">
        <f t="shared" si="378"/>
        <v>1.5748031496062995E-2</v>
      </c>
      <c r="AR137" s="8">
        <f t="shared" si="379"/>
        <v>8.2480317599999999</v>
      </c>
      <c r="AS137" s="116">
        <f t="shared" si="380"/>
        <v>2610.6840000000002</v>
      </c>
      <c r="AT137" s="217">
        <f t="shared" si="381"/>
        <v>0.23798749508114142</v>
      </c>
      <c r="AU137" s="207">
        <f t="shared" si="382"/>
        <v>2.8932374298655761</v>
      </c>
      <c r="AV137" s="144">
        <f t="shared" si="383"/>
        <v>14268.432290084125</v>
      </c>
      <c r="AW137" s="138">
        <f t="shared" si="384"/>
        <v>0.25</v>
      </c>
      <c r="AX137" s="116">
        <f t="shared" si="385"/>
        <v>2175570</v>
      </c>
      <c r="AY137" s="2">
        <f t="shared" si="386"/>
        <v>1.5748031496062995E-2</v>
      </c>
      <c r="AZ137" s="8">
        <f t="shared" si="387"/>
        <v>8.2480317599999999</v>
      </c>
      <c r="BA137" s="116">
        <f t="shared" si="388"/>
        <v>2610.6840000000002</v>
      </c>
      <c r="BB137" s="217">
        <f t="shared" si="389"/>
        <v>0.23798749508114142</v>
      </c>
      <c r="BC137" s="207">
        <f t="shared" si="390"/>
        <v>2.8932374298655761</v>
      </c>
      <c r="BD137" s="144">
        <f t="shared" si="391"/>
        <v>14268.432290084125</v>
      </c>
      <c r="BE137" s="138">
        <f t="shared" si="392"/>
        <v>0.25</v>
      </c>
      <c r="BF137" s="116">
        <f t="shared" si="393"/>
        <v>2175570</v>
      </c>
      <c r="BG137" s="2">
        <f t="shared" si="394"/>
        <v>1.5748031496062995E-2</v>
      </c>
      <c r="BH137" s="8">
        <f t="shared" si="395"/>
        <v>8.2480317599999999</v>
      </c>
      <c r="BI137" s="116">
        <f t="shared" si="396"/>
        <v>2610.6840000000002</v>
      </c>
      <c r="BJ137" s="217">
        <f t="shared" si="397"/>
        <v>0.23798749508114142</v>
      </c>
      <c r="BK137" s="207">
        <f t="shared" si="398"/>
        <v>2.8932374298655761</v>
      </c>
      <c r="BL137" s="144">
        <f t="shared" si="399"/>
        <v>14268.432290084125</v>
      </c>
      <c r="BM137" s="216">
        <f t="shared" si="400"/>
        <v>0.25</v>
      </c>
      <c r="BN137" s="216">
        <f t="shared" si="401"/>
        <v>2.3622047244094495E-2</v>
      </c>
      <c r="BO137" s="238">
        <f t="shared" si="402"/>
        <v>1.5748031496062995E-2</v>
      </c>
      <c r="BP137" s="216">
        <f t="shared" si="403"/>
        <v>0</v>
      </c>
      <c r="BQ137" s="138">
        <f t="shared" si="404"/>
        <v>0</v>
      </c>
      <c r="BR137" s="138">
        <f t="shared" si="405"/>
        <v>0</v>
      </c>
      <c r="BS137" s="238">
        <f t="shared" si="406"/>
        <v>0.25</v>
      </c>
      <c r="BT137" s="138">
        <f t="shared" si="407"/>
        <v>0</v>
      </c>
      <c r="BU137" s="138">
        <f t="shared" si="408"/>
        <v>0</v>
      </c>
      <c r="BV137" s="138">
        <f t="shared" si="409"/>
        <v>0</v>
      </c>
      <c r="BW137" s="238">
        <f t="shared" si="410"/>
        <v>0.25</v>
      </c>
      <c r="BX137" s="216">
        <f t="shared" si="411"/>
        <v>0</v>
      </c>
      <c r="BY137" s="138">
        <f t="shared" si="412"/>
        <v>0</v>
      </c>
      <c r="BZ137" s="138">
        <f t="shared" si="413"/>
        <v>0</v>
      </c>
      <c r="CA137" s="238">
        <f t="shared" si="414"/>
        <v>2.3622047244094495E-2</v>
      </c>
      <c r="CB137" s="138">
        <f t="shared" si="415"/>
        <v>0</v>
      </c>
      <c r="CC137" s="138">
        <f t="shared" si="416"/>
        <v>0</v>
      </c>
      <c r="CD137" s="138">
        <f t="shared" si="417"/>
        <v>0</v>
      </c>
      <c r="CE137" s="238">
        <f t="shared" si="418"/>
        <v>2.3622047244094495E-2</v>
      </c>
      <c r="CF137" s="216">
        <f t="shared" si="419"/>
        <v>0</v>
      </c>
      <c r="CG137" s="138">
        <f t="shared" si="420"/>
        <v>0</v>
      </c>
      <c r="CH137" s="138">
        <f t="shared" si="421"/>
        <v>0</v>
      </c>
      <c r="CI137" s="238">
        <f t="shared" si="422"/>
        <v>1.5748031496062995E-2</v>
      </c>
      <c r="CJ137" s="138">
        <f t="shared" si="423"/>
        <v>0</v>
      </c>
      <c r="CK137" s="138">
        <f t="shared" si="424"/>
        <v>0</v>
      </c>
      <c r="CL137" s="138">
        <f t="shared" si="425"/>
        <v>0</v>
      </c>
      <c r="CM137" s="238">
        <f t="shared" si="426"/>
        <v>1.5748031496062995E-2</v>
      </c>
      <c r="CN137" s="17">
        <f t="shared" si="427"/>
        <v>0.25</v>
      </c>
      <c r="CO137" s="17">
        <f t="shared" si="428"/>
        <v>2.3622047244094495E-2</v>
      </c>
      <c r="CP137" s="17">
        <f t="shared" si="429"/>
        <v>1.5748031496062995E-2</v>
      </c>
      <c r="CQ137" s="17">
        <f>$U137-IF('Inputs-Imperial'!$E$13,0,2)*($CO137+$CN137+$CP137)</f>
        <v>2.9692914336</v>
      </c>
      <c r="CR137" s="116">
        <f t="shared" si="430"/>
        <v>797.06039498829216</v>
      </c>
      <c r="CS137" s="8">
        <f t="shared" si="324"/>
        <v>2.0608230127319015E-2</v>
      </c>
      <c r="CT137" s="8">
        <f t="shared" si="431"/>
        <v>0.14355566908805453</v>
      </c>
      <c r="CU137" s="8">
        <f t="shared" si="325"/>
        <v>2.0608230127319015E-2</v>
      </c>
      <c r="CV137" s="8">
        <f t="shared" si="432"/>
        <v>0.14355566908805453</v>
      </c>
      <c r="CW137" s="216">
        <f t="shared" si="433"/>
        <v>2.8257357645119456</v>
      </c>
      <c r="CX137" s="116">
        <f t="shared" si="434"/>
        <v>837.55340206388325</v>
      </c>
      <c r="CY137" s="8">
        <f t="shared" si="435"/>
        <v>2.165518869358073E-2</v>
      </c>
      <c r="CZ137" s="8">
        <f t="shared" si="436"/>
        <v>0.14715702053786198</v>
      </c>
      <c r="DA137" s="8">
        <f t="shared" si="437"/>
        <v>2.165518869358073E-2</v>
      </c>
      <c r="DB137" s="8">
        <f t="shared" si="438"/>
        <v>0.14715702053786198</v>
      </c>
      <c r="DC137" s="216">
        <f t="shared" si="439"/>
        <v>2.822134413062138</v>
      </c>
      <c r="DD137" s="116">
        <f t="shared" si="440"/>
        <v>838.62221159501451</v>
      </c>
      <c r="DE137" s="8">
        <f t="shared" si="441"/>
        <v>2.1682823077271502E-2</v>
      </c>
      <c r="DF137" s="8">
        <f t="shared" si="442"/>
        <v>0.14725088480980852</v>
      </c>
      <c r="DG137" s="8">
        <f t="shared" si="443"/>
        <v>2.1682823077271502E-2</v>
      </c>
      <c r="DH137" s="8">
        <f t="shared" si="444"/>
        <v>0.14725088480980852</v>
      </c>
      <c r="DI137" s="216">
        <f t="shared" si="445"/>
        <v>2.8220405487901918</v>
      </c>
      <c r="DJ137" s="116">
        <f t="shared" si="446"/>
        <v>838.65010512169079</v>
      </c>
      <c r="DK137" s="8">
        <f t="shared" si="447"/>
        <v>2.1683544272579187E-2</v>
      </c>
      <c r="DL137" s="8">
        <f t="shared" si="448"/>
        <v>0.14725333365523235</v>
      </c>
      <c r="DM137" s="8">
        <f t="shared" si="449"/>
        <v>2.1683544272579187E-2</v>
      </c>
      <c r="DN137" s="8">
        <f t="shared" si="450"/>
        <v>0.14725333365523235</v>
      </c>
      <c r="DO137" s="216">
        <f t="shared" si="451"/>
        <v>2.8220380999447676</v>
      </c>
      <c r="DP137" s="116">
        <f t="shared" si="452"/>
        <v>838.6508328668167</v>
      </c>
      <c r="DQ137" s="170">
        <f t="shared" si="453"/>
        <v>2.1683563088642718E-2</v>
      </c>
      <c r="DR137" s="8">
        <f t="shared" si="454"/>
        <v>0.14725339754532904</v>
      </c>
      <c r="DS137" s="8">
        <f t="shared" si="455"/>
        <v>2.1683563088642718E-2</v>
      </c>
      <c r="DT137" s="134">
        <f t="shared" si="456"/>
        <v>0.14725339754532904</v>
      </c>
      <c r="DU137" s="170">
        <f t="shared" si="560"/>
        <v>3.7417273971028842E-2</v>
      </c>
      <c r="DV137" s="170">
        <f t="shared" si="560"/>
        <v>0.19343545169132995</v>
      </c>
      <c r="DW137" s="170">
        <f t="shared" si="560"/>
        <v>3.7417273971028842E-2</v>
      </c>
      <c r="DX137" s="272">
        <f t="shared" si="560"/>
        <v>0.19343545169132995</v>
      </c>
      <c r="DY137" s="272">
        <f t="shared" si="457"/>
        <v>2.5824205302173397</v>
      </c>
      <c r="DZ137" s="22">
        <f t="shared" si="326"/>
        <v>62.10881706570904</v>
      </c>
      <c r="EA137" s="216">
        <f t="shared" si="327"/>
        <v>4.0691110833705434E-3</v>
      </c>
      <c r="EB137" s="12">
        <f t="shared" si="458"/>
        <v>1</v>
      </c>
      <c r="EC137" s="7">
        <f>ROUND(MAX(DV137,DX137)/'Inputs-Imperial'!$E$21,0)</f>
        <v>2</v>
      </c>
      <c r="ED137" s="12">
        <f t="shared" si="459"/>
        <v>2</v>
      </c>
      <c r="EE137" s="2">
        <f t="shared" si="460"/>
        <v>2</v>
      </c>
      <c r="EF137" s="127">
        <f t="shared" si="461"/>
        <v>2</v>
      </c>
      <c r="EG137" s="2">
        <f t="shared" si="462"/>
        <v>1.5748031496062995E-2</v>
      </c>
      <c r="EH137" s="8">
        <f t="shared" si="328"/>
        <v>4.2822444508135132E-2</v>
      </c>
      <c r="EI137" s="138">
        <f t="shared" si="463"/>
        <v>0.25</v>
      </c>
      <c r="EJ137" s="12">
        <f t="shared" si="329"/>
        <v>3549.5188953052711</v>
      </c>
      <c r="EK137" s="138">
        <f t="shared" si="464"/>
        <v>0.25</v>
      </c>
      <c r="EL137" s="116">
        <f t="shared" si="465"/>
        <v>2175570</v>
      </c>
      <c r="EM137" s="2">
        <f t="shared" si="330"/>
        <v>1.5748031496062995E-2</v>
      </c>
      <c r="EN137" s="8">
        <f t="shared" si="466"/>
        <v>2.9692914336</v>
      </c>
      <c r="EO137" s="116">
        <f t="shared" si="467"/>
        <v>2610.6840000000002</v>
      </c>
      <c r="EP137" s="217">
        <f t="shared" si="468"/>
        <v>1.8363232645149801</v>
      </c>
      <c r="EQ137" s="207">
        <f t="shared" si="469"/>
        <v>2</v>
      </c>
      <c r="ER137" s="144">
        <f t="shared" si="470"/>
        <v>76105.698777265265</v>
      </c>
      <c r="ES137" s="138">
        <f t="shared" si="331"/>
        <v>0.25</v>
      </c>
      <c r="ET137" s="116">
        <f t="shared" si="471"/>
        <v>2175570</v>
      </c>
      <c r="EU137" s="2">
        <f t="shared" si="332"/>
        <v>1.5748031496062995E-2</v>
      </c>
      <c r="EV137" s="8">
        <f t="shared" si="472"/>
        <v>2.9692914336</v>
      </c>
      <c r="EW137" s="116">
        <f t="shared" si="473"/>
        <v>2610.6840000000002</v>
      </c>
      <c r="EX137" s="217">
        <f t="shared" si="474"/>
        <v>1.8363232645149801</v>
      </c>
      <c r="EY137" s="207">
        <f t="shared" si="475"/>
        <v>2</v>
      </c>
      <c r="EZ137" s="144">
        <f t="shared" si="476"/>
        <v>76105.698777265265</v>
      </c>
      <c r="FA137" s="138">
        <f t="shared" si="333"/>
        <v>0.25</v>
      </c>
      <c r="FB137" s="116">
        <f t="shared" si="477"/>
        <v>2175570</v>
      </c>
      <c r="FC137" s="2">
        <f t="shared" si="334"/>
        <v>1.5748031496062995E-2</v>
      </c>
      <c r="FD137" s="8">
        <f t="shared" si="478"/>
        <v>2.9692914336</v>
      </c>
      <c r="FE137" s="116">
        <f t="shared" si="479"/>
        <v>2610.6840000000002</v>
      </c>
      <c r="FF137" s="217">
        <f t="shared" si="480"/>
        <v>1.8363232645149801</v>
      </c>
      <c r="FG137" s="207">
        <f t="shared" si="481"/>
        <v>2</v>
      </c>
      <c r="FH137" s="144">
        <f t="shared" si="482"/>
        <v>76105.698777265265</v>
      </c>
      <c r="FI137" s="128">
        <f t="shared" si="483"/>
        <v>0.25</v>
      </c>
      <c r="FJ137" s="2">
        <f t="shared" si="484"/>
        <v>1.5748031496062995E-2</v>
      </c>
      <c r="FK137" s="127">
        <f t="shared" si="485"/>
        <v>1.5748031496062995E-2</v>
      </c>
      <c r="FL137" s="216">
        <f t="shared" si="486"/>
        <v>0</v>
      </c>
      <c r="FM137" s="138">
        <f t="shared" si="487"/>
        <v>0</v>
      </c>
      <c r="FN137" s="138">
        <f t="shared" si="488"/>
        <v>0</v>
      </c>
      <c r="FO137" s="238">
        <f t="shared" si="489"/>
        <v>0.25</v>
      </c>
      <c r="FP137" s="216">
        <f t="shared" si="335"/>
        <v>0</v>
      </c>
      <c r="FQ137" s="138">
        <f t="shared" si="336"/>
        <v>0</v>
      </c>
      <c r="FR137" s="138">
        <f t="shared" si="337"/>
        <v>0</v>
      </c>
      <c r="FS137" s="238">
        <f t="shared" si="338"/>
        <v>0.25</v>
      </c>
      <c r="FT137" s="216">
        <f t="shared" si="490"/>
        <v>0</v>
      </c>
      <c r="FU137" s="138">
        <f t="shared" si="491"/>
        <v>0</v>
      </c>
      <c r="FV137" s="138">
        <f t="shared" si="492"/>
        <v>0</v>
      </c>
      <c r="FW137" s="238">
        <f t="shared" si="493"/>
        <v>1.5748031496062995E-2</v>
      </c>
      <c r="FX137" s="216">
        <f t="shared" si="339"/>
        <v>0</v>
      </c>
      <c r="FY137" s="138">
        <f t="shared" si="340"/>
        <v>0</v>
      </c>
      <c r="FZ137" s="138">
        <f t="shared" si="341"/>
        <v>0</v>
      </c>
      <c r="GA137" s="238">
        <f t="shared" si="342"/>
        <v>1.5748031496062995E-2</v>
      </c>
      <c r="GB137" s="216">
        <f t="shared" si="494"/>
        <v>0</v>
      </c>
      <c r="GC137" s="138">
        <f t="shared" si="495"/>
        <v>0</v>
      </c>
      <c r="GD137" s="138">
        <f t="shared" si="496"/>
        <v>0</v>
      </c>
      <c r="GE137" s="238">
        <f t="shared" si="497"/>
        <v>1.5748031496062995E-2</v>
      </c>
      <c r="GF137" s="216">
        <f t="shared" si="343"/>
        <v>0</v>
      </c>
      <c r="GG137" s="138">
        <f t="shared" si="344"/>
        <v>0</v>
      </c>
      <c r="GH137" s="138">
        <f t="shared" si="345"/>
        <v>0</v>
      </c>
      <c r="GI137" s="238">
        <f t="shared" si="346"/>
        <v>1.5748031496062995E-2</v>
      </c>
      <c r="GJ137" s="216">
        <f t="shared" si="498"/>
        <v>0.25</v>
      </c>
      <c r="GK137" s="216">
        <f t="shared" si="499"/>
        <v>1.5748031496062995E-2</v>
      </c>
      <c r="GL137" s="17">
        <f t="shared" si="500"/>
        <v>1.5748031496062995E-2</v>
      </c>
      <c r="GM137" s="216">
        <f t="shared" si="347"/>
        <v>2.0323827386932516E-3</v>
      </c>
      <c r="GN137" s="2">
        <f t="shared" si="501"/>
        <v>1</v>
      </c>
      <c r="GO137" s="2">
        <f t="shared" si="502"/>
        <v>2</v>
      </c>
      <c r="GP137" s="142">
        <f t="shared" si="503"/>
        <v>2</v>
      </c>
      <c r="GQ137" s="2">
        <f t="shared" si="504"/>
        <v>1.5748031496062995E-2</v>
      </c>
      <c r="GR137" s="8">
        <f t="shared" si="348"/>
        <v>2.1388356145562164E-2</v>
      </c>
      <c r="GS137" s="138">
        <f t="shared" si="505"/>
        <v>0.25</v>
      </c>
      <c r="GT137" s="12">
        <f t="shared" si="349"/>
        <v>1772.8640938227857</v>
      </c>
      <c r="GU137" s="138">
        <f t="shared" si="506"/>
        <v>0.25</v>
      </c>
      <c r="GV137" s="116">
        <f t="shared" si="507"/>
        <v>2175570</v>
      </c>
      <c r="GW137" s="2">
        <f t="shared" si="350"/>
        <v>1.5748031496062995E-2</v>
      </c>
      <c r="GX137" s="8">
        <f t="shared" si="351"/>
        <v>1.4846457168</v>
      </c>
      <c r="GY137" s="116">
        <f t="shared" si="508"/>
        <v>2610.6840000000002</v>
      </c>
      <c r="GZ137" s="217">
        <f t="shared" si="509"/>
        <v>7.3452930580599203</v>
      </c>
      <c r="HA137" s="207">
        <f t="shared" si="510"/>
        <v>2</v>
      </c>
      <c r="HB137" s="144">
        <f t="shared" si="511"/>
        <v>304422.79510906106</v>
      </c>
      <c r="HC137" s="138">
        <f t="shared" si="352"/>
        <v>0.25</v>
      </c>
      <c r="HD137" s="116">
        <f t="shared" si="512"/>
        <v>2175570</v>
      </c>
      <c r="HE137" s="2">
        <f t="shared" si="353"/>
        <v>1.5748031496062995E-2</v>
      </c>
      <c r="HF137" s="8">
        <f t="shared" si="513"/>
        <v>1.4846457168</v>
      </c>
      <c r="HG137" s="116">
        <f t="shared" si="514"/>
        <v>2610.6840000000002</v>
      </c>
      <c r="HH137" s="217">
        <f t="shared" si="515"/>
        <v>7.3452930580599203</v>
      </c>
      <c r="HI137" s="207">
        <f t="shared" si="516"/>
        <v>2</v>
      </c>
      <c r="HJ137" s="144">
        <f t="shared" si="517"/>
        <v>304422.79510906106</v>
      </c>
      <c r="HK137" s="138">
        <f t="shared" si="354"/>
        <v>0.25</v>
      </c>
      <c r="HL137" s="116">
        <f t="shared" si="518"/>
        <v>2175570</v>
      </c>
      <c r="HM137" s="2">
        <f t="shared" si="355"/>
        <v>1.5748031496062995E-2</v>
      </c>
      <c r="HN137" s="8">
        <f t="shared" si="519"/>
        <v>1.4846457168</v>
      </c>
      <c r="HO137" s="116">
        <f t="shared" si="520"/>
        <v>2610.6840000000002</v>
      </c>
      <c r="HP137" s="217">
        <f t="shared" si="521"/>
        <v>7.3452930580599203</v>
      </c>
      <c r="HQ137" s="207">
        <f t="shared" si="522"/>
        <v>2</v>
      </c>
      <c r="HR137" s="144">
        <f t="shared" si="523"/>
        <v>304422.79510906106</v>
      </c>
      <c r="HS137" s="128">
        <f t="shared" si="524"/>
        <v>0.25</v>
      </c>
      <c r="HT137" s="2">
        <f t="shared" si="525"/>
        <v>1.5748031496062995E-2</v>
      </c>
      <c r="HU137" s="127">
        <f t="shared" si="526"/>
        <v>1.5748031496062995E-2</v>
      </c>
      <c r="HV137" s="216">
        <f t="shared" si="527"/>
        <v>0</v>
      </c>
      <c r="HW137" s="138">
        <f t="shared" si="528"/>
        <v>0</v>
      </c>
      <c r="HX137" s="138">
        <f t="shared" si="529"/>
        <v>0</v>
      </c>
      <c r="HY137" s="238">
        <f t="shared" si="530"/>
        <v>0.25</v>
      </c>
      <c r="HZ137" s="138">
        <f t="shared" si="531"/>
        <v>0</v>
      </c>
      <c r="IA137" s="138">
        <f t="shared" si="532"/>
        <v>0</v>
      </c>
      <c r="IB137" s="138">
        <f t="shared" si="533"/>
        <v>0</v>
      </c>
      <c r="IC137" s="138">
        <f t="shared" si="534"/>
        <v>0.25</v>
      </c>
      <c r="ID137" s="216">
        <f t="shared" si="535"/>
        <v>0</v>
      </c>
      <c r="IE137" s="138">
        <f t="shared" si="536"/>
        <v>0</v>
      </c>
      <c r="IF137" s="138">
        <f t="shared" si="537"/>
        <v>0</v>
      </c>
      <c r="IG137" s="238">
        <f t="shared" si="538"/>
        <v>1.5748031496062995E-2</v>
      </c>
      <c r="IH137" s="138">
        <f t="shared" si="539"/>
        <v>0</v>
      </c>
      <c r="II137" s="138">
        <f t="shared" si="540"/>
        <v>0</v>
      </c>
      <c r="IJ137" s="138">
        <f t="shared" si="541"/>
        <v>0</v>
      </c>
      <c r="IK137" s="138">
        <f t="shared" si="542"/>
        <v>1.5748031496062995E-2</v>
      </c>
      <c r="IL137" s="216">
        <f t="shared" si="543"/>
        <v>0</v>
      </c>
      <c r="IM137" s="138">
        <f t="shared" si="544"/>
        <v>0</v>
      </c>
      <c r="IN137" s="138">
        <f t="shared" si="545"/>
        <v>0</v>
      </c>
      <c r="IO137" s="238">
        <f t="shared" si="546"/>
        <v>1.5748031496062995E-2</v>
      </c>
      <c r="IP137" s="138">
        <f t="shared" si="547"/>
        <v>0</v>
      </c>
      <c r="IQ137" s="138">
        <f t="shared" si="548"/>
        <v>0</v>
      </c>
      <c r="IR137" s="138">
        <f t="shared" si="549"/>
        <v>0</v>
      </c>
      <c r="IS137" s="138">
        <f t="shared" si="550"/>
        <v>1.5748031496062995E-2</v>
      </c>
      <c r="IT137" s="17">
        <f t="shared" si="551"/>
        <v>0.25</v>
      </c>
      <c r="IU137" s="17">
        <f t="shared" si="552"/>
        <v>1.5748031496062995E-2</v>
      </c>
      <c r="IV137" s="17">
        <f t="shared" si="553"/>
        <v>1.5748031496062995E-2</v>
      </c>
      <c r="IW137" s="253">
        <f t="shared" si="554"/>
        <v>8.2480317599999999</v>
      </c>
      <c r="IX137" s="116">
        <f t="shared" si="356"/>
        <v>28.694174219578517</v>
      </c>
      <c r="IY137" s="8">
        <f t="shared" si="357"/>
        <v>7.4189628458348452E-4</v>
      </c>
      <c r="IZ137" s="8">
        <f t="shared" si="555"/>
        <v>7.4189628458348452E-4</v>
      </c>
      <c r="JA137" s="8">
        <f t="shared" si="556"/>
        <v>3.7094814229174226E-4</v>
      </c>
      <c r="JB137" s="134">
        <f t="shared" si="557"/>
        <v>1.9260014078181311E-2</v>
      </c>
      <c r="JC137" s="170">
        <f t="shared" si="561"/>
        <v>6.3172897578446421E-4</v>
      </c>
      <c r="JD137" s="272">
        <f t="shared" si="562"/>
        <v>2.5134219219710489E-2</v>
      </c>
      <c r="JE137" s="8"/>
      <c r="JF137" s="8"/>
    </row>
    <row r="138" spans="1:266" x14ac:dyDescent="0.25">
      <c r="A138" s="186">
        <v>78</v>
      </c>
      <c r="B138" s="187">
        <f>A138/100*'Inputs-Imperial'!$E$5</f>
        <v>7.6771656000000004</v>
      </c>
      <c r="C138" s="188">
        <f>'Inputs-Imperial'!$E$10+('Inputs-Imperial'!$E$9-'Inputs-Imperial'!$E$10)*(100-A138)/100</f>
        <v>1.3648294399999998</v>
      </c>
      <c r="D138" s="187">
        <f t="shared" si="558"/>
        <v>9.8425200000000324E-2</v>
      </c>
      <c r="E138" s="188">
        <f t="shared" si="559"/>
        <v>0.13481798659764044</v>
      </c>
      <c r="F138" s="423">
        <f>Loads!P98</f>
        <v>17.448111785646255</v>
      </c>
      <c r="G138" s="423">
        <f>Loads!M98</f>
        <v>174.48111785646259</v>
      </c>
      <c r="H138" s="423">
        <f>Loads!N98</f>
        <v>179.07388905086884</v>
      </c>
      <c r="I138" s="423">
        <f>Loads!V98</f>
        <v>-104.57816114451103</v>
      </c>
      <c r="J138" s="423">
        <f>Loads!Q98</f>
        <v>17.907388905086886</v>
      </c>
      <c r="K138" s="2">
        <v>78</v>
      </c>
      <c r="L138" s="12">
        <f t="shared" si="358"/>
        <v>92.125987199999997</v>
      </c>
      <c r="M138" s="11">
        <f t="shared" si="359"/>
        <v>16.37795328</v>
      </c>
      <c r="N138" s="11">
        <f t="shared" si="360"/>
        <v>1.1811024000000039</v>
      </c>
      <c r="O138" s="152">
        <f t="shared" si="361"/>
        <v>19.413790070060223</v>
      </c>
      <c r="P138" s="151">
        <f t="shared" si="362"/>
        <v>17.448111785646255</v>
      </c>
      <c r="Q138" s="12">
        <f t="shared" si="363"/>
        <v>174.48111785646259</v>
      </c>
      <c r="R138" s="12">
        <f t="shared" si="364"/>
        <v>2148.8866686104261</v>
      </c>
      <c r="S138" s="12">
        <f t="shared" si="365"/>
        <v>-1254.9379337341325</v>
      </c>
      <c r="T138" s="152">
        <f t="shared" si="366"/>
        <v>214.88866686104262</v>
      </c>
      <c r="U138" s="8">
        <f t="shared" si="313"/>
        <v>2.9480315903999998</v>
      </c>
      <c r="V138" s="8">
        <f t="shared" si="314"/>
        <v>2.9480315903999998</v>
      </c>
      <c r="W138" s="134">
        <f t="shared" si="315"/>
        <v>1.4740157951999999</v>
      </c>
      <c r="X138" s="311">
        <f t="shared" si="316"/>
        <v>4.09448832</v>
      </c>
      <c r="Y138" s="11">
        <f t="shared" si="317"/>
        <v>12.28346496</v>
      </c>
      <c r="Z138" s="11">
        <f t="shared" si="318"/>
        <v>8.1889766399999999</v>
      </c>
      <c r="AA138" s="316">
        <f t="shared" si="367"/>
        <v>12.28346496</v>
      </c>
      <c r="AB138" s="170">
        <f t="shared" si="368"/>
        <v>2.2110236928</v>
      </c>
      <c r="AC138" s="11">
        <f t="shared" si="369"/>
        <v>12.28346496</v>
      </c>
      <c r="AD138" s="152">
        <f t="shared" si="370"/>
        <v>21.330653896622223</v>
      </c>
      <c r="AE138" s="151">
        <f t="shared" si="319"/>
        <v>1.4204552088897118</v>
      </c>
      <c r="AF138" s="12">
        <f t="shared" si="320"/>
        <v>29.41630246817834</v>
      </c>
      <c r="AG138" s="216">
        <f t="shared" si="321"/>
        <v>2.0202959638760728E-3</v>
      </c>
      <c r="AH138" s="2">
        <f t="shared" si="371"/>
        <v>1</v>
      </c>
      <c r="AI138" s="2">
        <f t="shared" si="372"/>
        <v>3</v>
      </c>
      <c r="AJ138" s="127">
        <f t="shared" si="373"/>
        <v>2</v>
      </c>
      <c r="AK138" s="2">
        <f t="shared" si="374"/>
        <v>1.5748031496062995E-2</v>
      </c>
      <c r="AL138" s="8">
        <f t="shared" si="322"/>
        <v>2.1261157542897761E-2</v>
      </c>
      <c r="AM138" s="138">
        <f t="shared" si="375"/>
        <v>0.25</v>
      </c>
      <c r="AN138" s="12">
        <f t="shared" si="323"/>
        <v>1762.3207012444391</v>
      </c>
      <c r="AO138" s="138">
        <f t="shared" si="376"/>
        <v>0.25</v>
      </c>
      <c r="AP138" s="116">
        <f t="shared" si="377"/>
        <v>2175570</v>
      </c>
      <c r="AQ138" s="2">
        <f t="shared" si="378"/>
        <v>1.5748031496062995E-2</v>
      </c>
      <c r="AR138" s="8">
        <f t="shared" si="379"/>
        <v>8.1889766399999999</v>
      </c>
      <c r="AS138" s="116">
        <f t="shared" si="380"/>
        <v>2610.6840000000002</v>
      </c>
      <c r="AT138" s="217">
        <f t="shared" si="381"/>
        <v>0.24143238387539451</v>
      </c>
      <c r="AU138" s="207">
        <f t="shared" si="382"/>
        <v>2.8759784218671944</v>
      </c>
      <c r="AV138" s="144">
        <f t="shared" si="383"/>
        <v>14388.621608251586</v>
      </c>
      <c r="AW138" s="138">
        <f t="shared" si="384"/>
        <v>0.25</v>
      </c>
      <c r="AX138" s="116">
        <f t="shared" si="385"/>
        <v>2175570</v>
      </c>
      <c r="AY138" s="2">
        <f t="shared" si="386"/>
        <v>1.5748031496062995E-2</v>
      </c>
      <c r="AZ138" s="8">
        <f t="shared" si="387"/>
        <v>8.1889766399999999</v>
      </c>
      <c r="BA138" s="116">
        <f t="shared" si="388"/>
        <v>2610.6840000000002</v>
      </c>
      <c r="BB138" s="217">
        <f t="shared" si="389"/>
        <v>0.24143238387539451</v>
      </c>
      <c r="BC138" s="207">
        <f t="shared" si="390"/>
        <v>2.8759784218671944</v>
      </c>
      <c r="BD138" s="144">
        <f t="shared" si="391"/>
        <v>14388.621608251586</v>
      </c>
      <c r="BE138" s="138">
        <f t="shared" si="392"/>
        <v>0.25</v>
      </c>
      <c r="BF138" s="116">
        <f t="shared" si="393"/>
        <v>2175570</v>
      </c>
      <c r="BG138" s="2">
        <f t="shared" si="394"/>
        <v>1.5748031496062995E-2</v>
      </c>
      <c r="BH138" s="8">
        <f t="shared" si="395"/>
        <v>8.1889766399999999</v>
      </c>
      <c r="BI138" s="116">
        <f t="shared" si="396"/>
        <v>2610.6840000000002</v>
      </c>
      <c r="BJ138" s="217">
        <f t="shared" si="397"/>
        <v>0.24143238387539451</v>
      </c>
      <c r="BK138" s="207">
        <f t="shared" si="398"/>
        <v>2.8759784218671944</v>
      </c>
      <c r="BL138" s="144">
        <f t="shared" si="399"/>
        <v>14388.621608251586</v>
      </c>
      <c r="BM138" s="216">
        <f t="shared" si="400"/>
        <v>0.25</v>
      </c>
      <c r="BN138" s="216">
        <f t="shared" si="401"/>
        <v>2.3622047244094495E-2</v>
      </c>
      <c r="BO138" s="238">
        <f t="shared" si="402"/>
        <v>1.5748031496062995E-2</v>
      </c>
      <c r="BP138" s="216">
        <f t="shared" si="403"/>
        <v>0</v>
      </c>
      <c r="BQ138" s="138">
        <f t="shared" si="404"/>
        <v>0</v>
      </c>
      <c r="BR138" s="138">
        <f t="shared" si="405"/>
        <v>0</v>
      </c>
      <c r="BS138" s="238">
        <f t="shared" si="406"/>
        <v>0.25</v>
      </c>
      <c r="BT138" s="138">
        <f t="shared" si="407"/>
        <v>0</v>
      </c>
      <c r="BU138" s="138">
        <f t="shared" si="408"/>
        <v>0</v>
      </c>
      <c r="BV138" s="138">
        <f t="shared" si="409"/>
        <v>0</v>
      </c>
      <c r="BW138" s="238">
        <f t="shared" si="410"/>
        <v>0.25</v>
      </c>
      <c r="BX138" s="216">
        <f t="shared" si="411"/>
        <v>0</v>
      </c>
      <c r="BY138" s="138">
        <f t="shared" si="412"/>
        <v>0</v>
      </c>
      <c r="BZ138" s="138">
        <f t="shared" si="413"/>
        <v>0</v>
      </c>
      <c r="CA138" s="238">
        <f t="shared" si="414"/>
        <v>2.3622047244094495E-2</v>
      </c>
      <c r="CB138" s="138">
        <f t="shared" si="415"/>
        <v>0</v>
      </c>
      <c r="CC138" s="138">
        <f t="shared" si="416"/>
        <v>0</v>
      </c>
      <c r="CD138" s="138">
        <f t="shared" si="417"/>
        <v>0</v>
      </c>
      <c r="CE138" s="238">
        <f t="shared" si="418"/>
        <v>2.3622047244094495E-2</v>
      </c>
      <c r="CF138" s="216">
        <f t="shared" si="419"/>
        <v>0</v>
      </c>
      <c r="CG138" s="138">
        <f t="shared" si="420"/>
        <v>0</v>
      </c>
      <c r="CH138" s="138">
        <f t="shared" si="421"/>
        <v>0</v>
      </c>
      <c r="CI138" s="238">
        <f t="shared" si="422"/>
        <v>1.5748031496062995E-2</v>
      </c>
      <c r="CJ138" s="138">
        <f t="shared" si="423"/>
        <v>0</v>
      </c>
      <c r="CK138" s="138">
        <f t="shared" si="424"/>
        <v>0</v>
      </c>
      <c r="CL138" s="138">
        <f t="shared" si="425"/>
        <v>0</v>
      </c>
      <c r="CM138" s="238">
        <f t="shared" si="426"/>
        <v>1.5748031496062995E-2</v>
      </c>
      <c r="CN138" s="17">
        <f t="shared" si="427"/>
        <v>0.25</v>
      </c>
      <c r="CO138" s="17">
        <f t="shared" si="428"/>
        <v>2.3622047244094495E-2</v>
      </c>
      <c r="CP138" s="17">
        <f t="shared" si="429"/>
        <v>1.5748031496062995E-2</v>
      </c>
      <c r="CQ138" s="17">
        <f>$U138-IF('Inputs-Imperial'!$E$13,0,2)*($CO138+$CN138+$CP138)</f>
        <v>2.9480315903999998</v>
      </c>
      <c r="CR138" s="116">
        <f t="shared" si="430"/>
        <v>728.92253787513084</v>
      </c>
      <c r="CS138" s="8">
        <f t="shared" si="324"/>
        <v>1.8846505860751945E-2</v>
      </c>
      <c r="CT138" s="8">
        <f t="shared" si="431"/>
        <v>0.13728257668310259</v>
      </c>
      <c r="CU138" s="8">
        <f t="shared" si="325"/>
        <v>1.8846505860751945E-2</v>
      </c>
      <c r="CV138" s="8">
        <f t="shared" si="432"/>
        <v>0.13728257668310259</v>
      </c>
      <c r="CW138" s="216">
        <f t="shared" si="433"/>
        <v>2.8107490137168969</v>
      </c>
      <c r="CX138" s="116">
        <f t="shared" si="434"/>
        <v>764.52456556011282</v>
      </c>
      <c r="CY138" s="8">
        <f t="shared" si="435"/>
        <v>1.9767006721344908E-2</v>
      </c>
      <c r="CZ138" s="8">
        <f t="shared" si="436"/>
        <v>0.14059518740463667</v>
      </c>
      <c r="DA138" s="8">
        <f t="shared" si="437"/>
        <v>1.9767006721344908E-2</v>
      </c>
      <c r="DB138" s="8">
        <f t="shared" si="438"/>
        <v>0.14059518740463667</v>
      </c>
      <c r="DC138" s="216">
        <f t="shared" si="439"/>
        <v>2.8074364029953629</v>
      </c>
      <c r="DD138" s="116">
        <f t="shared" si="440"/>
        <v>765.42665982306687</v>
      </c>
      <c r="DE138" s="8">
        <f t="shared" si="441"/>
        <v>1.9790330632913446E-2</v>
      </c>
      <c r="DF138" s="8">
        <f t="shared" si="442"/>
        <v>0.14067810999908067</v>
      </c>
      <c r="DG138" s="8">
        <f t="shared" si="443"/>
        <v>1.9790330632913446E-2</v>
      </c>
      <c r="DH138" s="8">
        <f t="shared" si="444"/>
        <v>0.14067810999908067</v>
      </c>
      <c r="DI138" s="216">
        <f t="shared" si="445"/>
        <v>2.8073534804009195</v>
      </c>
      <c r="DJ138" s="116">
        <f t="shared" si="446"/>
        <v>765.44926871964219</v>
      </c>
      <c r="DK138" s="8">
        <f t="shared" si="447"/>
        <v>1.979091519256097E-2</v>
      </c>
      <c r="DL138" s="8">
        <f t="shared" si="448"/>
        <v>0.14068018763337278</v>
      </c>
      <c r="DM138" s="8">
        <f t="shared" si="449"/>
        <v>1.979091519256097E-2</v>
      </c>
      <c r="DN138" s="8">
        <f t="shared" si="450"/>
        <v>0.14068018763337278</v>
      </c>
      <c r="DO138" s="216">
        <f t="shared" si="451"/>
        <v>2.8073514027666273</v>
      </c>
      <c r="DP138" s="116">
        <f t="shared" si="452"/>
        <v>765.44983520506617</v>
      </c>
      <c r="DQ138" s="170">
        <f t="shared" si="453"/>
        <v>1.9790929839207643E-2</v>
      </c>
      <c r="DR138" s="8">
        <f t="shared" si="454"/>
        <v>0.14068023968989973</v>
      </c>
      <c r="DS138" s="8">
        <f t="shared" si="455"/>
        <v>1.9790929839207643E-2</v>
      </c>
      <c r="DT138" s="134">
        <f t="shared" si="456"/>
        <v>0.14068023968989973</v>
      </c>
      <c r="DU138" s="170">
        <f t="shared" si="560"/>
        <v>3.7417273971028842E-2</v>
      </c>
      <c r="DV138" s="170">
        <f t="shared" si="560"/>
        <v>0.19343545169132995</v>
      </c>
      <c r="DW138" s="170">
        <f t="shared" si="560"/>
        <v>3.7417273971028842E-2</v>
      </c>
      <c r="DX138" s="272">
        <f t="shared" si="560"/>
        <v>0.19343545169132995</v>
      </c>
      <c r="DY138" s="272">
        <f t="shared" si="457"/>
        <v>2.5611606870173396</v>
      </c>
      <c r="DZ138" s="22">
        <f t="shared" si="326"/>
        <v>59.185633703738006</v>
      </c>
      <c r="EA138" s="216">
        <f t="shared" si="327"/>
        <v>3.8775962811430842E-3</v>
      </c>
      <c r="EB138" s="12">
        <f t="shared" si="458"/>
        <v>1</v>
      </c>
      <c r="EC138" s="7">
        <f>ROUND(MAX(DV138,DX138)/'Inputs-Imperial'!$E$21,0)</f>
        <v>2</v>
      </c>
      <c r="ED138" s="12">
        <f t="shared" si="459"/>
        <v>2</v>
      </c>
      <c r="EE138" s="2">
        <f t="shared" si="460"/>
        <v>2</v>
      </c>
      <c r="EF138" s="127">
        <f t="shared" si="461"/>
        <v>2</v>
      </c>
      <c r="EG138" s="2">
        <f t="shared" si="462"/>
        <v>1.5748031496062995E-2</v>
      </c>
      <c r="EH138" s="8">
        <f t="shared" si="328"/>
        <v>4.0806984172243141E-2</v>
      </c>
      <c r="EI138" s="138">
        <f t="shared" si="463"/>
        <v>0.25</v>
      </c>
      <c r="EJ138" s="12">
        <f t="shared" si="329"/>
        <v>3382.4589661686268</v>
      </c>
      <c r="EK138" s="138">
        <f t="shared" si="464"/>
        <v>0.25</v>
      </c>
      <c r="EL138" s="116">
        <f t="shared" si="465"/>
        <v>2175570</v>
      </c>
      <c r="EM138" s="2">
        <f t="shared" si="330"/>
        <v>1.5748031496062995E-2</v>
      </c>
      <c r="EN138" s="8">
        <f t="shared" si="466"/>
        <v>2.9480315903999998</v>
      </c>
      <c r="EO138" s="116">
        <f t="shared" si="467"/>
        <v>2610.6840000000002</v>
      </c>
      <c r="EP138" s="217">
        <f t="shared" si="468"/>
        <v>1.862904196569402</v>
      </c>
      <c r="EQ138" s="207">
        <f t="shared" si="469"/>
        <v>2</v>
      </c>
      <c r="ER138" s="144">
        <f t="shared" si="470"/>
        <v>77207.335099825897</v>
      </c>
      <c r="ES138" s="138">
        <f t="shared" si="331"/>
        <v>0.25</v>
      </c>
      <c r="ET138" s="116">
        <f t="shared" si="471"/>
        <v>2175570</v>
      </c>
      <c r="EU138" s="2">
        <f t="shared" si="332"/>
        <v>1.5748031496062995E-2</v>
      </c>
      <c r="EV138" s="8">
        <f t="shared" si="472"/>
        <v>2.9480315903999998</v>
      </c>
      <c r="EW138" s="116">
        <f t="shared" si="473"/>
        <v>2610.6840000000002</v>
      </c>
      <c r="EX138" s="217">
        <f t="shared" si="474"/>
        <v>1.862904196569402</v>
      </c>
      <c r="EY138" s="207">
        <f t="shared" si="475"/>
        <v>2</v>
      </c>
      <c r="EZ138" s="144">
        <f t="shared" si="476"/>
        <v>77207.335099825897</v>
      </c>
      <c r="FA138" s="138">
        <f t="shared" si="333"/>
        <v>0.25</v>
      </c>
      <c r="FB138" s="116">
        <f t="shared" si="477"/>
        <v>2175570</v>
      </c>
      <c r="FC138" s="2">
        <f t="shared" si="334"/>
        <v>1.5748031496062995E-2</v>
      </c>
      <c r="FD138" s="8">
        <f t="shared" si="478"/>
        <v>2.9480315903999998</v>
      </c>
      <c r="FE138" s="116">
        <f t="shared" si="479"/>
        <v>2610.6840000000002</v>
      </c>
      <c r="FF138" s="217">
        <f t="shared" si="480"/>
        <v>1.862904196569402</v>
      </c>
      <c r="FG138" s="207">
        <f t="shared" si="481"/>
        <v>2</v>
      </c>
      <c r="FH138" s="144">
        <f t="shared" si="482"/>
        <v>77207.335099825897</v>
      </c>
      <c r="FI138" s="128">
        <f t="shared" si="483"/>
        <v>0.25</v>
      </c>
      <c r="FJ138" s="2">
        <f t="shared" si="484"/>
        <v>1.5748031496062995E-2</v>
      </c>
      <c r="FK138" s="127">
        <f t="shared" si="485"/>
        <v>1.5748031496062995E-2</v>
      </c>
      <c r="FL138" s="216">
        <f t="shared" si="486"/>
        <v>0</v>
      </c>
      <c r="FM138" s="138">
        <f t="shared" si="487"/>
        <v>0</v>
      </c>
      <c r="FN138" s="138">
        <f t="shared" si="488"/>
        <v>0</v>
      </c>
      <c r="FO138" s="238">
        <f t="shared" si="489"/>
        <v>0.25</v>
      </c>
      <c r="FP138" s="216">
        <f t="shared" si="335"/>
        <v>0</v>
      </c>
      <c r="FQ138" s="138">
        <f t="shared" si="336"/>
        <v>0</v>
      </c>
      <c r="FR138" s="138">
        <f t="shared" si="337"/>
        <v>0</v>
      </c>
      <c r="FS138" s="238">
        <f t="shared" si="338"/>
        <v>0.25</v>
      </c>
      <c r="FT138" s="216">
        <f t="shared" si="490"/>
        <v>0</v>
      </c>
      <c r="FU138" s="138">
        <f t="shared" si="491"/>
        <v>0</v>
      </c>
      <c r="FV138" s="138">
        <f t="shared" si="492"/>
        <v>0</v>
      </c>
      <c r="FW138" s="238">
        <f t="shared" si="493"/>
        <v>1.5748031496062995E-2</v>
      </c>
      <c r="FX138" s="216">
        <f t="shared" si="339"/>
        <v>0</v>
      </c>
      <c r="FY138" s="138">
        <f t="shared" si="340"/>
        <v>0</v>
      </c>
      <c r="FZ138" s="138">
        <f t="shared" si="341"/>
        <v>0</v>
      </c>
      <c r="GA138" s="238">
        <f t="shared" si="342"/>
        <v>1.5748031496062995E-2</v>
      </c>
      <c r="GB138" s="216">
        <f t="shared" si="494"/>
        <v>0</v>
      </c>
      <c r="GC138" s="138">
        <f t="shared" si="495"/>
        <v>0</v>
      </c>
      <c r="GD138" s="138">
        <f t="shared" si="496"/>
        <v>0</v>
      </c>
      <c r="GE138" s="238">
        <f t="shared" si="497"/>
        <v>1.5748031496062995E-2</v>
      </c>
      <c r="GF138" s="216">
        <f t="shared" si="343"/>
        <v>0</v>
      </c>
      <c r="GG138" s="138">
        <f t="shared" si="344"/>
        <v>0</v>
      </c>
      <c r="GH138" s="138">
        <f t="shared" si="345"/>
        <v>0</v>
      </c>
      <c r="GI138" s="238">
        <f t="shared" si="346"/>
        <v>1.5748031496062995E-2</v>
      </c>
      <c r="GJ138" s="216">
        <f t="shared" si="498"/>
        <v>0.25</v>
      </c>
      <c r="GK138" s="216">
        <f t="shared" si="499"/>
        <v>1.5748031496062995E-2</v>
      </c>
      <c r="GL138" s="17">
        <f t="shared" si="500"/>
        <v>1.5748031496062995E-2</v>
      </c>
      <c r="GM138" s="216">
        <f t="shared" si="347"/>
        <v>1.9272336531286384E-3</v>
      </c>
      <c r="GN138" s="2">
        <f t="shared" si="501"/>
        <v>1</v>
      </c>
      <c r="GO138" s="2">
        <f t="shared" si="502"/>
        <v>2</v>
      </c>
      <c r="GP138" s="142">
        <f t="shared" si="503"/>
        <v>2</v>
      </c>
      <c r="GQ138" s="2">
        <f t="shared" si="504"/>
        <v>1.5748031496062995E-2</v>
      </c>
      <c r="GR138" s="8">
        <f t="shared" si="348"/>
        <v>2.0281789922763922E-2</v>
      </c>
      <c r="GS138" s="138">
        <f t="shared" si="505"/>
        <v>0.25</v>
      </c>
      <c r="GT138" s="12">
        <f t="shared" si="349"/>
        <v>1681.1416860563918</v>
      </c>
      <c r="GU138" s="138">
        <f t="shared" si="506"/>
        <v>0.25</v>
      </c>
      <c r="GV138" s="116">
        <f t="shared" si="507"/>
        <v>2175570</v>
      </c>
      <c r="GW138" s="2">
        <f t="shared" si="350"/>
        <v>1.5748031496062995E-2</v>
      </c>
      <c r="GX138" s="8">
        <f t="shared" si="351"/>
        <v>1.4740157951999999</v>
      </c>
      <c r="GY138" s="116">
        <f t="shared" si="508"/>
        <v>2610.6840000000002</v>
      </c>
      <c r="GZ138" s="217">
        <f t="shared" si="509"/>
        <v>7.4516167862776079</v>
      </c>
      <c r="HA138" s="207">
        <f t="shared" si="510"/>
        <v>2</v>
      </c>
      <c r="HB138" s="144">
        <f t="shared" si="511"/>
        <v>308829.34039930359</v>
      </c>
      <c r="HC138" s="138">
        <f t="shared" si="352"/>
        <v>0.25</v>
      </c>
      <c r="HD138" s="116">
        <f t="shared" si="512"/>
        <v>2175570</v>
      </c>
      <c r="HE138" s="2">
        <f t="shared" si="353"/>
        <v>1.5748031496062995E-2</v>
      </c>
      <c r="HF138" s="8">
        <f t="shared" si="513"/>
        <v>1.4740157951999999</v>
      </c>
      <c r="HG138" s="116">
        <f t="shared" si="514"/>
        <v>2610.6840000000002</v>
      </c>
      <c r="HH138" s="217">
        <f t="shared" si="515"/>
        <v>7.4516167862776079</v>
      </c>
      <c r="HI138" s="207">
        <f t="shared" si="516"/>
        <v>2</v>
      </c>
      <c r="HJ138" s="144">
        <f t="shared" si="517"/>
        <v>308829.34039930359</v>
      </c>
      <c r="HK138" s="138">
        <f t="shared" si="354"/>
        <v>0.25</v>
      </c>
      <c r="HL138" s="116">
        <f t="shared" si="518"/>
        <v>2175570</v>
      </c>
      <c r="HM138" s="2">
        <f t="shared" si="355"/>
        <v>1.5748031496062995E-2</v>
      </c>
      <c r="HN138" s="8">
        <f t="shared" si="519"/>
        <v>1.4740157951999999</v>
      </c>
      <c r="HO138" s="116">
        <f t="shared" si="520"/>
        <v>2610.6840000000002</v>
      </c>
      <c r="HP138" s="217">
        <f t="shared" si="521"/>
        <v>7.4516167862776079</v>
      </c>
      <c r="HQ138" s="207">
        <f t="shared" si="522"/>
        <v>2</v>
      </c>
      <c r="HR138" s="144">
        <f t="shared" si="523"/>
        <v>308829.34039930359</v>
      </c>
      <c r="HS138" s="128">
        <f t="shared" si="524"/>
        <v>0.25</v>
      </c>
      <c r="HT138" s="2">
        <f t="shared" si="525"/>
        <v>1.5748031496062995E-2</v>
      </c>
      <c r="HU138" s="127">
        <f t="shared" si="526"/>
        <v>1.5748031496062995E-2</v>
      </c>
      <c r="HV138" s="216">
        <f t="shared" si="527"/>
        <v>0</v>
      </c>
      <c r="HW138" s="138">
        <f t="shared" si="528"/>
        <v>0</v>
      </c>
      <c r="HX138" s="138">
        <f t="shared" si="529"/>
        <v>0</v>
      </c>
      <c r="HY138" s="238">
        <f t="shared" si="530"/>
        <v>0.25</v>
      </c>
      <c r="HZ138" s="138">
        <f t="shared" si="531"/>
        <v>0</v>
      </c>
      <c r="IA138" s="138">
        <f t="shared" si="532"/>
        <v>0</v>
      </c>
      <c r="IB138" s="138">
        <f t="shared" si="533"/>
        <v>0</v>
      </c>
      <c r="IC138" s="138">
        <f t="shared" si="534"/>
        <v>0.25</v>
      </c>
      <c r="ID138" s="216">
        <f t="shared" si="535"/>
        <v>0</v>
      </c>
      <c r="IE138" s="138">
        <f t="shared" si="536"/>
        <v>0</v>
      </c>
      <c r="IF138" s="138">
        <f t="shared" si="537"/>
        <v>0</v>
      </c>
      <c r="IG138" s="238">
        <f t="shared" si="538"/>
        <v>1.5748031496062995E-2</v>
      </c>
      <c r="IH138" s="138">
        <f t="shared" si="539"/>
        <v>0</v>
      </c>
      <c r="II138" s="138">
        <f t="shared" si="540"/>
        <v>0</v>
      </c>
      <c r="IJ138" s="138">
        <f t="shared" si="541"/>
        <v>0</v>
      </c>
      <c r="IK138" s="138">
        <f t="shared" si="542"/>
        <v>1.5748031496062995E-2</v>
      </c>
      <c r="IL138" s="216">
        <f t="shared" si="543"/>
        <v>0</v>
      </c>
      <c r="IM138" s="138">
        <f t="shared" si="544"/>
        <v>0</v>
      </c>
      <c r="IN138" s="138">
        <f t="shared" si="545"/>
        <v>0</v>
      </c>
      <c r="IO138" s="238">
        <f t="shared" si="546"/>
        <v>1.5748031496062995E-2</v>
      </c>
      <c r="IP138" s="138">
        <f t="shared" si="547"/>
        <v>0</v>
      </c>
      <c r="IQ138" s="138">
        <f t="shared" si="548"/>
        <v>0</v>
      </c>
      <c r="IR138" s="138">
        <f t="shared" si="549"/>
        <v>0</v>
      </c>
      <c r="IS138" s="138">
        <f t="shared" si="550"/>
        <v>1.5748031496062995E-2</v>
      </c>
      <c r="IT138" s="17">
        <f t="shared" si="551"/>
        <v>0.25</v>
      </c>
      <c r="IU138" s="17">
        <f t="shared" si="552"/>
        <v>1.5748031496062995E-2</v>
      </c>
      <c r="IV138" s="17">
        <f t="shared" si="553"/>
        <v>1.5748031496062995E-2</v>
      </c>
      <c r="IW138" s="253">
        <f t="shared" si="554"/>
        <v>8.1889766399999999</v>
      </c>
      <c r="IX138" s="116">
        <f t="shared" si="356"/>
        <v>26.241211363504711</v>
      </c>
      <c r="IY138" s="8">
        <f t="shared" si="357"/>
        <v>6.7847421098707003E-4</v>
      </c>
      <c r="IZ138" s="8">
        <f t="shared" si="555"/>
        <v>6.7847421098707003E-4</v>
      </c>
      <c r="JA138" s="8">
        <f t="shared" si="556"/>
        <v>3.3923710549353501E-4</v>
      </c>
      <c r="JB138" s="134">
        <f t="shared" si="557"/>
        <v>1.8418390415384702E-2</v>
      </c>
      <c r="JC138" s="170">
        <f t="shared" si="561"/>
        <v>6.3172897578446421E-4</v>
      </c>
      <c r="JD138" s="272">
        <f t="shared" si="562"/>
        <v>2.5134219219710489E-2</v>
      </c>
      <c r="JE138" s="8"/>
      <c r="JF138" s="8"/>
    </row>
    <row r="139" spans="1:266" x14ac:dyDescent="0.25">
      <c r="A139" s="186">
        <v>79</v>
      </c>
      <c r="B139" s="187">
        <f>A139/100*'Inputs-Imperial'!$E$5</f>
        <v>7.7755908000000007</v>
      </c>
      <c r="C139" s="188">
        <f>'Inputs-Imperial'!$E$10+('Inputs-Imperial'!$E$9-'Inputs-Imperial'!$E$10)*(100-A139)/100</f>
        <v>1.35498692</v>
      </c>
      <c r="D139" s="187">
        <f t="shared" si="558"/>
        <v>9.8425200000000324E-2</v>
      </c>
      <c r="E139" s="188">
        <f t="shared" si="559"/>
        <v>0.13384923459813644</v>
      </c>
      <c r="F139" s="423">
        <f>Loads!P99</f>
        <v>16.467565210020027</v>
      </c>
      <c r="G139" s="423">
        <f>Loads!M99</f>
        <v>164.6756521002003</v>
      </c>
      <c r="H139" s="423">
        <f>Loads!N99</f>
        <v>161.90055012962287</v>
      </c>
      <c r="I139" s="423">
        <f>Loads!V99</f>
        <v>-97.471389577387342</v>
      </c>
      <c r="J139" s="423">
        <f>Loads!Q99</f>
        <v>16.19005501296229</v>
      </c>
      <c r="K139" s="2">
        <v>79</v>
      </c>
      <c r="L139" s="12">
        <f t="shared" si="358"/>
        <v>93.307089600000012</v>
      </c>
      <c r="M139" s="11">
        <f t="shared" si="359"/>
        <v>16.25984304</v>
      </c>
      <c r="N139" s="11">
        <f t="shared" si="360"/>
        <v>1.1811024000000039</v>
      </c>
      <c r="O139" s="152">
        <f t="shared" si="361"/>
        <v>19.274289782131646</v>
      </c>
      <c r="P139" s="151">
        <f t="shared" si="362"/>
        <v>16.467565210020027</v>
      </c>
      <c r="Q139" s="12">
        <f t="shared" si="363"/>
        <v>164.6756521002003</v>
      </c>
      <c r="R139" s="12">
        <f t="shared" si="364"/>
        <v>1942.8066015554746</v>
      </c>
      <c r="S139" s="12">
        <f t="shared" si="365"/>
        <v>-1169.656674928648</v>
      </c>
      <c r="T139" s="152">
        <f t="shared" si="366"/>
        <v>194.28066015554748</v>
      </c>
      <c r="U139" s="8">
        <f t="shared" si="313"/>
        <v>2.9267717471999997</v>
      </c>
      <c r="V139" s="8">
        <f t="shared" si="314"/>
        <v>2.9267717471999997</v>
      </c>
      <c r="W139" s="134">
        <f t="shared" si="315"/>
        <v>1.4633858735999998</v>
      </c>
      <c r="X139" s="311">
        <f t="shared" si="316"/>
        <v>4.06496076</v>
      </c>
      <c r="Y139" s="11">
        <f t="shared" si="317"/>
        <v>12.19488228</v>
      </c>
      <c r="Z139" s="11">
        <f t="shared" si="318"/>
        <v>8.1299215199999999</v>
      </c>
      <c r="AA139" s="316">
        <f t="shared" si="367"/>
        <v>12.19488228</v>
      </c>
      <c r="AB139" s="170">
        <f t="shared" si="368"/>
        <v>2.1950788103999996</v>
      </c>
      <c r="AC139" s="11">
        <f t="shared" si="369"/>
        <v>12.19488228</v>
      </c>
      <c r="AD139" s="152">
        <f t="shared" si="370"/>
        <v>21.024109562759772</v>
      </c>
      <c r="AE139" s="151">
        <f t="shared" si="319"/>
        <v>1.3503668860360682</v>
      </c>
      <c r="AF139" s="12">
        <f t="shared" si="320"/>
        <v>27.817032427391677</v>
      </c>
      <c r="AG139" s="216">
        <f t="shared" si="321"/>
        <v>1.9109265548206797E-3</v>
      </c>
      <c r="AH139" s="2">
        <f t="shared" si="371"/>
        <v>1</v>
      </c>
      <c r="AI139" s="2">
        <f t="shared" si="372"/>
        <v>3</v>
      </c>
      <c r="AJ139" s="127">
        <f t="shared" si="373"/>
        <v>2</v>
      </c>
      <c r="AK139" s="2">
        <f t="shared" si="374"/>
        <v>1.5748031496062995E-2</v>
      </c>
      <c r="AL139" s="8">
        <f t="shared" si="322"/>
        <v>2.011017754893734E-2</v>
      </c>
      <c r="AM139" s="138">
        <f t="shared" si="375"/>
        <v>0.25</v>
      </c>
      <c r="AN139" s="12">
        <f t="shared" si="323"/>
        <v>1666.9168707623951</v>
      </c>
      <c r="AO139" s="138">
        <f>AM139</f>
        <v>0.25</v>
      </c>
      <c r="AP139" s="116">
        <f t="shared" si="377"/>
        <v>2175570</v>
      </c>
      <c r="AQ139" s="2">
        <f t="shared" si="378"/>
        <v>1.5748031496062995E-2</v>
      </c>
      <c r="AR139" s="8">
        <f t="shared" si="379"/>
        <v>8.1299215199999999</v>
      </c>
      <c r="AS139" s="116">
        <f t="shared" si="380"/>
        <v>2610.6840000000002</v>
      </c>
      <c r="AT139" s="217">
        <f>(PI()^2)*AO139*AP139*AQ139/(2*AS139*AR139^2)</f>
        <v>0.24495261521108916</v>
      </c>
      <c r="AU139" s="207">
        <f t="shared" si="382"/>
        <v>2.8585534354783788</v>
      </c>
      <c r="AV139" s="144">
        <f t="shared" si="383"/>
        <v>14509.967554649513</v>
      </c>
      <c r="AW139" s="138">
        <f t="shared" si="384"/>
        <v>0.25</v>
      </c>
      <c r="AX139" s="116">
        <f t="shared" si="385"/>
        <v>2175570</v>
      </c>
      <c r="AY139" s="2">
        <f t="shared" si="386"/>
        <v>1.5748031496062995E-2</v>
      </c>
      <c r="AZ139" s="8">
        <f t="shared" si="387"/>
        <v>8.1299215199999999</v>
      </c>
      <c r="BA139" s="116">
        <f t="shared" si="388"/>
        <v>2610.6840000000002</v>
      </c>
      <c r="BB139" s="217">
        <f t="shared" si="389"/>
        <v>0.24495261521108916</v>
      </c>
      <c r="BC139" s="207">
        <f t="shared" si="390"/>
        <v>2.8585534354783788</v>
      </c>
      <c r="BD139" s="144">
        <f t="shared" si="391"/>
        <v>14509.967554649513</v>
      </c>
      <c r="BE139" s="138">
        <f t="shared" si="392"/>
        <v>0.25</v>
      </c>
      <c r="BF139" s="116">
        <f t="shared" si="393"/>
        <v>2175570</v>
      </c>
      <c r="BG139" s="2">
        <f t="shared" si="394"/>
        <v>1.5748031496062995E-2</v>
      </c>
      <c r="BH139" s="8">
        <f t="shared" si="395"/>
        <v>8.1299215199999999</v>
      </c>
      <c r="BI139" s="116">
        <f t="shared" si="396"/>
        <v>2610.6840000000002</v>
      </c>
      <c r="BJ139" s="217">
        <f t="shared" si="397"/>
        <v>0.24495261521108916</v>
      </c>
      <c r="BK139" s="207">
        <f t="shared" si="398"/>
        <v>2.8585534354783788</v>
      </c>
      <c r="BL139" s="144">
        <f t="shared" si="399"/>
        <v>14509.967554649513</v>
      </c>
      <c r="BM139" s="216">
        <f t="shared" si="400"/>
        <v>0.25</v>
      </c>
      <c r="BN139" s="216">
        <f t="shared" si="401"/>
        <v>2.3622047244094495E-2</v>
      </c>
      <c r="BO139" s="238">
        <f t="shared" si="402"/>
        <v>1.5748031496062995E-2</v>
      </c>
      <c r="BP139" s="216">
        <f t="shared" si="403"/>
        <v>0</v>
      </c>
      <c r="BQ139" s="138">
        <f t="shared" si="404"/>
        <v>0</v>
      </c>
      <c r="BR139" s="138">
        <f t="shared" si="405"/>
        <v>0</v>
      </c>
      <c r="BS139" s="238">
        <f t="shared" si="406"/>
        <v>0.25</v>
      </c>
      <c r="BT139" s="138">
        <f t="shared" si="407"/>
        <v>0</v>
      </c>
      <c r="BU139" s="138">
        <f t="shared" si="408"/>
        <v>0</v>
      </c>
      <c r="BV139" s="138">
        <f t="shared" si="409"/>
        <v>0</v>
      </c>
      <c r="BW139" s="238">
        <f t="shared" si="410"/>
        <v>0.25</v>
      </c>
      <c r="BX139" s="216">
        <f t="shared" si="411"/>
        <v>0</v>
      </c>
      <c r="BY139" s="138">
        <f t="shared" si="412"/>
        <v>0</v>
      </c>
      <c r="BZ139" s="138">
        <f t="shared" si="413"/>
        <v>0</v>
      </c>
      <c r="CA139" s="238">
        <f t="shared" si="414"/>
        <v>2.3622047244094495E-2</v>
      </c>
      <c r="CB139" s="138">
        <f t="shared" si="415"/>
        <v>0</v>
      </c>
      <c r="CC139" s="138">
        <f t="shared" si="416"/>
        <v>0</v>
      </c>
      <c r="CD139" s="138">
        <f t="shared" si="417"/>
        <v>0</v>
      </c>
      <c r="CE139" s="238">
        <f t="shared" si="418"/>
        <v>2.3622047244094495E-2</v>
      </c>
      <c r="CF139" s="216">
        <f t="shared" si="419"/>
        <v>0</v>
      </c>
      <c r="CG139" s="138">
        <f t="shared" si="420"/>
        <v>0</v>
      </c>
      <c r="CH139" s="138">
        <f t="shared" si="421"/>
        <v>0</v>
      </c>
      <c r="CI139" s="238">
        <f t="shared" si="422"/>
        <v>1.5748031496062995E-2</v>
      </c>
      <c r="CJ139" s="138">
        <f t="shared" si="423"/>
        <v>0</v>
      </c>
      <c r="CK139" s="138">
        <f t="shared" si="424"/>
        <v>0</v>
      </c>
      <c r="CL139" s="138">
        <f t="shared" si="425"/>
        <v>0</v>
      </c>
      <c r="CM139" s="238">
        <f t="shared" si="426"/>
        <v>1.5748031496062995E-2</v>
      </c>
      <c r="CN139" s="17">
        <f t="shared" si="427"/>
        <v>0.25</v>
      </c>
      <c r="CO139" s="17">
        <f t="shared" si="428"/>
        <v>2.3622047244094495E-2</v>
      </c>
      <c r="CP139" s="17">
        <f t="shared" si="429"/>
        <v>1.5748031496062995E-2</v>
      </c>
      <c r="CQ139" s="17">
        <f>$U139-IF('Inputs-Imperial'!$E$13,0,2)*($CO139+$CN139+$CP139)</f>
        <v>2.9267717471999997</v>
      </c>
      <c r="CR139" s="116">
        <f t="shared" si="430"/>
        <v>663.80530132359297</v>
      </c>
      <c r="CS139" s="8">
        <f t="shared" si="324"/>
        <v>1.7162880624136252E-2</v>
      </c>
      <c r="CT139" s="8">
        <f t="shared" si="431"/>
        <v>0.13100717775807649</v>
      </c>
      <c r="CU139" s="8">
        <f t="shared" si="325"/>
        <v>1.7162880624136252E-2</v>
      </c>
      <c r="CV139" s="8">
        <f t="shared" si="432"/>
        <v>0.13100717775807649</v>
      </c>
      <c r="CW139" s="216">
        <f t="shared" si="433"/>
        <v>2.7957645694419235</v>
      </c>
      <c r="CX139" s="116">
        <f t="shared" si="434"/>
        <v>694.91065978537949</v>
      </c>
      <c r="CY139" s="8">
        <f t="shared" si="435"/>
        <v>1.7967118784009521E-2</v>
      </c>
      <c r="CZ139" s="8">
        <f t="shared" si="436"/>
        <v>0.13404148157943316</v>
      </c>
      <c r="DA139" s="8">
        <f t="shared" si="437"/>
        <v>1.7967118784009521E-2</v>
      </c>
      <c r="DB139" s="8">
        <f t="shared" si="438"/>
        <v>0.13404148157943316</v>
      </c>
      <c r="DC139" s="216">
        <f t="shared" si="439"/>
        <v>2.7927302656205666</v>
      </c>
      <c r="DD139" s="116">
        <f t="shared" si="440"/>
        <v>695.66568081137893</v>
      </c>
      <c r="DE139" s="8">
        <f t="shared" si="441"/>
        <v>1.7986640073930079E-2</v>
      </c>
      <c r="DF139" s="8">
        <f t="shared" si="442"/>
        <v>0.13411427990311128</v>
      </c>
      <c r="DG139" s="8">
        <f t="shared" si="443"/>
        <v>1.7986640073930079E-2</v>
      </c>
      <c r="DH139" s="8">
        <f t="shared" si="444"/>
        <v>0.13411427990311128</v>
      </c>
      <c r="DI139" s="216">
        <f t="shared" si="445"/>
        <v>2.792657467296888</v>
      </c>
      <c r="DJ139" s="116">
        <f t="shared" si="446"/>
        <v>695.68381525715211</v>
      </c>
      <c r="DK139" s="8">
        <f t="shared" si="447"/>
        <v>1.7987108945340672E-2</v>
      </c>
      <c r="DL139" s="8">
        <f t="shared" si="448"/>
        <v>0.13411602792112759</v>
      </c>
      <c r="DM139" s="8">
        <f t="shared" si="449"/>
        <v>1.7987108945340672E-2</v>
      </c>
      <c r="DN139" s="8">
        <f t="shared" si="450"/>
        <v>0.13411602792112759</v>
      </c>
      <c r="DO139" s="216">
        <f t="shared" si="451"/>
        <v>2.7926557192788724</v>
      </c>
      <c r="DP139" s="116">
        <f t="shared" si="452"/>
        <v>695.6842507092681</v>
      </c>
      <c r="DQ139" s="170">
        <f t="shared" si="453"/>
        <v>1.798712020408276E-2</v>
      </c>
      <c r="DR139" s="8">
        <f t="shared" si="454"/>
        <v>0.13411606989500832</v>
      </c>
      <c r="DS139" s="8">
        <f t="shared" si="455"/>
        <v>1.798712020408276E-2</v>
      </c>
      <c r="DT139" s="134">
        <f t="shared" si="456"/>
        <v>0.13411606989500832</v>
      </c>
      <c r="DU139" s="170">
        <f t="shared" si="560"/>
        <v>3.7417273971028842E-2</v>
      </c>
      <c r="DV139" s="170">
        <f t="shared" si="560"/>
        <v>0.19343545169132995</v>
      </c>
      <c r="DW139" s="170">
        <f t="shared" si="560"/>
        <v>3.7417273971028842E-2</v>
      </c>
      <c r="DX139" s="272">
        <f t="shared" si="560"/>
        <v>0.19343545169132995</v>
      </c>
      <c r="DY139" s="272">
        <f t="shared" si="457"/>
        <v>2.5399008438173394</v>
      </c>
      <c r="DZ139" s="22">
        <f t="shared" si="326"/>
        <v>56.265286918169522</v>
      </c>
      <c r="EA139" s="216">
        <f t="shared" si="327"/>
        <v>3.6862673195904886E-3</v>
      </c>
      <c r="EB139" s="12">
        <f t="shared" si="458"/>
        <v>1</v>
      </c>
      <c r="EC139" s="7">
        <f>ROUND(MAX(DV139,DX139)/'Inputs-Imperial'!$E$21,0)</f>
        <v>2</v>
      </c>
      <c r="ED139" s="12">
        <f t="shared" si="459"/>
        <v>2</v>
      </c>
      <c r="EE139" s="2">
        <f t="shared" si="460"/>
        <v>2</v>
      </c>
      <c r="EF139" s="127">
        <f t="shared" si="461"/>
        <v>2</v>
      </c>
      <c r="EG139" s="2">
        <f t="shared" si="462"/>
        <v>1.5748031496062995E-2</v>
      </c>
      <c r="EH139" s="8">
        <f t="shared" si="328"/>
        <v>3.8793479583398502E-2</v>
      </c>
      <c r="EI139" s="138">
        <f t="shared" si="463"/>
        <v>0.25</v>
      </c>
      <c r="EJ139" s="12">
        <f t="shared" si="329"/>
        <v>3215.5611473733875</v>
      </c>
      <c r="EK139" s="138">
        <f t="shared" si="464"/>
        <v>0.25</v>
      </c>
      <c r="EL139" s="116">
        <f t="shared" si="465"/>
        <v>2175570</v>
      </c>
      <c r="EM139" s="2">
        <f t="shared" si="330"/>
        <v>1.5748031496062995E-2</v>
      </c>
      <c r="EN139" s="8">
        <f t="shared" si="466"/>
        <v>2.9267717471999997</v>
      </c>
      <c r="EO139" s="116">
        <f t="shared" si="467"/>
        <v>2610.6840000000002</v>
      </c>
      <c r="EP139" s="217">
        <f t="shared" si="468"/>
        <v>1.8900664753942071</v>
      </c>
      <c r="EQ139" s="207">
        <f t="shared" si="469"/>
        <v>2</v>
      </c>
      <c r="ER139" s="144">
        <f t="shared" si="470"/>
        <v>78333.065111687771</v>
      </c>
      <c r="ES139" s="138">
        <f t="shared" si="331"/>
        <v>0.25</v>
      </c>
      <c r="ET139" s="116">
        <f t="shared" si="471"/>
        <v>2175570</v>
      </c>
      <c r="EU139" s="2">
        <f t="shared" si="332"/>
        <v>1.5748031496062995E-2</v>
      </c>
      <c r="EV139" s="8">
        <f t="shared" si="472"/>
        <v>2.9267717471999997</v>
      </c>
      <c r="EW139" s="116">
        <f t="shared" si="473"/>
        <v>2610.6840000000002</v>
      </c>
      <c r="EX139" s="217">
        <f t="shared" si="474"/>
        <v>1.8900664753942071</v>
      </c>
      <c r="EY139" s="207">
        <f t="shared" si="475"/>
        <v>2</v>
      </c>
      <c r="EZ139" s="144">
        <f t="shared" si="476"/>
        <v>78333.065111687771</v>
      </c>
      <c r="FA139" s="138">
        <f t="shared" si="333"/>
        <v>0.25</v>
      </c>
      <c r="FB139" s="116">
        <f t="shared" si="477"/>
        <v>2175570</v>
      </c>
      <c r="FC139" s="2">
        <f t="shared" si="334"/>
        <v>1.5748031496062995E-2</v>
      </c>
      <c r="FD139" s="8">
        <f t="shared" si="478"/>
        <v>2.9267717471999997</v>
      </c>
      <c r="FE139" s="116">
        <f t="shared" si="479"/>
        <v>2610.6840000000002</v>
      </c>
      <c r="FF139" s="217">
        <f t="shared" si="480"/>
        <v>1.8900664753942071</v>
      </c>
      <c r="FG139" s="207">
        <f t="shared" si="481"/>
        <v>2</v>
      </c>
      <c r="FH139" s="144">
        <f t="shared" si="482"/>
        <v>78333.065111687771</v>
      </c>
      <c r="FI139" s="128">
        <f t="shared" si="483"/>
        <v>0.25</v>
      </c>
      <c r="FJ139" s="2">
        <f t="shared" si="484"/>
        <v>1.5748031496062995E-2</v>
      </c>
      <c r="FK139" s="127">
        <f t="shared" si="485"/>
        <v>1.5748031496062995E-2</v>
      </c>
      <c r="FL139" s="216">
        <f t="shared" si="486"/>
        <v>0</v>
      </c>
      <c r="FM139" s="138">
        <f t="shared" si="487"/>
        <v>0</v>
      </c>
      <c r="FN139" s="138">
        <f t="shared" si="488"/>
        <v>0</v>
      </c>
      <c r="FO139" s="238">
        <f t="shared" si="489"/>
        <v>0.25</v>
      </c>
      <c r="FP139" s="216">
        <f t="shared" si="335"/>
        <v>0</v>
      </c>
      <c r="FQ139" s="138">
        <f t="shared" si="336"/>
        <v>0</v>
      </c>
      <c r="FR139" s="138">
        <f t="shared" si="337"/>
        <v>0</v>
      </c>
      <c r="FS139" s="238">
        <f t="shared" si="338"/>
        <v>0.25</v>
      </c>
      <c r="FT139" s="216">
        <f t="shared" si="490"/>
        <v>0</v>
      </c>
      <c r="FU139" s="138">
        <f t="shared" si="491"/>
        <v>0</v>
      </c>
      <c r="FV139" s="138">
        <f t="shared" si="492"/>
        <v>0</v>
      </c>
      <c r="FW139" s="238">
        <f t="shared" si="493"/>
        <v>1.5748031496062995E-2</v>
      </c>
      <c r="FX139" s="216">
        <f t="shared" si="339"/>
        <v>0</v>
      </c>
      <c r="FY139" s="138">
        <f t="shared" si="340"/>
        <v>0</v>
      </c>
      <c r="FZ139" s="138">
        <f t="shared" si="341"/>
        <v>0</v>
      </c>
      <c r="GA139" s="238">
        <f t="shared" si="342"/>
        <v>1.5748031496062995E-2</v>
      </c>
      <c r="GB139" s="216">
        <f t="shared" si="494"/>
        <v>0</v>
      </c>
      <c r="GC139" s="138">
        <f t="shared" si="495"/>
        <v>0</v>
      </c>
      <c r="GD139" s="138">
        <f t="shared" si="496"/>
        <v>0</v>
      </c>
      <c r="GE139" s="238">
        <f t="shared" si="497"/>
        <v>1.5748031496062995E-2</v>
      </c>
      <c r="GF139" s="216">
        <f t="shared" si="343"/>
        <v>0</v>
      </c>
      <c r="GG139" s="138">
        <f t="shared" si="344"/>
        <v>0</v>
      </c>
      <c r="GH139" s="138">
        <f t="shared" si="345"/>
        <v>0</v>
      </c>
      <c r="GI139" s="238">
        <f t="shared" si="346"/>
        <v>1.5748031496062995E-2</v>
      </c>
      <c r="GJ139" s="216">
        <f t="shared" si="498"/>
        <v>0.25</v>
      </c>
      <c r="GK139" s="216">
        <f t="shared" si="499"/>
        <v>1.5748031496062995E-2</v>
      </c>
      <c r="GL139" s="17">
        <f t="shared" si="500"/>
        <v>1.5748031496062995E-2</v>
      </c>
      <c r="GM139" s="216">
        <f t="shared" si="347"/>
        <v>1.822456139150508E-3</v>
      </c>
      <c r="GN139" s="2">
        <f t="shared" si="501"/>
        <v>1</v>
      </c>
      <c r="GO139" s="2">
        <f t="shared" si="502"/>
        <v>2</v>
      </c>
      <c r="GP139" s="142">
        <f t="shared" si="503"/>
        <v>2</v>
      </c>
      <c r="GQ139" s="2">
        <f t="shared" si="504"/>
        <v>1.5748031496062995E-2</v>
      </c>
      <c r="GR139" s="8">
        <f t="shared" si="348"/>
        <v>1.9179134038935779E-2</v>
      </c>
      <c r="GS139" s="138">
        <f t="shared" si="505"/>
        <v>0.25</v>
      </c>
      <c r="GT139" s="12">
        <f t="shared" si="349"/>
        <v>1589.7434032254341</v>
      </c>
      <c r="GU139" s="138">
        <f t="shared" si="506"/>
        <v>0.25</v>
      </c>
      <c r="GV139" s="116">
        <f t="shared" si="507"/>
        <v>2175570</v>
      </c>
      <c r="GW139" s="2">
        <f t="shared" si="350"/>
        <v>1.5748031496062995E-2</v>
      </c>
      <c r="GX139" s="8">
        <f t="shared" si="351"/>
        <v>1.4633858735999998</v>
      </c>
      <c r="GY139" s="116">
        <f t="shared" si="508"/>
        <v>2610.6840000000002</v>
      </c>
      <c r="GZ139" s="217">
        <f t="shared" si="509"/>
        <v>7.5602659015768285</v>
      </c>
      <c r="HA139" s="207">
        <f t="shared" si="510"/>
        <v>2</v>
      </c>
      <c r="HB139" s="144">
        <f t="shared" si="511"/>
        <v>313332.26044675108</v>
      </c>
      <c r="HC139" s="138">
        <f t="shared" si="352"/>
        <v>0.25</v>
      </c>
      <c r="HD139" s="116">
        <f t="shared" si="512"/>
        <v>2175570</v>
      </c>
      <c r="HE139" s="2">
        <f t="shared" si="353"/>
        <v>1.5748031496062995E-2</v>
      </c>
      <c r="HF139" s="8">
        <f t="shared" si="513"/>
        <v>1.4633858735999998</v>
      </c>
      <c r="HG139" s="116">
        <f t="shared" si="514"/>
        <v>2610.6840000000002</v>
      </c>
      <c r="HH139" s="217">
        <f t="shared" si="515"/>
        <v>7.5602659015768285</v>
      </c>
      <c r="HI139" s="207">
        <f t="shared" si="516"/>
        <v>2</v>
      </c>
      <c r="HJ139" s="144">
        <f t="shared" si="517"/>
        <v>313332.26044675108</v>
      </c>
      <c r="HK139" s="138">
        <f t="shared" si="354"/>
        <v>0.25</v>
      </c>
      <c r="HL139" s="116">
        <f t="shared" si="518"/>
        <v>2175570</v>
      </c>
      <c r="HM139" s="2">
        <f t="shared" si="355"/>
        <v>1.5748031496062995E-2</v>
      </c>
      <c r="HN139" s="8">
        <f t="shared" si="519"/>
        <v>1.4633858735999998</v>
      </c>
      <c r="HO139" s="116">
        <f t="shared" si="520"/>
        <v>2610.6840000000002</v>
      </c>
      <c r="HP139" s="217">
        <f t="shared" si="521"/>
        <v>7.5602659015768285</v>
      </c>
      <c r="HQ139" s="207">
        <f t="shared" si="522"/>
        <v>2</v>
      </c>
      <c r="HR139" s="144">
        <f t="shared" si="523"/>
        <v>313332.26044675108</v>
      </c>
      <c r="HS139" s="128">
        <f t="shared" si="524"/>
        <v>0.25</v>
      </c>
      <c r="HT139" s="2">
        <f t="shared" si="525"/>
        <v>1.5748031496062995E-2</v>
      </c>
      <c r="HU139" s="127">
        <f t="shared" si="526"/>
        <v>1.5748031496062995E-2</v>
      </c>
      <c r="HV139" s="216">
        <f t="shared" si="527"/>
        <v>0</v>
      </c>
      <c r="HW139" s="138">
        <f t="shared" si="528"/>
        <v>0</v>
      </c>
      <c r="HX139" s="138">
        <f t="shared" si="529"/>
        <v>0</v>
      </c>
      <c r="HY139" s="238">
        <f t="shared" si="530"/>
        <v>0.25</v>
      </c>
      <c r="HZ139" s="138">
        <f t="shared" si="531"/>
        <v>0</v>
      </c>
      <c r="IA139" s="138">
        <f t="shared" si="532"/>
        <v>0</v>
      </c>
      <c r="IB139" s="138">
        <f t="shared" si="533"/>
        <v>0</v>
      </c>
      <c r="IC139" s="138">
        <f t="shared" si="534"/>
        <v>0.25</v>
      </c>
      <c r="ID139" s="216">
        <f t="shared" si="535"/>
        <v>0</v>
      </c>
      <c r="IE139" s="138">
        <f t="shared" si="536"/>
        <v>0</v>
      </c>
      <c r="IF139" s="138">
        <f t="shared" si="537"/>
        <v>0</v>
      </c>
      <c r="IG139" s="238">
        <f t="shared" si="538"/>
        <v>1.5748031496062995E-2</v>
      </c>
      <c r="IH139" s="138">
        <f t="shared" si="539"/>
        <v>0</v>
      </c>
      <c r="II139" s="138">
        <f t="shared" si="540"/>
        <v>0</v>
      </c>
      <c r="IJ139" s="138">
        <f t="shared" si="541"/>
        <v>0</v>
      </c>
      <c r="IK139" s="138">
        <f t="shared" si="542"/>
        <v>1.5748031496062995E-2</v>
      </c>
      <c r="IL139" s="216">
        <f t="shared" si="543"/>
        <v>0</v>
      </c>
      <c r="IM139" s="138">
        <f t="shared" si="544"/>
        <v>0</v>
      </c>
      <c r="IN139" s="138">
        <f t="shared" si="545"/>
        <v>0</v>
      </c>
      <c r="IO139" s="238">
        <f t="shared" si="546"/>
        <v>1.5748031496062995E-2</v>
      </c>
      <c r="IP139" s="138">
        <f t="shared" si="547"/>
        <v>0</v>
      </c>
      <c r="IQ139" s="138">
        <f t="shared" si="548"/>
        <v>0</v>
      </c>
      <c r="IR139" s="138">
        <f t="shared" si="549"/>
        <v>0</v>
      </c>
      <c r="IS139" s="138">
        <f t="shared" si="550"/>
        <v>1.5748031496062995E-2</v>
      </c>
      <c r="IT139" s="17">
        <f t="shared" si="551"/>
        <v>0.25</v>
      </c>
      <c r="IU139" s="17">
        <f t="shared" si="552"/>
        <v>1.5748031496062995E-2</v>
      </c>
      <c r="IV139" s="17">
        <f t="shared" si="553"/>
        <v>1.5748031496062995E-2</v>
      </c>
      <c r="IW139" s="253">
        <f t="shared" si="554"/>
        <v>8.1299215199999999</v>
      </c>
      <c r="IX139" s="116">
        <f t="shared" si="356"/>
        <v>23.896990847649349</v>
      </c>
      <c r="IY139" s="8">
        <f t="shared" si="357"/>
        <v>6.1786370246890506E-4</v>
      </c>
      <c r="IZ139" s="8">
        <f t="shared" si="555"/>
        <v>6.1786370246890506E-4</v>
      </c>
      <c r="JA139" s="8">
        <f t="shared" si="556"/>
        <v>3.0893185123445253E-4</v>
      </c>
      <c r="JB139" s="134">
        <f t="shared" si="557"/>
        <v>1.7576457300447452E-2</v>
      </c>
      <c r="JC139" s="170">
        <f t="shared" si="561"/>
        <v>6.3172897578446421E-4</v>
      </c>
      <c r="JD139" s="272">
        <f t="shared" si="562"/>
        <v>2.5134219219710489E-2</v>
      </c>
      <c r="JE139" s="8"/>
      <c r="JF139" s="8"/>
    </row>
    <row r="140" spans="1:266" x14ac:dyDescent="0.25">
      <c r="A140" s="186">
        <v>80</v>
      </c>
      <c r="B140" s="187">
        <f>A140/100*'Inputs-Imperial'!$E$5</f>
        <v>7.874016000000001</v>
      </c>
      <c r="C140" s="188">
        <f>'Inputs-Imperial'!$E$10+('Inputs-Imperial'!$E$9-'Inputs-Imperial'!$E$10)*(100-A140)/100</f>
        <v>1.3451443999999999</v>
      </c>
      <c r="D140" s="187">
        <f t="shared" si="558"/>
        <v>9.8425200000000324E-2</v>
      </c>
      <c r="E140" s="188">
        <f t="shared" si="559"/>
        <v>0.13288048259863242</v>
      </c>
      <c r="F140" s="423">
        <f>Loads!P100</f>
        <v>15.500603210721277</v>
      </c>
      <c r="G140" s="423">
        <f>Loads!M100</f>
        <v>155.0060321072128</v>
      </c>
      <c r="H140" s="423">
        <f>Loads!N100</f>
        <v>145.6923161365302</v>
      </c>
      <c r="I140" s="423">
        <f>Loads!V100</f>
        <v>-90.562044162016335</v>
      </c>
      <c r="J140" s="423">
        <f>Loads!Q100</f>
        <v>14.56923161365302</v>
      </c>
      <c r="K140" s="2">
        <v>80</v>
      </c>
      <c r="L140" s="12">
        <f t="shared" si="358"/>
        <v>94.488192000000012</v>
      </c>
      <c r="M140" s="11">
        <f t="shared" si="359"/>
        <v>16.1417328</v>
      </c>
      <c r="N140" s="11">
        <f t="shared" si="360"/>
        <v>1.1811024000000039</v>
      </c>
      <c r="O140" s="152">
        <f t="shared" si="361"/>
        <v>19.134789494203069</v>
      </c>
      <c r="P140" s="151">
        <f t="shared" si="362"/>
        <v>15.500603210721277</v>
      </c>
      <c r="Q140" s="12">
        <f t="shared" si="363"/>
        <v>155.0060321072128</v>
      </c>
      <c r="R140" s="12">
        <f t="shared" si="364"/>
        <v>1748.3077936383625</v>
      </c>
      <c r="S140" s="12">
        <f t="shared" si="365"/>
        <v>-1086.7445299441961</v>
      </c>
      <c r="T140" s="152">
        <f t="shared" si="366"/>
        <v>174.83077936383626</v>
      </c>
      <c r="U140" s="8">
        <f t="shared" si="313"/>
        <v>2.9055119039999999</v>
      </c>
      <c r="V140" s="8">
        <f t="shared" si="314"/>
        <v>2.9055119039999999</v>
      </c>
      <c r="W140" s="134">
        <f t="shared" si="315"/>
        <v>1.452755952</v>
      </c>
      <c r="X140" s="311">
        <f t="shared" si="316"/>
        <v>4.0354331999999999</v>
      </c>
      <c r="Y140" s="11">
        <f t="shared" si="317"/>
        <v>12.1062996</v>
      </c>
      <c r="Z140" s="11">
        <f t="shared" si="318"/>
        <v>8.0708663999999999</v>
      </c>
      <c r="AA140" s="316">
        <f t="shared" si="367"/>
        <v>12.1062996</v>
      </c>
      <c r="AB140" s="170">
        <f t="shared" si="368"/>
        <v>2.1791339279999997</v>
      </c>
      <c r="AC140" s="11">
        <f t="shared" si="369"/>
        <v>12.1062996</v>
      </c>
      <c r="AD140" s="152">
        <f t="shared" si="370"/>
        <v>20.719783885113461</v>
      </c>
      <c r="AE140" s="151">
        <f t="shared" si="319"/>
        <v>1.2803749884664408</v>
      </c>
      <c r="AF140" s="12">
        <f t="shared" si="320"/>
        <v>26.22480369413962</v>
      </c>
      <c r="AG140" s="216">
        <f t="shared" si="321"/>
        <v>1.8020247802992321E-3</v>
      </c>
      <c r="AH140" s="2">
        <f t="shared" si="371"/>
        <v>1</v>
      </c>
      <c r="AI140" s="2">
        <f t="shared" si="372"/>
        <v>3</v>
      </c>
      <c r="AJ140" s="127">
        <f t="shared" si="373"/>
        <v>2</v>
      </c>
      <c r="AK140" s="2">
        <f t="shared" si="374"/>
        <v>1.5748031496062995E-2</v>
      </c>
      <c r="AL140" s="8">
        <f t="shared" si="322"/>
        <v>1.8964118839618623E-2</v>
      </c>
      <c r="AM140" s="138">
        <f t="shared" si="375"/>
        <v>0.25</v>
      </c>
      <c r="AN140" s="12">
        <f t="shared" si="323"/>
        <v>1571.9209617109361</v>
      </c>
      <c r="AO140" s="138">
        <f>AM140</f>
        <v>0.25</v>
      </c>
      <c r="AP140" s="116">
        <f t="shared" si="377"/>
        <v>2175570</v>
      </c>
      <c r="AQ140" s="2">
        <f t="shared" si="378"/>
        <v>1.5748031496062995E-2</v>
      </c>
      <c r="AR140" s="8">
        <f t="shared" si="379"/>
        <v>8.0708663999999999</v>
      </c>
      <c r="AS140" s="116">
        <f t="shared" si="380"/>
        <v>2610.6840000000002</v>
      </c>
      <c r="AT140" s="217">
        <f t="shared" si="381"/>
        <v>0.24855040228399924</v>
      </c>
      <c r="AU140" s="207">
        <f t="shared" si="382"/>
        <v>2.8409516518085538</v>
      </c>
      <c r="AV140" s="144">
        <f t="shared" si="383"/>
        <v>14632.426761458426</v>
      </c>
      <c r="AW140" s="138">
        <f t="shared" si="384"/>
        <v>0.25</v>
      </c>
      <c r="AX140" s="116">
        <f t="shared" si="385"/>
        <v>2175570</v>
      </c>
      <c r="AY140" s="2">
        <f t="shared" si="386"/>
        <v>1.5748031496062995E-2</v>
      </c>
      <c r="AZ140" s="8">
        <f t="shared" si="387"/>
        <v>8.0708663999999999</v>
      </c>
      <c r="BA140" s="116">
        <f t="shared" si="388"/>
        <v>2610.6840000000002</v>
      </c>
      <c r="BB140" s="217">
        <f t="shared" si="389"/>
        <v>0.24855040228399924</v>
      </c>
      <c r="BC140" s="207">
        <f t="shared" si="390"/>
        <v>2.8409516518085538</v>
      </c>
      <c r="BD140" s="144">
        <f t="shared" si="391"/>
        <v>14632.426761458426</v>
      </c>
      <c r="BE140" s="138">
        <f t="shared" si="392"/>
        <v>0.25</v>
      </c>
      <c r="BF140" s="116">
        <f t="shared" si="393"/>
        <v>2175570</v>
      </c>
      <c r="BG140" s="2">
        <f t="shared" si="394"/>
        <v>1.5748031496062995E-2</v>
      </c>
      <c r="BH140" s="8">
        <f t="shared" si="395"/>
        <v>8.0708663999999999</v>
      </c>
      <c r="BI140" s="116">
        <f t="shared" si="396"/>
        <v>2610.6840000000002</v>
      </c>
      <c r="BJ140" s="217">
        <f t="shared" si="397"/>
        <v>0.24855040228399924</v>
      </c>
      <c r="BK140" s="207">
        <f t="shared" si="398"/>
        <v>2.8409516518085538</v>
      </c>
      <c r="BL140" s="144">
        <f t="shared" si="399"/>
        <v>14632.426761458426</v>
      </c>
      <c r="BM140" s="216">
        <f t="shared" si="400"/>
        <v>0.25</v>
      </c>
      <c r="BN140" s="216">
        <f t="shared" si="401"/>
        <v>2.3622047244094495E-2</v>
      </c>
      <c r="BO140" s="238">
        <f t="shared" si="402"/>
        <v>1.5748031496062995E-2</v>
      </c>
      <c r="BP140" s="216">
        <f t="shared" si="403"/>
        <v>0</v>
      </c>
      <c r="BQ140" s="138">
        <f t="shared" si="404"/>
        <v>0</v>
      </c>
      <c r="BR140" s="138">
        <f t="shared" si="405"/>
        <v>0</v>
      </c>
      <c r="BS140" s="238">
        <f t="shared" si="406"/>
        <v>0.25</v>
      </c>
      <c r="BT140" s="138">
        <f t="shared" si="407"/>
        <v>0</v>
      </c>
      <c r="BU140" s="138">
        <f t="shared" si="408"/>
        <v>0</v>
      </c>
      <c r="BV140" s="138">
        <f t="shared" si="409"/>
        <v>0</v>
      </c>
      <c r="BW140" s="238">
        <f t="shared" si="410"/>
        <v>0.25</v>
      </c>
      <c r="BX140" s="216">
        <f t="shared" si="411"/>
        <v>0</v>
      </c>
      <c r="BY140" s="138">
        <f t="shared" si="412"/>
        <v>0</v>
      </c>
      <c r="BZ140" s="138">
        <f t="shared" si="413"/>
        <v>0</v>
      </c>
      <c r="CA140" s="238">
        <f t="shared" si="414"/>
        <v>2.3622047244094495E-2</v>
      </c>
      <c r="CB140" s="138">
        <f t="shared" si="415"/>
        <v>0</v>
      </c>
      <c r="CC140" s="138">
        <f t="shared" si="416"/>
        <v>0</v>
      </c>
      <c r="CD140" s="138">
        <f t="shared" si="417"/>
        <v>0</v>
      </c>
      <c r="CE140" s="238">
        <f t="shared" si="418"/>
        <v>2.3622047244094495E-2</v>
      </c>
      <c r="CF140" s="216">
        <f t="shared" si="419"/>
        <v>0</v>
      </c>
      <c r="CG140" s="138">
        <f t="shared" si="420"/>
        <v>0</v>
      </c>
      <c r="CH140" s="138">
        <f t="shared" si="421"/>
        <v>0</v>
      </c>
      <c r="CI140" s="238">
        <f t="shared" si="422"/>
        <v>1.5748031496062995E-2</v>
      </c>
      <c r="CJ140" s="138">
        <f t="shared" si="423"/>
        <v>0</v>
      </c>
      <c r="CK140" s="138">
        <f t="shared" si="424"/>
        <v>0</v>
      </c>
      <c r="CL140" s="138">
        <f t="shared" si="425"/>
        <v>0</v>
      </c>
      <c r="CM140" s="238">
        <f t="shared" si="426"/>
        <v>1.5748031496062995E-2</v>
      </c>
      <c r="CN140" s="17">
        <f t="shared" si="427"/>
        <v>0.25</v>
      </c>
      <c r="CO140" s="17">
        <f t="shared" si="428"/>
        <v>2.3622047244094495E-2</v>
      </c>
      <c r="CP140" s="17">
        <f t="shared" si="429"/>
        <v>1.5748031496062995E-2</v>
      </c>
      <c r="CQ140" s="17">
        <f>$U140-IF('Inputs-Imperial'!$E$13,0,2)*($CO140+$CN140+$CP140)</f>
        <v>2.9055119039999999</v>
      </c>
      <c r="CR140" s="116">
        <f t="shared" si="430"/>
        <v>601.72109129254579</v>
      </c>
      <c r="CS140" s="8">
        <f t="shared" si="324"/>
        <v>1.5557675177174579E-2</v>
      </c>
      <c r="CT140" s="8">
        <f t="shared" si="431"/>
        <v>0.12473040999361214</v>
      </c>
      <c r="CU140" s="8">
        <f t="shared" si="325"/>
        <v>1.5557675177174579E-2</v>
      </c>
      <c r="CV140" s="8">
        <f t="shared" si="432"/>
        <v>0.12473040999361214</v>
      </c>
      <c r="CW140" s="216">
        <f t="shared" si="433"/>
        <v>2.780781494006388</v>
      </c>
      <c r="CX140" s="116">
        <f t="shared" si="434"/>
        <v>628.71095676039704</v>
      </c>
      <c r="CY140" s="8">
        <f t="shared" si="435"/>
        <v>1.6255506059456755E-2</v>
      </c>
      <c r="CZ140" s="8">
        <f t="shared" si="436"/>
        <v>0.12749708255272649</v>
      </c>
      <c r="DA140" s="8">
        <f t="shared" si="437"/>
        <v>1.6255506059456755E-2</v>
      </c>
      <c r="DB140" s="8">
        <f t="shared" si="438"/>
        <v>0.12749708255272649</v>
      </c>
      <c r="DC140" s="216">
        <f t="shared" si="439"/>
        <v>2.7780148214472735</v>
      </c>
      <c r="DD140" s="116">
        <f t="shared" si="440"/>
        <v>629.33710077455225</v>
      </c>
      <c r="DE140" s="8">
        <f t="shared" si="441"/>
        <v>1.6271695196462793E-2</v>
      </c>
      <c r="DF140" s="8">
        <f t="shared" si="442"/>
        <v>0.12756055501785335</v>
      </c>
      <c r="DG140" s="8">
        <f t="shared" si="443"/>
        <v>1.6271695196462793E-2</v>
      </c>
      <c r="DH140" s="8">
        <f t="shared" si="444"/>
        <v>0.12756055501785335</v>
      </c>
      <c r="DI140" s="216">
        <f t="shared" si="445"/>
        <v>2.777951348982147</v>
      </c>
      <c r="DJ140" s="116">
        <f t="shared" si="446"/>
        <v>629.35148028382491</v>
      </c>
      <c r="DK140" s="8">
        <f t="shared" si="447"/>
        <v>1.6272066982889608E-2</v>
      </c>
      <c r="DL140" s="8">
        <f t="shared" si="448"/>
        <v>0.1275620123033876</v>
      </c>
      <c r="DM140" s="8">
        <f t="shared" si="449"/>
        <v>1.6272066982889608E-2</v>
      </c>
      <c r="DN140" s="8">
        <f t="shared" si="450"/>
        <v>0.1275620123033876</v>
      </c>
      <c r="DO140" s="216">
        <f t="shared" si="451"/>
        <v>2.7779498916966121</v>
      </c>
      <c r="DP140" s="116">
        <f t="shared" si="452"/>
        <v>629.35181043549949</v>
      </c>
      <c r="DQ140" s="170">
        <f t="shared" si="453"/>
        <v>1.6272075519057922E-2</v>
      </c>
      <c r="DR140" s="8">
        <f t="shared" si="454"/>
        <v>0.12756204576227964</v>
      </c>
      <c r="DS140" s="8">
        <f t="shared" si="455"/>
        <v>1.6272075519057922E-2</v>
      </c>
      <c r="DT140" s="134">
        <f t="shared" si="456"/>
        <v>0.12756204576227964</v>
      </c>
      <c r="DU140" s="170">
        <f>MAX(DQ$140:DQ$149)</f>
        <v>1.6272075519057922E-2</v>
      </c>
      <c r="DV140" s="170">
        <f>MAX(DR$140:DR$149)</f>
        <v>0.12756204576227964</v>
      </c>
      <c r="DW140" s="170">
        <f>MAX(DS$140:DS$149)</f>
        <v>1.6272075519057922E-2</v>
      </c>
      <c r="DX140" s="272">
        <f>MAX(DT$140:DT$149)</f>
        <v>0.12756204576227964</v>
      </c>
      <c r="DY140" s="272">
        <f t="shared" si="457"/>
        <v>2.650387812475441</v>
      </c>
      <c r="DZ140" s="22">
        <f t="shared" si="326"/>
        <v>53.348957852768379</v>
      </c>
      <c r="EA140" s="216">
        <f t="shared" si="327"/>
        <v>3.4952015823341387E-3</v>
      </c>
      <c r="EB140" s="12">
        <f t="shared" si="458"/>
        <v>1</v>
      </c>
      <c r="EC140" s="7">
        <f>ROUND(MAX(DV140,DX140)/'Inputs-Imperial'!$E$21,0)</f>
        <v>1</v>
      </c>
      <c r="ED140" s="12">
        <f t="shared" si="459"/>
        <v>1</v>
      </c>
      <c r="EE140" s="2">
        <f t="shared" si="460"/>
        <v>2</v>
      </c>
      <c r="EF140" s="127">
        <f t="shared" si="461"/>
        <v>2</v>
      </c>
      <c r="EG140" s="2">
        <f t="shared" si="462"/>
        <v>1.5748031496062995E-2</v>
      </c>
      <c r="EH140" s="8">
        <f t="shared" si="328"/>
        <v>3.6782745110087271E-2</v>
      </c>
      <c r="EI140" s="138">
        <f t="shared" si="463"/>
        <v>0.25</v>
      </c>
      <c r="EJ140" s="12">
        <f t="shared" si="329"/>
        <v>3048.8929412857124</v>
      </c>
      <c r="EK140" s="138">
        <f t="shared" si="464"/>
        <v>0.25</v>
      </c>
      <c r="EL140" s="116">
        <f t="shared" si="465"/>
        <v>2175570</v>
      </c>
      <c r="EM140" s="2">
        <f t="shared" si="330"/>
        <v>1.5748031496062995E-2</v>
      </c>
      <c r="EN140" s="8">
        <f t="shared" si="466"/>
        <v>2.9055119039999999</v>
      </c>
      <c r="EO140" s="116">
        <f t="shared" si="467"/>
        <v>2610.6840000000002</v>
      </c>
      <c r="EP140" s="217">
        <f t="shared" si="468"/>
        <v>1.9178271781172782</v>
      </c>
      <c r="EQ140" s="207">
        <f t="shared" si="469"/>
        <v>2</v>
      </c>
      <c r="ER140" s="144">
        <f t="shared" si="470"/>
        <v>79483.596567730347</v>
      </c>
      <c r="ES140" s="138">
        <f t="shared" si="331"/>
        <v>0.25</v>
      </c>
      <c r="ET140" s="116">
        <f t="shared" si="471"/>
        <v>2175570</v>
      </c>
      <c r="EU140" s="2">
        <f t="shared" si="332"/>
        <v>1.5748031496062995E-2</v>
      </c>
      <c r="EV140" s="8">
        <f t="shared" si="472"/>
        <v>2.9055119039999999</v>
      </c>
      <c r="EW140" s="116">
        <f t="shared" si="473"/>
        <v>2610.6840000000002</v>
      </c>
      <c r="EX140" s="217">
        <f t="shared" si="474"/>
        <v>1.9178271781172782</v>
      </c>
      <c r="EY140" s="207">
        <f t="shared" si="475"/>
        <v>2</v>
      </c>
      <c r="EZ140" s="144">
        <f t="shared" si="476"/>
        <v>79483.596567730347</v>
      </c>
      <c r="FA140" s="138">
        <f t="shared" si="333"/>
        <v>0.25</v>
      </c>
      <c r="FB140" s="116">
        <f t="shared" si="477"/>
        <v>2175570</v>
      </c>
      <c r="FC140" s="2">
        <f t="shared" si="334"/>
        <v>1.5748031496062995E-2</v>
      </c>
      <c r="FD140" s="8">
        <f t="shared" si="478"/>
        <v>2.9055119039999999</v>
      </c>
      <c r="FE140" s="116">
        <f t="shared" si="479"/>
        <v>2610.6840000000002</v>
      </c>
      <c r="FF140" s="217">
        <f t="shared" si="480"/>
        <v>1.9178271781172782</v>
      </c>
      <c r="FG140" s="207">
        <f t="shared" si="481"/>
        <v>2</v>
      </c>
      <c r="FH140" s="144">
        <f t="shared" si="482"/>
        <v>79483.596567730347</v>
      </c>
      <c r="FI140" s="128">
        <f t="shared" si="483"/>
        <v>0.25</v>
      </c>
      <c r="FJ140" s="2">
        <f t="shared" si="484"/>
        <v>1.5748031496062995E-2</v>
      </c>
      <c r="FK140" s="127">
        <f t="shared" si="485"/>
        <v>1.5748031496062995E-2</v>
      </c>
      <c r="FL140" s="216">
        <f t="shared" si="486"/>
        <v>0</v>
      </c>
      <c r="FM140" s="138">
        <f t="shared" si="487"/>
        <v>0</v>
      </c>
      <c r="FN140" s="138">
        <f t="shared" si="488"/>
        <v>0</v>
      </c>
      <c r="FO140" s="238">
        <f t="shared" si="489"/>
        <v>0.25</v>
      </c>
      <c r="FP140" s="216">
        <f t="shared" si="335"/>
        <v>0</v>
      </c>
      <c r="FQ140" s="138">
        <f t="shared" si="336"/>
        <v>0</v>
      </c>
      <c r="FR140" s="138">
        <f t="shared" si="337"/>
        <v>0</v>
      </c>
      <c r="FS140" s="238">
        <f t="shared" si="338"/>
        <v>0.25</v>
      </c>
      <c r="FT140" s="216">
        <f t="shared" si="490"/>
        <v>0</v>
      </c>
      <c r="FU140" s="138">
        <f t="shared" si="491"/>
        <v>0</v>
      </c>
      <c r="FV140" s="138">
        <f t="shared" si="492"/>
        <v>0</v>
      </c>
      <c r="FW140" s="238">
        <f t="shared" si="493"/>
        <v>1.5748031496062995E-2</v>
      </c>
      <c r="FX140" s="216">
        <f t="shared" si="339"/>
        <v>0</v>
      </c>
      <c r="FY140" s="138">
        <f t="shared" si="340"/>
        <v>0</v>
      </c>
      <c r="FZ140" s="138">
        <f t="shared" si="341"/>
        <v>0</v>
      </c>
      <c r="GA140" s="238">
        <f t="shared" si="342"/>
        <v>1.5748031496062995E-2</v>
      </c>
      <c r="GB140" s="216">
        <f t="shared" si="494"/>
        <v>0</v>
      </c>
      <c r="GC140" s="138">
        <f t="shared" si="495"/>
        <v>0</v>
      </c>
      <c r="GD140" s="138">
        <f t="shared" si="496"/>
        <v>0</v>
      </c>
      <c r="GE140" s="238">
        <f t="shared" si="497"/>
        <v>1.5748031496062995E-2</v>
      </c>
      <c r="GF140" s="216">
        <f t="shared" si="343"/>
        <v>0</v>
      </c>
      <c r="GG140" s="138">
        <f t="shared" si="344"/>
        <v>0</v>
      </c>
      <c r="GH140" s="138">
        <f t="shared" si="345"/>
        <v>0</v>
      </c>
      <c r="GI140" s="238">
        <f t="shared" si="346"/>
        <v>1.5748031496062995E-2</v>
      </c>
      <c r="GJ140" s="216">
        <f t="shared" si="498"/>
        <v>0.25</v>
      </c>
      <c r="GK140" s="216">
        <f t="shared" si="499"/>
        <v>1.5748031496062995E-2</v>
      </c>
      <c r="GL140" s="17">
        <f t="shared" si="500"/>
        <v>1.5748031496062995E-2</v>
      </c>
      <c r="GM140" s="216">
        <f t="shared" si="347"/>
        <v>1.7181399423232128E-3</v>
      </c>
      <c r="GN140" s="2">
        <f t="shared" si="501"/>
        <v>1</v>
      </c>
      <c r="GO140" s="2">
        <f t="shared" si="502"/>
        <v>2</v>
      </c>
      <c r="GP140" s="142">
        <f t="shared" si="503"/>
        <v>2</v>
      </c>
      <c r="GQ140" s="2">
        <f t="shared" si="504"/>
        <v>1.5748031496062995E-2</v>
      </c>
      <c r="GR140" s="8">
        <f t="shared" si="348"/>
        <v>1.8081332956976531E-2</v>
      </c>
      <c r="GS140" s="138">
        <f t="shared" si="505"/>
        <v>0.25</v>
      </c>
      <c r="GT140" s="12">
        <f t="shared" si="349"/>
        <v>1498.7475311200792</v>
      </c>
      <c r="GU140" s="138">
        <f t="shared" si="506"/>
        <v>0.25</v>
      </c>
      <c r="GV140" s="116">
        <f t="shared" si="507"/>
        <v>2175570</v>
      </c>
      <c r="GW140" s="2">
        <f t="shared" si="350"/>
        <v>1.5748031496062995E-2</v>
      </c>
      <c r="GX140" s="8">
        <f t="shared" si="351"/>
        <v>1.452755952</v>
      </c>
      <c r="GY140" s="116">
        <f t="shared" si="508"/>
        <v>2610.6840000000002</v>
      </c>
      <c r="GZ140" s="217">
        <f t="shared" si="509"/>
        <v>7.6713087124691128</v>
      </c>
      <c r="HA140" s="207">
        <f t="shared" si="510"/>
        <v>2</v>
      </c>
      <c r="HB140" s="144">
        <f t="shared" si="511"/>
        <v>317934.38627092139</v>
      </c>
      <c r="HC140" s="138">
        <f t="shared" si="352"/>
        <v>0.25</v>
      </c>
      <c r="HD140" s="116">
        <f t="shared" si="512"/>
        <v>2175570</v>
      </c>
      <c r="HE140" s="2">
        <f t="shared" si="353"/>
        <v>1.5748031496062995E-2</v>
      </c>
      <c r="HF140" s="8">
        <f t="shared" si="513"/>
        <v>1.452755952</v>
      </c>
      <c r="HG140" s="116">
        <f t="shared" si="514"/>
        <v>2610.6840000000002</v>
      </c>
      <c r="HH140" s="217">
        <f t="shared" si="515"/>
        <v>7.6713087124691128</v>
      </c>
      <c r="HI140" s="207">
        <f t="shared" si="516"/>
        <v>2</v>
      </c>
      <c r="HJ140" s="144">
        <f t="shared" si="517"/>
        <v>317934.38627092139</v>
      </c>
      <c r="HK140" s="138">
        <f t="shared" si="354"/>
        <v>0.25</v>
      </c>
      <c r="HL140" s="116">
        <f t="shared" si="518"/>
        <v>2175570</v>
      </c>
      <c r="HM140" s="2">
        <f t="shared" si="355"/>
        <v>1.5748031496062995E-2</v>
      </c>
      <c r="HN140" s="8">
        <f t="shared" si="519"/>
        <v>1.452755952</v>
      </c>
      <c r="HO140" s="116">
        <f t="shared" si="520"/>
        <v>2610.6840000000002</v>
      </c>
      <c r="HP140" s="217">
        <f t="shared" si="521"/>
        <v>7.6713087124691128</v>
      </c>
      <c r="HQ140" s="207">
        <f t="shared" si="522"/>
        <v>2</v>
      </c>
      <c r="HR140" s="144">
        <f t="shared" si="523"/>
        <v>317934.38627092139</v>
      </c>
      <c r="HS140" s="128">
        <f t="shared" si="524"/>
        <v>0.25</v>
      </c>
      <c r="HT140" s="2">
        <f t="shared" si="525"/>
        <v>1.5748031496062995E-2</v>
      </c>
      <c r="HU140" s="127">
        <f t="shared" si="526"/>
        <v>1.5748031496062995E-2</v>
      </c>
      <c r="HV140" s="216">
        <f t="shared" si="527"/>
        <v>0</v>
      </c>
      <c r="HW140" s="138">
        <f t="shared" si="528"/>
        <v>0</v>
      </c>
      <c r="HX140" s="138">
        <f t="shared" si="529"/>
        <v>0</v>
      </c>
      <c r="HY140" s="238">
        <f t="shared" si="530"/>
        <v>0.25</v>
      </c>
      <c r="HZ140" s="138">
        <f t="shared" si="531"/>
        <v>0</v>
      </c>
      <c r="IA140" s="138">
        <f t="shared" si="532"/>
        <v>0</v>
      </c>
      <c r="IB140" s="138">
        <f t="shared" si="533"/>
        <v>0</v>
      </c>
      <c r="IC140" s="138">
        <f t="shared" si="534"/>
        <v>0.25</v>
      </c>
      <c r="ID140" s="216">
        <f t="shared" si="535"/>
        <v>0</v>
      </c>
      <c r="IE140" s="138">
        <f t="shared" si="536"/>
        <v>0</v>
      </c>
      <c r="IF140" s="138">
        <f t="shared" si="537"/>
        <v>0</v>
      </c>
      <c r="IG140" s="238">
        <f t="shared" si="538"/>
        <v>1.5748031496062995E-2</v>
      </c>
      <c r="IH140" s="138">
        <f t="shared" si="539"/>
        <v>0</v>
      </c>
      <c r="II140" s="138">
        <f t="shared" si="540"/>
        <v>0</v>
      </c>
      <c r="IJ140" s="138">
        <f t="shared" si="541"/>
        <v>0</v>
      </c>
      <c r="IK140" s="138">
        <f t="shared" si="542"/>
        <v>1.5748031496062995E-2</v>
      </c>
      <c r="IL140" s="216">
        <f t="shared" si="543"/>
        <v>0</v>
      </c>
      <c r="IM140" s="138">
        <f t="shared" si="544"/>
        <v>0</v>
      </c>
      <c r="IN140" s="138">
        <f t="shared" si="545"/>
        <v>0</v>
      </c>
      <c r="IO140" s="238">
        <f t="shared" si="546"/>
        <v>1.5748031496062995E-2</v>
      </c>
      <c r="IP140" s="138">
        <f t="shared" si="547"/>
        <v>0</v>
      </c>
      <c r="IQ140" s="138">
        <f t="shared" si="548"/>
        <v>0</v>
      </c>
      <c r="IR140" s="138">
        <f t="shared" si="549"/>
        <v>0</v>
      </c>
      <c r="IS140" s="138">
        <f t="shared" si="550"/>
        <v>1.5748031496062995E-2</v>
      </c>
      <c r="IT140" s="17">
        <f t="shared" si="551"/>
        <v>0.25</v>
      </c>
      <c r="IU140" s="17">
        <f t="shared" si="552"/>
        <v>1.5748031496062995E-2</v>
      </c>
      <c r="IV140" s="17">
        <f t="shared" si="553"/>
        <v>1.5748031496062995E-2</v>
      </c>
      <c r="IW140" s="253">
        <f t="shared" si="554"/>
        <v>8.0708663999999999</v>
      </c>
      <c r="IX140" s="116">
        <f t="shared" si="356"/>
        <v>21.661959286531648</v>
      </c>
      <c r="IY140" s="8">
        <f t="shared" si="357"/>
        <v>5.6007630637828478E-4</v>
      </c>
      <c r="IZ140" s="8">
        <f t="shared" si="555"/>
        <v>5.6007630637828478E-4</v>
      </c>
      <c r="JA140" s="8">
        <f t="shared" si="556"/>
        <v>2.8003815318914239E-4</v>
      </c>
      <c r="JB140" s="134">
        <f t="shared" si="557"/>
        <v>1.6734340536428149E-2</v>
      </c>
      <c r="JC140" s="170">
        <f>MAX(JA$140:JA$149)</f>
        <v>2.8003815318914239E-4</v>
      </c>
      <c r="JD140" s="272">
        <f>MAX(JB$140:JB$149)</f>
        <v>1.6734340536428149E-2</v>
      </c>
      <c r="JE140" s="8"/>
      <c r="JF140" s="8"/>
    </row>
    <row r="141" spans="1:266" x14ac:dyDescent="0.25">
      <c r="A141" s="186">
        <v>81</v>
      </c>
      <c r="B141" s="187">
        <f>A141/100*'Inputs-Imperial'!$E$5</f>
        <v>7.9724412000000004</v>
      </c>
      <c r="C141" s="188">
        <f>'Inputs-Imperial'!$E$10+('Inputs-Imperial'!$E$9-'Inputs-Imperial'!$E$10)*(100-A141)/100</f>
        <v>1.3353018799999998</v>
      </c>
      <c r="D141" s="187">
        <f t="shared" si="558"/>
        <v>9.8425199999999435E-2</v>
      </c>
      <c r="E141" s="188">
        <f t="shared" si="559"/>
        <v>0.13191173059912725</v>
      </c>
      <c r="F141" s="423">
        <f>Loads!P101</f>
        <v>14.547572095065064</v>
      </c>
      <c r="G141" s="423">
        <f>Loads!M101</f>
        <v>145.47572095065067</v>
      </c>
      <c r="H141" s="423">
        <f>Loads!N101</f>
        <v>130.43581642517145</v>
      </c>
      <c r="I141" s="423">
        <f>Loads!V101</f>
        <v>-83.852319210141957</v>
      </c>
      <c r="J141" s="423">
        <f>Loads!Q101</f>
        <v>13.043581642517145</v>
      </c>
      <c r="K141" s="2">
        <v>81</v>
      </c>
      <c r="L141" s="12">
        <f t="shared" si="358"/>
        <v>95.669294400000013</v>
      </c>
      <c r="M141" s="11">
        <f t="shared" si="359"/>
        <v>16.02362256</v>
      </c>
      <c r="N141" s="11">
        <f t="shared" si="360"/>
        <v>1.1811023999999932</v>
      </c>
      <c r="O141" s="152">
        <f t="shared" si="361"/>
        <v>18.995289206274325</v>
      </c>
      <c r="P141" s="151">
        <f t="shared" si="362"/>
        <v>14.547572095065064</v>
      </c>
      <c r="Q141" s="12">
        <f t="shared" si="363"/>
        <v>145.47572095065067</v>
      </c>
      <c r="R141" s="12">
        <f t="shared" si="364"/>
        <v>1565.2297971020575</v>
      </c>
      <c r="S141" s="12">
        <f t="shared" si="365"/>
        <v>-1006.2278305217035</v>
      </c>
      <c r="T141" s="152">
        <f t="shared" si="366"/>
        <v>156.52297971020573</v>
      </c>
      <c r="U141" s="8">
        <f t="shared" si="313"/>
        <v>2.8842520607999997</v>
      </c>
      <c r="V141" s="8">
        <f t="shared" si="314"/>
        <v>2.8842520607999997</v>
      </c>
      <c r="W141" s="134">
        <f t="shared" si="315"/>
        <v>1.4421260303999999</v>
      </c>
      <c r="X141" s="311">
        <f t="shared" si="316"/>
        <v>4.0059056399999999</v>
      </c>
      <c r="Y141" s="11">
        <f t="shared" si="317"/>
        <v>12.01771692</v>
      </c>
      <c r="Z141" s="11">
        <f t="shared" si="318"/>
        <v>8.0118112799999999</v>
      </c>
      <c r="AA141" s="316">
        <f t="shared" si="367"/>
        <v>12.01771692</v>
      </c>
      <c r="AB141" s="170">
        <f t="shared" si="368"/>
        <v>2.1631890455999998</v>
      </c>
      <c r="AC141" s="11">
        <f t="shared" si="369"/>
        <v>12.01771692</v>
      </c>
      <c r="AD141" s="152">
        <f t="shared" si="370"/>
        <v>20.417676863683283</v>
      </c>
      <c r="AE141" s="151">
        <f t="shared" si="319"/>
        <v>1.2105104648333707</v>
      </c>
      <c r="AF141" s="12">
        <f t="shared" si="320"/>
        <v>24.641094999193342</v>
      </c>
      <c r="AG141" s="216">
        <f t="shared" si="321"/>
        <v>1.693689548221517E-3</v>
      </c>
      <c r="AH141" s="2">
        <f t="shared" si="371"/>
        <v>1</v>
      </c>
      <c r="AI141" s="2">
        <f t="shared" si="372"/>
        <v>3</v>
      </c>
      <c r="AJ141" s="127">
        <f t="shared" si="373"/>
        <v>2</v>
      </c>
      <c r="AK141" s="2">
        <f t="shared" si="374"/>
        <v>1.5748031496062995E-2</v>
      </c>
      <c r="AL141" s="8">
        <f t="shared" si="322"/>
        <v>1.782402230038108E-2</v>
      </c>
      <c r="AM141" s="138">
        <f t="shared" si="375"/>
        <v>0.25</v>
      </c>
      <c r="AN141" s="12">
        <f t="shared" si="323"/>
        <v>1477.4192522691264</v>
      </c>
      <c r="AO141" s="138">
        <f t="shared" si="376"/>
        <v>0.25</v>
      </c>
      <c r="AP141" s="116">
        <f t="shared" si="377"/>
        <v>2175570</v>
      </c>
      <c r="AQ141" s="2">
        <f t="shared" si="378"/>
        <v>1.5748031496062995E-2</v>
      </c>
      <c r="AR141" s="8">
        <f t="shared" si="379"/>
        <v>8.0118112799999999</v>
      </c>
      <c r="AS141" s="116">
        <f t="shared" si="380"/>
        <v>2610.6840000000002</v>
      </c>
      <c r="AT141" s="217">
        <f t="shared" si="381"/>
        <v>0.25222804015683925</v>
      </c>
      <c r="AU141" s="207">
        <f t="shared" si="382"/>
        <v>2.8231608547126661</v>
      </c>
      <c r="AV141" s="144">
        <f t="shared" si="383"/>
        <v>14755.945236923561</v>
      </c>
      <c r="AW141" s="138">
        <f t="shared" si="384"/>
        <v>0.25</v>
      </c>
      <c r="AX141" s="116">
        <f t="shared" si="385"/>
        <v>2175570</v>
      </c>
      <c r="AY141" s="2">
        <f t="shared" si="386"/>
        <v>1.5748031496062995E-2</v>
      </c>
      <c r="AZ141" s="8">
        <f t="shared" si="387"/>
        <v>8.0118112799999999</v>
      </c>
      <c r="BA141" s="116">
        <f t="shared" si="388"/>
        <v>2610.6840000000002</v>
      </c>
      <c r="BB141" s="217">
        <f t="shared" si="389"/>
        <v>0.25222804015683925</v>
      </c>
      <c r="BC141" s="207">
        <f t="shared" si="390"/>
        <v>2.8231608547126661</v>
      </c>
      <c r="BD141" s="144">
        <f t="shared" si="391"/>
        <v>14755.945236923561</v>
      </c>
      <c r="BE141" s="138">
        <f t="shared" si="392"/>
        <v>0.25</v>
      </c>
      <c r="BF141" s="116">
        <f t="shared" si="393"/>
        <v>2175570</v>
      </c>
      <c r="BG141" s="2">
        <f t="shared" si="394"/>
        <v>1.5748031496062995E-2</v>
      </c>
      <c r="BH141" s="8">
        <f t="shared" si="395"/>
        <v>8.0118112799999999</v>
      </c>
      <c r="BI141" s="116">
        <f t="shared" si="396"/>
        <v>2610.6840000000002</v>
      </c>
      <c r="BJ141" s="217">
        <f t="shared" si="397"/>
        <v>0.25222804015683925</v>
      </c>
      <c r="BK141" s="207">
        <f t="shared" si="398"/>
        <v>2.8231608547126661</v>
      </c>
      <c r="BL141" s="144">
        <f t="shared" si="399"/>
        <v>14755.945236923561</v>
      </c>
      <c r="BM141" s="216">
        <f t="shared" si="400"/>
        <v>0.25</v>
      </c>
      <c r="BN141" s="216">
        <f t="shared" si="401"/>
        <v>2.3622047244094495E-2</v>
      </c>
      <c r="BO141" s="238">
        <f t="shared" si="402"/>
        <v>1.5748031496062995E-2</v>
      </c>
      <c r="BP141" s="216">
        <f t="shared" si="403"/>
        <v>0</v>
      </c>
      <c r="BQ141" s="138">
        <f t="shared" si="404"/>
        <v>0</v>
      </c>
      <c r="BR141" s="138">
        <f t="shared" si="405"/>
        <v>0</v>
      </c>
      <c r="BS141" s="238">
        <f t="shared" si="406"/>
        <v>0.25</v>
      </c>
      <c r="BT141" s="138">
        <f t="shared" si="407"/>
        <v>0</v>
      </c>
      <c r="BU141" s="138">
        <f t="shared" si="408"/>
        <v>0</v>
      </c>
      <c r="BV141" s="138">
        <f t="shared" si="409"/>
        <v>0</v>
      </c>
      <c r="BW141" s="238">
        <f t="shared" si="410"/>
        <v>0.25</v>
      </c>
      <c r="BX141" s="216">
        <f t="shared" si="411"/>
        <v>0</v>
      </c>
      <c r="BY141" s="138">
        <f t="shared" si="412"/>
        <v>0</v>
      </c>
      <c r="BZ141" s="138">
        <f t="shared" si="413"/>
        <v>0</v>
      </c>
      <c r="CA141" s="238">
        <f t="shared" si="414"/>
        <v>2.3622047244094495E-2</v>
      </c>
      <c r="CB141" s="138">
        <f t="shared" si="415"/>
        <v>0</v>
      </c>
      <c r="CC141" s="138">
        <f t="shared" si="416"/>
        <v>0</v>
      </c>
      <c r="CD141" s="138">
        <f t="shared" si="417"/>
        <v>0</v>
      </c>
      <c r="CE141" s="238">
        <f t="shared" si="418"/>
        <v>2.3622047244094495E-2</v>
      </c>
      <c r="CF141" s="216">
        <f t="shared" si="419"/>
        <v>0</v>
      </c>
      <c r="CG141" s="138">
        <f t="shared" si="420"/>
        <v>0</v>
      </c>
      <c r="CH141" s="138">
        <f t="shared" si="421"/>
        <v>0</v>
      </c>
      <c r="CI141" s="238">
        <f t="shared" si="422"/>
        <v>1.5748031496062995E-2</v>
      </c>
      <c r="CJ141" s="138">
        <f t="shared" si="423"/>
        <v>0</v>
      </c>
      <c r="CK141" s="138">
        <f t="shared" si="424"/>
        <v>0</v>
      </c>
      <c r="CL141" s="138">
        <f t="shared" si="425"/>
        <v>0</v>
      </c>
      <c r="CM141" s="238">
        <f t="shared" si="426"/>
        <v>1.5748031496062995E-2</v>
      </c>
      <c r="CN141" s="17">
        <f t="shared" si="427"/>
        <v>0.25</v>
      </c>
      <c r="CO141" s="17">
        <f t="shared" si="428"/>
        <v>2.3622047244094495E-2</v>
      </c>
      <c r="CP141" s="17">
        <f t="shared" si="429"/>
        <v>1.5748031496062995E-2</v>
      </c>
      <c r="CQ141" s="17">
        <f>$U141-IF('Inputs-Imperial'!$E$13,0,2)*($CO141+$CN141+$CP141)</f>
        <v>2.8842520607999997</v>
      </c>
      <c r="CR141" s="116">
        <f t="shared" si="430"/>
        <v>542.68134826881692</v>
      </c>
      <c r="CS141" s="8">
        <f t="shared" si="324"/>
        <v>1.4031185317007014E-2</v>
      </c>
      <c r="CT141" s="8">
        <f t="shared" si="431"/>
        <v>0.11845330437352525</v>
      </c>
      <c r="CU141" s="8">
        <f t="shared" si="325"/>
        <v>1.4031185317007014E-2</v>
      </c>
      <c r="CV141" s="8">
        <f t="shared" si="432"/>
        <v>0.11845330437352525</v>
      </c>
      <c r="CW141" s="216">
        <f t="shared" si="433"/>
        <v>2.7657987564264745</v>
      </c>
      <c r="CX141" s="116">
        <f t="shared" si="434"/>
        <v>565.92324132953138</v>
      </c>
      <c r="CY141" s="8">
        <f t="shared" si="435"/>
        <v>1.4632111274188437E-2</v>
      </c>
      <c r="CZ141" s="8">
        <f t="shared" si="436"/>
        <v>0.12096326415151187</v>
      </c>
      <c r="DA141" s="8">
        <f t="shared" si="437"/>
        <v>1.4632111274188437E-2</v>
      </c>
      <c r="DB141" s="8">
        <f t="shared" si="438"/>
        <v>0.12096326415151187</v>
      </c>
      <c r="DC141" s="216">
        <f t="shared" si="439"/>
        <v>2.7632887966484878</v>
      </c>
      <c r="DD141" s="116">
        <f t="shared" si="440"/>
        <v>566.43728263237597</v>
      </c>
      <c r="DE141" s="8">
        <f t="shared" si="441"/>
        <v>1.4645401962736729E-2</v>
      </c>
      <c r="DF141" s="8">
        <f t="shared" si="442"/>
        <v>0.12101818856162379</v>
      </c>
      <c r="DG141" s="8">
        <f t="shared" si="443"/>
        <v>1.4645401962736729E-2</v>
      </c>
      <c r="DH141" s="8">
        <f t="shared" si="444"/>
        <v>0.12101818856162379</v>
      </c>
      <c r="DI141" s="216">
        <f t="shared" si="445"/>
        <v>2.7632338722383762</v>
      </c>
      <c r="DJ141" s="116">
        <f t="shared" si="446"/>
        <v>566.44854162638524</v>
      </c>
      <c r="DK141" s="8">
        <f t="shared" si="447"/>
        <v>1.46456930673268E-2</v>
      </c>
      <c r="DL141" s="8">
        <f t="shared" si="448"/>
        <v>0.12101939128638352</v>
      </c>
      <c r="DM141" s="8">
        <f t="shared" si="449"/>
        <v>1.46456930673268E-2</v>
      </c>
      <c r="DN141" s="8">
        <f t="shared" si="450"/>
        <v>0.12101939128638352</v>
      </c>
      <c r="DO141" s="216">
        <f t="shared" si="451"/>
        <v>2.7632326695136165</v>
      </c>
      <c r="DP141" s="116">
        <f t="shared" si="452"/>
        <v>566.44878817879965</v>
      </c>
      <c r="DQ141" s="170">
        <f t="shared" si="453"/>
        <v>1.4645699442011738E-2</v>
      </c>
      <c r="DR141" s="8">
        <f t="shared" si="454"/>
        <v>0.12101941762383316</v>
      </c>
      <c r="DS141" s="8">
        <f t="shared" si="455"/>
        <v>1.4645699442011738E-2</v>
      </c>
      <c r="DT141" s="134">
        <f t="shared" si="456"/>
        <v>0.12101941762383316</v>
      </c>
      <c r="DU141" s="170">
        <f t="shared" ref="DU141:DX149" si="563">MAX(DQ$140:DQ$149)</f>
        <v>1.6272075519057922E-2</v>
      </c>
      <c r="DV141" s="170">
        <f t="shared" si="563"/>
        <v>0.12756204576227964</v>
      </c>
      <c r="DW141" s="170">
        <f t="shared" si="563"/>
        <v>1.6272075519057922E-2</v>
      </c>
      <c r="DX141" s="272">
        <f t="shared" si="563"/>
        <v>0.12756204576227964</v>
      </c>
      <c r="DY141" s="272">
        <f t="shared" si="457"/>
        <v>2.6291279692754408</v>
      </c>
      <c r="DZ141" s="22">
        <f t="shared" si="326"/>
        <v>50.437936034723791</v>
      </c>
      <c r="EA141" s="216">
        <f t="shared" si="327"/>
        <v>3.3044835538260961E-3</v>
      </c>
      <c r="EB141" s="12">
        <f t="shared" si="458"/>
        <v>1</v>
      </c>
      <c r="EC141" s="7">
        <f>ROUND(MAX(DV141,DX141)/'Inputs-Imperial'!$E$21,0)</f>
        <v>1</v>
      </c>
      <c r="ED141" s="12">
        <f t="shared" si="459"/>
        <v>1</v>
      </c>
      <c r="EE141" s="2">
        <f t="shared" si="460"/>
        <v>2</v>
      </c>
      <c r="EF141" s="127">
        <f t="shared" si="461"/>
        <v>2</v>
      </c>
      <c r="EG141" s="2">
        <f t="shared" si="462"/>
        <v>1.5748031496062995E-2</v>
      </c>
      <c r="EH141" s="8">
        <f t="shared" si="328"/>
        <v>3.4775669848400963E-2</v>
      </c>
      <c r="EI141" s="138">
        <f t="shared" si="463"/>
        <v>0.25</v>
      </c>
      <c r="EJ141" s="12">
        <f t="shared" si="329"/>
        <v>2882.528044384464</v>
      </c>
      <c r="EK141" s="138">
        <f t="shared" si="464"/>
        <v>0.25</v>
      </c>
      <c r="EL141" s="116">
        <f t="shared" si="465"/>
        <v>2175570</v>
      </c>
      <c r="EM141" s="2">
        <f t="shared" si="330"/>
        <v>1.5748031496062995E-2</v>
      </c>
      <c r="EN141" s="8">
        <f t="shared" si="466"/>
        <v>2.8842520607999997</v>
      </c>
      <c r="EO141" s="116">
        <f t="shared" si="467"/>
        <v>2610.6840000000002</v>
      </c>
      <c r="EP141" s="217">
        <f t="shared" si="468"/>
        <v>1.9462040135558589</v>
      </c>
      <c r="EQ141" s="207">
        <f t="shared" si="469"/>
        <v>2</v>
      </c>
      <c r="ER141" s="144">
        <f t="shared" si="470"/>
        <v>80659.66340295125</v>
      </c>
      <c r="ES141" s="138">
        <f t="shared" si="331"/>
        <v>0.25</v>
      </c>
      <c r="ET141" s="116">
        <f t="shared" si="471"/>
        <v>2175570</v>
      </c>
      <c r="EU141" s="2">
        <f t="shared" si="332"/>
        <v>1.5748031496062995E-2</v>
      </c>
      <c r="EV141" s="8">
        <f t="shared" si="472"/>
        <v>2.8842520607999997</v>
      </c>
      <c r="EW141" s="116">
        <f t="shared" si="473"/>
        <v>2610.6840000000002</v>
      </c>
      <c r="EX141" s="217">
        <f t="shared" si="474"/>
        <v>1.9462040135558589</v>
      </c>
      <c r="EY141" s="207">
        <f t="shared" si="475"/>
        <v>2</v>
      </c>
      <c r="EZ141" s="144">
        <f t="shared" si="476"/>
        <v>80659.66340295125</v>
      </c>
      <c r="FA141" s="138">
        <f t="shared" si="333"/>
        <v>0.25</v>
      </c>
      <c r="FB141" s="116">
        <f t="shared" si="477"/>
        <v>2175570</v>
      </c>
      <c r="FC141" s="2">
        <f t="shared" si="334"/>
        <v>1.5748031496062995E-2</v>
      </c>
      <c r="FD141" s="8">
        <f t="shared" si="478"/>
        <v>2.8842520607999997</v>
      </c>
      <c r="FE141" s="116">
        <f t="shared" si="479"/>
        <v>2610.6840000000002</v>
      </c>
      <c r="FF141" s="217">
        <f t="shared" si="480"/>
        <v>1.9462040135558589</v>
      </c>
      <c r="FG141" s="207">
        <f t="shared" si="481"/>
        <v>2</v>
      </c>
      <c r="FH141" s="144">
        <f t="shared" si="482"/>
        <v>80659.66340295125</v>
      </c>
      <c r="FI141" s="128">
        <f t="shared" si="483"/>
        <v>0.25</v>
      </c>
      <c r="FJ141" s="2">
        <f t="shared" si="484"/>
        <v>1.5748031496062995E-2</v>
      </c>
      <c r="FK141" s="127">
        <f t="shared" si="485"/>
        <v>1.5748031496062995E-2</v>
      </c>
      <c r="FL141" s="216">
        <f t="shared" si="486"/>
        <v>0</v>
      </c>
      <c r="FM141" s="138">
        <f t="shared" si="487"/>
        <v>0</v>
      </c>
      <c r="FN141" s="138">
        <f t="shared" si="488"/>
        <v>0</v>
      </c>
      <c r="FO141" s="238">
        <f t="shared" si="489"/>
        <v>0.25</v>
      </c>
      <c r="FP141" s="216">
        <f t="shared" si="335"/>
        <v>0</v>
      </c>
      <c r="FQ141" s="138">
        <f t="shared" si="336"/>
        <v>0</v>
      </c>
      <c r="FR141" s="138">
        <f t="shared" si="337"/>
        <v>0</v>
      </c>
      <c r="FS141" s="238">
        <f t="shared" si="338"/>
        <v>0.25</v>
      </c>
      <c r="FT141" s="216">
        <f t="shared" si="490"/>
        <v>0</v>
      </c>
      <c r="FU141" s="138">
        <f t="shared" si="491"/>
        <v>0</v>
      </c>
      <c r="FV141" s="138">
        <f t="shared" si="492"/>
        <v>0</v>
      </c>
      <c r="FW141" s="238">
        <f t="shared" si="493"/>
        <v>1.5748031496062995E-2</v>
      </c>
      <c r="FX141" s="216">
        <f t="shared" si="339"/>
        <v>0</v>
      </c>
      <c r="FY141" s="138">
        <f t="shared" si="340"/>
        <v>0</v>
      </c>
      <c r="FZ141" s="138">
        <f t="shared" si="341"/>
        <v>0</v>
      </c>
      <c r="GA141" s="238">
        <f t="shared" si="342"/>
        <v>1.5748031496062995E-2</v>
      </c>
      <c r="GB141" s="216">
        <f t="shared" si="494"/>
        <v>0</v>
      </c>
      <c r="GC141" s="138">
        <f t="shared" si="495"/>
        <v>0</v>
      </c>
      <c r="GD141" s="138">
        <f t="shared" si="496"/>
        <v>0</v>
      </c>
      <c r="GE141" s="238">
        <f t="shared" si="497"/>
        <v>1.5748031496062995E-2</v>
      </c>
      <c r="GF141" s="216">
        <f t="shared" si="343"/>
        <v>0</v>
      </c>
      <c r="GG141" s="138">
        <f t="shared" si="344"/>
        <v>0</v>
      </c>
      <c r="GH141" s="138">
        <f t="shared" si="345"/>
        <v>0</v>
      </c>
      <c r="GI141" s="238">
        <f t="shared" si="346"/>
        <v>1.5748031496062995E-2</v>
      </c>
      <c r="GJ141" s="216">
        <f t="shared" si="498"/>
        <v>0.25</v>
      </c>
      <c r="GK141" s="216">
        <f t="shared" si="499"/>
        <v>1.5748031496062995E-2</v>
      </c>
      <c r="GL141" s="17">
        <f t="shared" si="500"/>
        <v>1.5748031496062995E-2</v>
      </c>
      <c r="GM141" s="216">
        <f t="shared" si="347"/>
        <v>1.6143819429296909E-3</v>
      </c>
      <c r="GN141" s="2">
        <f t="shared" si="501"/>
        <v>1</v>
      </c>
      <c r="GO141" s="2">
        <f t="shared" si="502"/>
        <v>2</v>
      </c>
      <c r="GP141" s="142">
        <f t="shared" si="503"/>
        <v>2</v>
      </c>
      <c r="GQ141" s="2">
        <f t="shared" si="504"/>
        <v>1.5748031496062995E-2</v>
      </c>
      <c r="GR141" s="8">
        <f t="shared" si="348"/>
        <v>1.6989406224019458E-2</v>
      </c>
      <c r="GS141" s="138">
        <f t="shared" si="505"/>
        <v>0.25</v>
      </c>
      <c r="GT141" s="12">
        <f t="shared" si="349"/>
        <v>1408.2385792038992</v>
      </c>
      <c r="GU141" s="138">
        <f t="shared" si="506"/>
        <v>0.25</v>
      </c>
      <c r="GV141" s="116">
        <f t="shared" si="507"/>
        <v>2175570</v>
      </c>
      <c r="GW141" s="2">
        <f t="shared" si="350"/>
        <v>1.5748031496062995E-2</v>
      </c>
      <c r="GX141" s="8">
        <f t="shared" si="351"/>
        <v>1.4421260303999999</v>
      </c>
      <c r="GY141" s="116">
        <f t="shared" si="508"/>
        <v>2610.6840000000002</v>
      </c>
      <c r="GZ141" s="217">
        <f t="shared" si="509"/>
        <v>7.7848160542234357</v>
      </c>
      <c r="HA141" s="207">
        <f t="shared" si="510"/>
        <v>2</v>
      </c>
      <c r="HB141" s="144">
        <f t="shared" si="511"/>
        <v>322638.653611805</v>
      </c>
      <c r="HC141" s="138">
        <f t="shared" si="352"/>
        <v>0.25</v>
      </c>
      <c r="HD141" s="116">
        <f t="shared" si="512"/>
        <v>2175570</v>
      </c>
      <c r="HE141" s="2">
        <f t="shared" si="353"/>
        <v>1.5748031496062995E-2</v>
      </c>
      <c r="HF141" s="8">
        <f t="shared" si="513"/>
        <v>1.4421260303999999</v>
      </c>
      <c r="HG141" s="116">
        <f t="shared" si="514"/>
        <v>2610.6840000000002</v>
      </c>
      <c r="HH141" s="217">
        <f t="shared" si="515"/>
        <v>7.7848160542234357</v>
      </c>
      <c r="HI141" s="207">
        <f t="shared" si="516"/>
        <v>2</v>
      </c>
      <c r="HJ141" s="144">
        <f t="shared" si="517"/>
        <v>322638.653611805</v>
      </c>
      <c r="HK141" s="138">
        <f t="shared" si="354"/>
        <v>0.25</v>
      </c>
      <c r="HL141" s="116">
        <f t="shared" si="518"/>
        <v>2175570</v>
      </c>
      <c r="HM141" s="2">
        <f t="shared" si="355"/>
        <v>1.5748031496062995E-2</v>
      </c>
      <c r="HN141" s="8">
        <f t="shared" si="519"/>
        <v>1.4421260303999999</v>
      </c>
      <c r="HO141" s="116">
        <f t="shared" si="520"/>
        <v>2610.6840000000002</v>
      </c>
      <c r="HP141" s="217">
        <f t="shared" si="521"/>
        <v>7.7848160542234357</v>
      </c>
      <c r="HQ141" s="207">
        <f t="shared" si="522"/>
        <v>2</v>
      </c>
      <c r="HR141" s="144">
        <f t="shared" si="523"/>
        <v>322638.653611805</v>
      </c>
      <c r="HS141" s="128">
        <f t="shared" si="524"/>
        <v>0.25</v>
      </c>
      <c r="HT141" s="2">
        <f t="shared" si="525"/>
        <v>1.5748031496062995E-2</v>
      </c>
      <c r="HU141" s="127">
        <f t="shared" si="526"/>
        <v>1.5748031496062995E-2</v>
      </c>
      <c r="HV141" s="216">
        <f t="shared" si="527"/>
        <v>0</v>
      </c>
      <c r="HW141" s="138">
        <f t="shared" si="528"/>
        <v>0</v>
      </c>
      <c r="HX141" s="138">
        <f t="shared" si="529"/>
        <v>0</v>
      </c>
      <c r="HY141" s="238">
        <f t="shared" si="530"/>
        <v>0.25</v>
      </c>
      <c r="HZ141" s="138">
        <f t="shared" si="531"/>
        <v>0</v>
      </c>
      <c r="IA141" s="138">
        <f t="shared" si="532"/>
        <v>0</v>
      </c>
      <c r="IB141" s="138">
        <f t="shared" si="533"/>
        <v>0</v>
      </c>
      <c r="IC141" s="138">
        <f t="shared" si="534"/>
        <v>0.25</v>
      </c>
      <c r="ID141" s="216">
        <f t="shared" si="535"/>
        <v>0</v>
      </c>
      <c r="IE141" s="138">
        <f t="shared" si="536"/>
        <v>0</v>
      </c>
      <c r="IF141" s="138">
        <f t="shared" si="537"/>
        <v>0</v>
      </c>
      <c r="IG141" s="238">
        <f t="shared" si="538"/>
        <v>1.5748031496062995E-2</v>
      </c>
      <c r="IH141" s="138">
        <f t="shared" si="539"/>
        <v>0</v>
      </c>
      <c r="II141" s="138">
        <f t="shared" si="540"/>
        <v>0</v>
      </c>
      <c r="IJ141" s="138">
        <f t="shared" si="541"/>
        <v>0</v>
      </c>
      <c r="IK141" s="138">
        <f t="shared" si="542"/>
        <v>1.5748031496062995E-2</v>
      </c>
      <c r="IL141" s="216">
        <f t="shared" si="543"/>
        <v>0</v>
      </c>
      <c r="IM141" s="138">
        <f t="shared" si="544"/>
        <v>0</v>
      </c>
      <c r="IN141" s="138">
        <f t="shared" si="545"/>
        <v>0</v>
      </c>
      <c r="IO141" s="238">
        <f t="shared" si="546"/>
        <v>1.5748031496062995E-2</v>
      </c>
      <c r="IP141" s="138">
        <f t="shared" si="547"/>
        <v>0</v>
      </c>
      <c r="IQ141" s="138">
        <f t="shared" si="548"/>
        <v>0</v>
      </c>
      <c r="IR141" s="138">
        <f t="shared" si="549"/>
        <v>0</v>
      </c>
      <c r="IS141" s="138">
        <f t="shared" si="550"/>
        <v>1.5748031496062995E-2</v>
      </c>
      <c r="IT141" s="17">
        <f t="shared" si="551"/>
        <v>0.25</v>
      </c>
      <c r="IU141" s="17">
        <f t="shared" si="552"/>
        <v>1.5748031496062995E-2</v>
      </c>
      <c r="IV141" s="17">
        <f t="shared" si="553"/>
        <v>1.5748031496062995E-2</v>
      </c>
      <c r="IW141" s="253">
        <f t="shared" si="554"/>
        <v>8.0118112799999999</v>
      </c>
      <c r="IX141" s="116">
        <f t="shared" si="356"/>
        <v>19.536528537677405</v>
      </c>
      <c r="IY141" s="8">
        <f t="shared" si="357"/>
        <v>5.0512267141225239E-4</v>
      </c>
      <c r="IZ141" s="8">
        <f t="shared" si="555"/>
        <v>5.0512267141225239E-4</v>
      </c>
      <c r="JA141" s="8">
        <f t="shared" si="556"/>
        <v>2.525613357061262E-4</v>
      </c>
      <c r="JB141" s="134">
        <f t="shared" si="557"/>
        <v>1.5892178444320532E-2</v>
      </c>
      <c r="JC141" s="170">
        <f t="shared" ref="JC141:JC149" si="564">MAX(JA$140:JA$149)</f>
        <v>2.8003815318914239E-4</v>
      </c>
      <c r="JD141" s="272">
        <f t="shared" ref="JD141:JD149" si="565">MAX(JB$140:JB$149)</f>
        <v>1.6734340536428149E-2</v>
      </c>
      <c r="JE141" s="8"/>
      <c r="JF141" s="8"/>
    </row>
    <row r="142" spans="1:266" x14ac:dyDescent="0.25">
      <c r="A142" s="186">
        <v>82</v>
      </c>
      <c r="B142" s="187">
        <f>A142/100*'Inputs-Imperial'!$E$5</f>
        <v>8.0708663999999999</v>
      </c>
      <c r="C142" s="188">
        <f>'Inputs-Imperial'!$E$10+('Inputs-Imperial'!$E$9-'Inputs-Imperial'!$E$10)*(100-A142)/100</f>
        <v>1.32545936</v>
      </c>
      <c r="D142" s="187">
        <f t="shared" si="558"/>
        <v>9.8425199999999435E-2</v>
      </c>
      <c r="E142" s="188">
        <f t="shared" si="559"/>
        <v>0.13094297859962323</v>
      </c>
      <c r="F142" s="423">
        <f>Loads!P102</f>
        <v>13.608842118548246</v>
      </c>
      <c r="G142" s="423">
        <f>Loads!M102</f>
        <v>136.08842118548247</v>
      </c>
      <c r="H142" s="423">
        <f>Loads!N102</f>
        <v>116.11733949545956</v>
      </c>
      <c r="I142" s="423">
        <f>Loads!V102</f>
        <v>-77.34453241806267</v>
      </c>
      <c r="J142" s="423">
        <f>Loads!Q102</f>
        <v>11.611733949545956</v>
      </c>
      <c r="K142" s="2">
        <v>82</v>
      </c>
      <c r="L142" s="12">
        <f t="shared" si="358"/>
        <v>96.850396799999999</v>
      </c>
      <c r="M142" s="11">
        <f t="shared" si="359"/>
        <v>15.90551232</v>
      </c>
      <c r="N142" s="11">
        <f t="shared" si="360"/>
        <v>1.1811023999999932</v>
      </c>
      <c r="O142" s="152">
        <f t="shared" si="361"/>
        <v>18.855788918345745</v>
      </c>
      <c r="P142" s="151">
        <f t="shared" si="362"/>
        <v>13.608842118548246</v>
      </c>
      <c r="Q142" s="12">
        <f t="shared" si="363"/>
        <v>136.08842118548247</v>
      </c>
      <c r="R142" s="12">
        <f t="shared" si="364"/>
        <v>1393.4080739455148</v>
      </c>
      <c r="S142" s="12">
        <f t="shared" si="365"/>
        <v>-928.13438901675204</v>
      </c>
      <c r="T142" s="152">
        <f t="shared" si="366"/>
        <v>139.34080739455146</v>
      </c>
      <c r="U142" s="8">
        <f t="shared" si="313"/>
        <v>2.8629922176</v>
      </c>
      <c r="V142" s="8">
        <f t="shared" si="314"/>
        <v>2.8629922176</v>
      </c>
      <c r="W142" s="134">
        <f t="shared" si="315"/>
        <v>1.4314961088</v>
      </c>
      <c r="X142" s="311">
        <f t="shared" si="316"/>
        <v>3.9763780799999999</v>
      </c>
      <c r="Y142" s="11">
        <f t="shared" si="317"/>
        <v>11.92913424</v>
      </c>
      <c r="Z142" s="11">
        <f t="shared" si="318"/>
        <v>7.9527561599999999</v>
      </c>
      <c r="AA142" s="316">
        <f t="shared" si="367"/>
        <v>11.92913424</v>
      </c>
      <c r="AB142" s="170">
        <f t="shared" si="368"/>
        <v>2.1472441631999999</v>
      </c>
      <c r="AC142" s="11">
        <f t="shared" si="369"/>
        <v>11.92913424</v>
      </c>
      <c r="AD142" s="152">
        <f t="shared" si="370"/>
        <v>20.117788498469238</v>
      </c>
      <c r="AE142" s="151">
        <f t="shared" si="319"/>
        <v>1.1408071905935939</v>
      </c>
      <c r="AF142" s="12">
        <f t="shared" si="320"/>
        <v>23.067505384286491</v>
      </c>
      <c r="AG142" s="216">
        <f t="shared" si="321"/>
        <v>1.5860278405226539E-3</v>
      </c>
      <c r="AH142" s="2">
        <f t="shared" si="371"/>
        <v>1</v>
      </c>
      <c r="AI142" s="2">
        <f t="shared" si="372"/>
        <v>3</v>
      </c>
      <c r="AJ142" s="127">
        <f t="shared" si="373"/>
        <v>2</v>
      </c>
      <c r="AK142" s="2">
        <f t="shared" si="374"/>
        <v>1.5748031496062995E-2</v>
      </c>
      <c r="AL142" s="8">
        <f t="shared" si="322"/>
        <v>1.6691013785959601E-2</v>
      </c>
      <c r="AM142" s="138">
        <f t="shared" si="375"/>
        <v>0.25</v>
      </c>
      <c r="AN142" s="12">
        <f t="shared" si="323"/>
        <v>1383.5050636543967</v>
      </c>
      <c r="AO142" s="138">
        <f t="shared" si="376"/>
        <v>0.25</v>
      </c>
      <c r="AP142" s="116">
        <f t="shared" si="377"/>
        <v>2175570</v>
      </c>
      <c r="AQ142" s="2">
        <f t="shared" si="378"/>
        <v>1.5748031496062995E-2</v>
      </c>
      <c r="AR142" s="8">
        <f t="shared" si="379"/>
        <v>7.9527561599999999</v>
      </c>
      <c r="AS142" s="116">
        <f t="shared" si="380"/>
        <v>2610.6840000000002</v>
      </c>
      <c r="AT142" s="217">
        <f t="shared" si="381"/>
        <v>0.25598790942027905</v>
      </c>
      <c r="AU142" s="207">
        <f t="shared" si="382"/>
        <v>2.8051672711822482</v>
      </c>
      <c r="AV142" s="144">
        <f t="shared" si="383"/>
        <v>14880.45677467612</v>
      </c>
      <c r="AW142" s="138">
        <f t="shared" si="384"/>
        <v>0.25</v>
      </c>
      <c r="AX142" s="116">
        <f t="shared" si="385"/>
        <v>2175570</v>
      </c>
      <c r="AY142" s="2">
        <f t="shared" si="386"/>
        <v>1.5748031496062995E-2</v>
      </c>
      <c r="AZ142" s="8">
        <f t="shared" si="387"/>
        <v>7.9527561599999999</v>
      </c>
      <c r="BA142" s="116">
        <f t="shared" si="388"/>
        <v>2610.6840000000002</v>
      </c>
      <c r="BB142" s="217">
        <f t="shared" si="389"/>
        <v>0.25598790942027905</v>
      </c>
      <c r="BC142" s="207">
        <f t="shared" si="390"/>
        <v>2.8051672711822482</v>
      </c>
      <c r="BD142" s="144">
        <f t="shared" si="391"/>
        <v>14880.45677467612</v>
      </c>
      <c r="BE142" s="138">
        <f t="shared" si="392"/>
        <v>0.25</v>
      </c>
      <c r="BF142" s="116">
        <f t="shared" si="393"/>
        <v>2175570</v>
      </c>
      <c r="BG142" s="2">
        <f t="shared" si="394"/>
        <v>1.5748031496062995E-2</v>
      </c>
      <c r="BH142" s="8">
        <f t="shared" si="395"/>
        <v>7.9527561599999999</v>
      </c>
      <c r="BI142" s="116">
        <f t="shared" si="396"/>
        <v>2610.6840000000002</v>
      </c>
      <c r="BJ142" s="217">
        <f t="shared" si="397"/>
        <v>0.25598790942027905</v>
      </c>
      <c r="BK142" s="207">
        <f t="shared" si="398"/>
        <v>2.8051672711822482</v>
      </c>
      <c r="BL142" s="144">
        <f t="shared" si="399"/>
        <v>14880.45677467612</v>
      </c>
      <c r="BM142" s="216">
        <f t="shared" si="400"/>
        <v>0.25</v>
      </c>
      <c r="BN142" s="216">
        <f t="shared" si="401"/>
        <v>2.3622047244094495E-2</v>
      </c>
      <c r="BO142" s="238">
        <f t="shared" si="402"/>
        <v>1.5748031496062995E-2</v>
      </c>
      <c r="BP142" s="216">
        <f t="shared" si="403"/>
        <v>0</v>
      </c>
      <c r="BQ142" s="138">
        <f t="shared" si="404"/>
        <v>0</v>
      </c>
      <c r="BR142" s="138">
        <f t="shared" si="405"/>
        <v>0</v>
      </c>
      <c r="BS142" s="238">
        <f t="shared" si="406"/>
        <v>0.25</v>
      </c>
      <c r="BT142" s="138">
        <f t="shared" si="407"/>
        <v>0</v>
      </c>
      <c r="BU142" s="138">
        <f t="shared" si="408"/>
        <v>0</v>
      </c>
      <c r="BV142" s="138">
        <f t="shared" si="409"/>
        <v>0</v>
      </c>
      <c r="BW142" s="238">
        <f t="shared" si="410"/>
        <v>0.25</v>
      </c>
      <c r="BX142" s="216">
        <f t="shared" si="411"/>
        <v>0</v>
      </c>
      <c r="BY142" s="138">
        <f t="shared" si="412"/>
        <v>0</v>
      </c>
      <c r="BZ142" s="138">
        <f t="shared" si="413"/>
        <v>0</v>
      </c>
      <c r="CA142" s="238">
        <f t="shared" si="414"/>
        <v>2.3622047244094495E-2</v>
      </c>
      <c r="CB142" s="138">
        <f t="shared" si="415"/>
        <v>0</v>
      </c>
      <c r="CC142" s="138">
        <f t="shared" si="416"/>
        <v>0</v>
      </c>
      <c r="CD142" s="138">
        <f t="shared" si="417"/>
        <v>0</v>
      </c>
      <c r="CE142" s="238">
        <f t="shared" si="418"/>
        <v>2.3622047244094495E-2</v>
      </c>
      <c r="CF142" s="216">
        <f t="shared" si="419"/>
        <v>0</v>
      </c>
      <c r="CG142" s="138">
        <f t="shared" si="420"/>
        <v>0</v>
      </c>
      <c r="CH142" s="138">
        <f t="shared" si="421"/>
        <v>0</v>
      </c>
      <c r="CI142" s="238">
        <f t="shared" si="422"/>
        <v>1.5748031496062995E-2</v>
      </c>
      <c r="CJ142" s="138">
        <f t="shared" si="423"/>
        <v>0</v>
      </c>
      <c r="CK142" s="138">
        <f t="shared" si="424"/>
        <v>0</v>
      </c>
      <c r="CL142" s="138">
        <f t="shared" si="425"/>
        <v>0</v>
      </c>
      <c r="CM142" s="238">
        <f t="shared" si="426"/>
        <v>1.5748031496062995E-2</v>
      </c>
      <c r="CN142" s="17">
        <f t="shared" si="427"/>
        <v>0.25</v>
      </c>
      <c r="CO142" s="17">
        <f t="shared" si="428"/>
        <v>2.3622047244094495E-2</v>
      </c>
      <c r="CP142" s="17">
        <f t="shared" si="429"/>
        <v>1.5748031496062995E-2</v>
      </c>
      <c r="CQ142" s="17">
        <f>$U142-IF('Inputs-Imperial'!$E$13,0,2)*($CO142+$CN142+$CP142)</f>
        <v>2.8629922176</v>
      </c>
      <c r="CR142" s="116">
        <f t="shared" si="430"/>
        <v>486.69642389513245</v>
      </c>
      <c r="CS142" s="8">
        <f t="shared" si="324"/>
        <v>1.2583678688390261E-2</v>
      </c>
      <c r="CT142" s="8">
        <f t="shared" si="431"/>
        <v>0.11217699714464753</v>
      </c>
      <c r="CU142" s="8">
        <f t="shared" si="325"/>
        <v>1.2583678688390261E-2</v>
      </c>
      <c r="CV142" s="8">
        <f t="shared" si="432"/>
        <v>0.11217699714464753</v>
      </c>
      <c r="CW142" s="216">
        <f t="shared" si="433"/>
        <v>2.7508152204553524</v>
      </c>
      <c r="CX142" s="116">
        <f t="shared" si="434"/>
        <v>506.54368333575633</v>
      </c>
      <c r="CY142" s="8">
        <f t="shared" si="435"/>
        <v>1.3096835398372055E-2</v>
      </c>
      <c r="CZ142" s="8">
        <f t="shared" si="436"/>
        <v>0.11444140596118196</v>
      </c>
      <c r="DA142" s="8">
        <f t="shared" si="437"/>
        <v>1.3096835398372055E-2</v>
      </c>
      <c r="DB142" s="8">
        <f t="shared" si="438"/>
        <v>0.11444140596118196</v>
      </c>
      <c r="DC142" s="216">
        <f t="shared" si="439"/>
        <v>2.7485508116388178</v>
      </c>
      <c r="DD142" s="116">
        <f t="shared" si="440"/>
        <v>506.96100215615013</v>
      </c>
      <c r="DE142" s="8">
        <f t="shared" si="441"/>
        <v>1.3107625298787647E-2</v>
      </c>
      <c r="DF142" s="8">
        <f t="shared" si="442"/>
        <v>0.11448853784893773</v>
      </c>
      <c r="DG142" s="8">
        <f t="shared" si="443"/>
        <v>1.3107625298787647E-2</v>
      </c>
      <c r="DH142" s="8">
        <f t="shared" si="444"/>
        <v>0.11448853784893773</v>
      </c>
      <c r="DI142" s="216">
        <f t="shared" si="445"/>
        <v>2.7485036797510625</v>
      </c>
      <c r="DJ142" s="116">
        <f t="shared" si="446"/>
        <v>506.9696956242455</v>
      </c>
      <c r="DK142" s="8">
        <f t="shared" si="447"/>
        <v>1.310785007095327E-2</v>
      </c>
      <c r="DL142" s="8">
        <f t="shared" si="448"/>
        <v>0.11448951948083838</v>
      </c>
      <c r="DM142" s="8">
        <f t="shared" si="449"/>
        <v>1.310785007095327E-2</v>
      </c>
      <c r="DN142" s="8">
        <f t="shared" si="450"/>
        <v>0.11448951948083838</v>
      </c>
      <c r="DO142" s="216">
        <f t="shared" si="451"/>
        <v>2.7485026981191614</v>
      </c>
      <c r="DP142" s="116">
        <f t="shared" si="452"/>
        <v>506.96987668924004</v>
      </c>
      <c r="DQ142" s="170">
        <f t="shared" si="453"/>
        <v>1.3107854752441774E-2</v>
      </c>
      <c r="DR142" s="8">
        <f t="shared" si="454"/>
        <v>0.11448953992588919</v>
      </c>
      <c r="DS142" s="8">
        <f t="shared" si="455"/>
        <v>1.3107854752441774E-2</v>
      </c>
      <c r="DT142" s="134">
        <f t="shared" si="456"/>
        <v>0.11448953992588919</v>
      </c>
      <c r="DU142" s="170">
        <f t="shared" si="563"/>
        <v>1.6272075519057922E-2</v>
      </c>
      <c r="DV142" s="170">
        <f t="shared" si="563"/>
        <v>0.12756204576227964</v>
      </c>
      <c r="DW142" s="170">
        <f t="shared" si="563"/>
        <v>1.6272075519057922E-2</v>
      </c>
      <c r="DX142" s="272">
        <f t="shared" si="563"/>
        <v>0.12756204576227964</v>
      </c>
      <c r="DY142" s="272">
        <f t="shared" si="457"/>
        <v>2.6078681260754411</v>
      </c>
      <c r="DZ142" s="22">
        <f t="shared" si="326"/>
        <v>47.533632941399745</v>
      </c>
      <c r="EA142" s="216">
        <f t="shared" si="327"/>
        <v>3.1142057081860923E-3</v>
      </c>
      <c r="EB142" s="12">
        <f t="shared" si="458"/>
        <v>1</v>
      </c>
      <c r="EC142" s="7">
        <f>ROUND(MAX(DV142,DX142)/'Inputs-Imperial'!$E$21,0)</f>
        <v>1</v>
      </c>
      <c r="ED142" s="12">
        <f t="shared" si="459"/>
        <v>1</v>
      </c>
      <c r="EE142" s="2">
        <f t="shared" si="460"/>
        <v>2</v>
      </c>
      <c r="EF142" s="127">
        <f t="shared" si="461"/>
        <v>2</v>
      </c>
      <c r="EG142" s="2">
        <f t="shared" si="462"/>
        <v>1.5748031496062995E-2</v>
      </c>
      <c r="EH142" s="8">
        <f t="shared" si="328"/>
        <v>3.2773226975964742E-2</v>
      </c>
      <c r="EI142" s="138">
        <f t="shared" si="463"/>
        <v>0.25</v>
      </c>
      <c r="EJ142" s="12">
        <f t="shared" si="329"/>
        <v>2716.547122600995</v>
      </c>
      <c r="EK142" s="138">
        <f t="shared" si="464"/>
        <v>0.25</v>
      </c>
      <c r="EL142" s="116">
        <f t="shared" si="465"/>
        <v>2175570</v>
      </c>
      <c r="EM142" s="2">
        <f t="shared" si="330"/>
        <v>1.5748031496062995E-2</v>
      </c>
      <c r="EN142" s="8">
        <f t="shared" si="466"/>
        <v>2.8629922176</v>
      </c>
      <c r="EO142" s="116">
        <f t="shared" si="467"/>
        <v>2610.6840000000002</v>
      </c>
      <c r="EP142" s="217">
        <f t="shared" si="468"/>
        <v>1.9752153504651162</v>
      </c>
      <c r="EQ142" s="207">
        <f t="shared" si="469"/>
        <v>2</v>
      </c>
      <c r="ER142" s="144">
        <f t="shared" si="470"/>
        <v>81862.026903217018</v>
      </c>
      <c r="ES142" s="138">
        <f t="shared" si="331"/>
        <v>0.25</v>
      </c>
      <c r="ET142" s="116">
        <f t="shared" si="471"/>
        <v>2175570</v>
      </c>
      <c r="EU142" s="2">
        <f t="shared" si="332"/>
        <v>1.5748031496062995E-2</v>
      </c>
      <c r="EV142" s="8">
        <f t="shared" si="472"/>
        <v>2.8629922176</v>
      </c>
      <c r="EW142" s="116">
        <f t="shared" si="473"/>
        <v>2610.6840000000002</v>
      </c>
      <c r="EX142" s="217">
        <f t="shared" si="474"/>
        <v>1.9752153504651162</v>
      </c>
      <c r="EY142" s="207">
        <f t="shared" si="475"/>
        <v>2</v>
      </c>
      <c r="EZ142" s="144">
        <f t="shared" si="476"/>
        <v>81862.026903217018</v>
      </c>
      <c r="FA142" s="138">
        <f t="shared" si="333"/>
        <v>0.25</v>
      </c>
      <c r="FB142" s="116">
        <f t="shared" si="477"/>
        <v>2175570</v>
      </c>
      <c r="FC142" s="2">
        <f t="shared" si="334"/>
        <v>1.5748031496062995E-2</v>
      </c>
      <c r="FD142" s="8">
        <f t="shared" si="478"/>
        <v>2.8629922176</v>
      </c>
      <c r="FE142" s="116">
        <f t="shared" si="479"/>
        <v>2610.6840000000002</v>
      </c>
      <c r="FF142" s="217">
        <f t="shared" si="480"/>
        <v>1.9752153504651162</v>
      </c>
      <c r="FG142" s="207">
        <f t="shared" si="481"/>
        <v>2</v>
      </c>
      <c r="FH142" s="144">
        <f t="shared" si="482"/>
        <v>81862.026903217018</v>
      </c>
      <c r="FI142" s="128">
        <f t="shared" si="483"/>
        <v>0.25</v>
      </c>
      <c r="FJ142" s="2">
        <f t="shared" si="484"/>
        <v>1.5748031496062995E-2</v>
      </c>
      <c r="FK142" s="127">
        <f t="shared" si="485"/>
        <v>1.5748031496062995E-2</v>
      </c>
      <c r="FL142" s="216">
        <f t="shared" si="486"/>
        <v>0</v>
      </c>
      <c r="FM142" s="138">
        <f t="shared" si="487"/>
        <v>0</v>
      </c>
      <c r="FN142" s="138">
        <f t="shared" si="488"/>
        <v>0</v>
      </c>
      <c r="FO142" s="238">
        <f t="shared" si="489"/>
        <v>0.25</v>
      </c>
      <c r="FP142" s="216">
        <f t="shared" si="335"/>
        <v>0</v>
      </c>
      <c r="FQ142" s="138">
        <f t="shared" si="336"/>
        <v>0</v>
      </c>
      <c r="FR142" s="138">
        <f t="shared" si="337"/>
        <v>0</v>
      </c>
      <c r="FS142" s="238">
        <f t="shared" si="338"/>
        <v>0.25</v>
      </c>
      <c r="FT142" s="216">
        <f t="shared" si="490"/>
        <v>0</v>
      </c>
      <c r="FU142" s="138">
        <f t="shared" si="491"/>
        <v>0</v>
      </c>
      <c r="FV142" s="138">
        <f t="shared" si="492"/>
        <v>0</v>
      </c>
      <c r="FW142" s="238">
        <f t="shared" si="493"/>
        <v>1.5748031496062995E-2</v>
      </c>
      <c r="FX142" s="216">
        <f t="shared" si="339"/>
        <v>0</v>
      </c>
      <c r="FY142" s="138">
        <f t="shared" si="340"/>
        <v>0</v>
      </c>
      <c r="FZ142" s="138">
        <f t="shared" si="341"/>
        <v>0</v>
      </c>
      <c r="GA142" s="238">
        <f t="shared" si="342"/>
        <v>1.5748031496062995E-2</v>
      </c>
      <c r="GB142" s="216">
        <f t="shared" si="494"/>
        <v>0</v>
      </c>
      <c r="GC142" s="138">
        <f t="shared" si="495"/>
        <v>0</v>
      </c>
      <c r="GD142" s="138">
        <f t="shared" si="496"/>
        <v>0</v>
      </c>
      <c r="GE142" s="238">
        <f t="shared" si="497"/>
        <v>1.5748031496062995E-2</v>
      </c>
      <c r="GF142" s="216">
        <f t="shared" si="343"/>
        <v>0</v>
      </c>
      <c r="GG142" s="138">
        <f t="shared" si="344"/>
        <v>0</v>
      </c>
      <c r="GH142" s="138">
        <f t="shared" si="345"/>
        <v>0</v>
      </c>
      <c r="GI142" s="238">
        <f t="shared" si="346"/>
        <v>1.5748031496062995E-2</v>
      </c>
      <c r="GJ142" s="216">
        <f t="shared" si="498"/>
        <v>0.25</v>
      </c>
      <c r="GK142" s="216">
        <f t="shared" si="499"/>
        <v>1.5748031496062995E-2</v>
      </c>
      <c r="GL142" s="17">
        <f t="shared" si="500"/>
        <v>1.5748031496062995E-2</v>
      </c>
      <c r="GM142" s="216">
        <f t="shared" si="347"/>
        <v>1.5112869035261876E-3</v>
      </c>
      <c r="GN142" s="2">
        <f t="shared" si="501"/>
        <v>1</v>
      </c>
      <c r="GO142" s="2">
        <f t="shared" si="502"/>
        <v>2</v>
      </c>
      <c r="GP142" s="142">
        <f t="shared" si="503"/>
        <v>2</v>
      </c>
      <c r="GQ142" s="2">
        <f t="shared" si="504"/>
        <v>1.5748031496062995E-2</v>
      </c>
      <c r="GR142" s="8">
        <f t="shared" si="348"/>
        <v>1.5904456338536446E-2</v>
      </c>
      <c r="GS142" s="138">
        <f t="shared" si="505"/>
        <v>0.25</v>
      </c>
      <c r="GT142" s="12">
        <f t="shared" si="349"/>
        <v>1318.3079327119729</v>
      </c>
      <c r="GU142" s="138">
        <f t="shared" si="506"/>
        <v>0.25</v>
      </c>
      <c r="GV142" s="116">
        <f t="shared" si="507"/>
        <v>2175570</v>
      </c>
      <c r="GW142" s="2">
        <f t="shared" si="350"/>
        <v>1.5748031496062995E-2</v>
      </c>
      <c r="GX142" s="8">
        <f t="shared" si="351"/>
        <v>1.4314961088</v>
      </c>
      <c r="GY142" s="116">
        <f t="shared" si="508"/>
        <v>2610.6840000000002</v>
      </c>
      <c r="GZ142" s="217">
        <f t="shared" si="509"/>
        <v>7.9008614018604648</v>
      </c>
      <c r="HA142" s="207">
        <f t="shared" si="510"/>
        <v>2</v>
      </c>
      <c r="HB142" s="144">
        <f t="shared" si="511"/>
        <v>327448.10761286807</v>
      </c>
      <c r="HC142" s="138">
        <f t="shared" si="352"/>
        <v>0.25</v>
      </c>
      <c r="HD142" s="116">
        <f t="shared" si="512"/>
        <v>2175570</v>
      </c>
      <c r="HE142" s="2">
        <f t="shared" si="353"/>
        <v>1.5748031496062995E-2</v>
      </c>
      <c r="HF142" s="8">
        <f t="shared" si="513"/>
        <v>1.4314961088</v>
      </c>
      <c r="HG142" s="116">
        <f t="shared" si="514"/>
        <v>2610.6840000000002</v>
      </c>
      <c r="HH142" s="217">
        <f t="shared" si="515"/>
        <v>7.9008614018604648</v>
      </c>
      <c r="HI142" s="207">
        <f t="shared" si="516"/>
        <v>2</v>
      </c>
      <c r="HJ142" s="144">
        <f t="shared" si="517"/>
        <v>327448.10761286807</v>
      </c>
      <c r="HK142" s="138">
        <f t="shared" si="354"/>
        <v>0.25</v>
      </c>
      <c r="HL142" s="116">
        <f t="shared" si="518"/>
        <v>2175570</v>
      </c>
      <c r="HM142" s="2">
        <f t="shared" si="355"/>
        <v>1.5748031496062995E-2</v>
      </c>
      <c r="HN142" s="8">
        <f t="shared" si="519"/>
        <v>1.4314961088</v>
      </c>
      <c r="HO142" s="116">
        <f t="shared" si="520"/>
        <v>2610.6840000000002</v>
      </c>
      <c r="HP142" s="217">
        <f t="shared" si="521"/>
        <v>7.9008614018604648</v>
      </c>
      <c r="HQ142" s="207">
        <f t="shared" si="522"/>
        <v>2</v>
      </c>
      <c r="HR142" s="144">
        <f t="shared" si="523"/>
        <v>327448.10761286807</v>
      </c>
      <c r="HS142" s="128">
        <f t="shared" si="524"/>
        <v>0.25</v>
      </c>
      <c r="HT142" s="2">
        <f t="shared" si="525"/>
        <v>1.5748031496062995E-2</v>
      </c>
      <c r="HU142" s="127">
        <f t="shared" si="526"/>
        <v>1.5748031496062995E-2</v>
      </c>
      <c r="HV142" s="216">
        <f t="shared" si="527"/>
        <v>0</v>
      </c>
      <c r="HW142" s="138">
        <f t="shared" si="528"/>
        <v>0</v>
      </c>
      <c r="HX142" s="138">
        <f t="shared" si="529"/>
        <v>0</v>
      </c>
      <c r="HY142" s="238">
        <f t="shared" si="530"/>
        <v>0.25</v>
      </c>
      <c r="HZ142" s="138">
        <f t="shared" si="531"/>
        <v>0</v>
      </c>
      <c r="IA142" s="138">
        <f t="shared" si="532"/>
        <v>0</v>
      </c>
      <c r="IB142" s="138">
        <f t="shared" si="533"/>
        <v>0</v>
      </c>
      <c r="IC142" s="138">
        <f t="shared" si="534"/>
        <v>0.25</v>
      </c>
      <c r="ID142" s="216">
        <f t="shared" si="535"/>
        <v>0</v>
      </c>
      <c r="IE142" s="138">
        <f t="shared" si="536"/>
        <v>0</v>
      </c>
      <c r="IF142" s="138">
        <f t="shared" si="537"/>
        <v>0</v>
      </c>
      <c r="IG142" s="238">
        <f t="shared" si="538"/>
        <v>1.5748031496062995E-2</v>
      </c>
      <c r="IH142" s="138">
        <f t="shared" si="539"/>
        <v>0</v>
      </c>
      <c r="II142" s="138">
        <f t="shared" si="540"/>
        <v>0</v>
      </c>
      <c r="IJ142" s="138">
        <f t="shared" si="541"/>
        <v>0</v>
      </c>
      <c r="IK142" s="138">
        <f t="shared" si="542"/>
        <v>1.5748031496062995E-2</v>
      </c>
      <c r="IL142" s="216">
        <f t="shared" si="543"/>
        <v>0</v>
      </c>
      <c r="IM142" s="138">
        <f t="shared" si="544"/>
        <v>0</v>
      </c>
      <c r="IN142" s="138">
        <f t="shared" si="545"/>
        <v>0</v>
      </c>
      <c r="IO142" s="238">
        <f t="shared" si="546"/>
        <v>1.5748031496062995E-2</v>
      </c>
      <c r="IP142" s="138">
        <f t="shared" si="547"/>
        <v>0</v>
      </c>
      <c r="IQ142" s="138">
        <f t="shared" si="548"/>
        <v>0</v>
      </c>
      <c r="IR142" s="138">
        <f t="shared" si="549"/>
        <v>0</v>
      </c>
      <c r="IS142" s="138">
        <f t="shared" si="550"/>
        <v>1.5748031496062995E-2</v>
      </c>
      <c r="IT142" s="17">
        <f t="shared" si="551"/>
        <v>0.25</v>
      </c>
      <c r="IU142" s="17">
        <f t="shared" si="552"/>
        <v>1.5748031496062995E-2</v>
      </c>
      <c r="IV142" s="17">
        <f t="shared" si="553"/>
        <v>1.5748031496062995E-2</v>
      </c>
      <c r="IW142" s="253">
        <f t="shared" si="554"/>
        <v>7.9527561599999999</v>
      </c>
      <c r="IX142" s="116">
        <f t="shared" si="356"/>
        <v>17.521071260224765</v>
      </c>
      <c r="IY142" s="8">
        <f t="shared" si="357"/>
        <v>4.5301243278204927E-4</v>
      </c>
      <c r="IZ142" s="8">
        <f t="shared" si="555"/>
        <v>4.5301243278204927E-4</v>
      </c>
      <c r="JA142" s="8">
        <f t="shared" si="556"/>
        <v>2.2650621639102464E-4</v>
      </c>
      <c r="JB142" s="134">
        <f t="shared" si="557"/>
        <v>1.5050123467633899E-2</v>
      </c>
      <c r="JC142" s="170">
        <f t="shared" si="564"/>
        <v>2.8003815318914239E-4</v>
      </c>
      <c r="JD142" s="272">
        <f t="shared" si="565"/>
        <v>1.6734340536428149E-2</v>
      </c>
      <c r="JE142" s="8"/>
      <c r="JF142" s="8"/>
    </row>
    <row r="143" spans="1:266" x14ac:dyDescent="0.25">
      <c r="A143" s="186">
        <v>83</v>
      </c>
      <c r="B143" s="187">
        <f>A143/100*'Inputs-Imperial'!$E$5</f>
        <v>8.1692915999999993</v>
      </c>
      <c r="C143" s="188">
        <f>'Inputs-Imperial'!$E$10+('Inputs-Imperial'!$E$9-'Inputs-Imperial'!$E$10)*(100-A143)/100</f>
        <v>1.3156168399999999</v>
      </c>
      <c r="D143" s="187">
        <f t="shared" si="558"/>
        <v>9.8425199999999435E-2</v>
      </c>
      <c r="E143" s="188">
        <f t="shared" si="559"/>
        <v>0.12997422660011923</v>
      </c>
      <c r="F143" s="423">
        <f>Loads!P103</f>
        <v>12.684810738488826</v>
      </c>
      <c r="G143" s="423">
        <f>Loads!M103</f>
        <v>126.84810738488827</v>
      </c>
      <c r="H143" s="423">
        <f>Loads!N103</f>
        <v>102.7228094225943</v>
      </c>
      <c r="I143" s="423">
        <f>Loads!V103</f>
        <v>-71.041144208848408</v>
      </c>
      <c r="J143" s="423">
        <f>Loads!Q103</f>
        <v>10.272280942259428</v>
      </c>
      <c r="K143" s="2">
        <v>83</v>
      </c>
      <c r="L143" s="12">
        <f t="shared" si="358"/>
        <v>98.031499199999985</v>
      </c>
      <c r="M143" s="11">
        <f t="shared" si="359"/>
        <v>15.78740208</v>
      </c>
      <c r="N143" s="11">
        <f t="shared" si="360"/>
        <v>1.1811023999999932</v>
      </c>
      <c r="O143" s="152">
        <f t="shared" si="361"/>
        <v>18.716288630417168</v>
      </c>
      <c r="P143" s="151">
        <f t="shared" si="362"/>
        <v>12.684810738488826</v>
      </c>
      <c r="Q143" s="12">
        <f t="shared" si="363"/>
        <v>126.84810738488827</v>
      </c>
      <c r="R143" s="12">
        <f t="shared" si="364"/>
        <v>1232.6737130711315</v>
      </c>
      <c r="S143" s="12">
        <f t="shared" si="365"/>
        <v>-852.4937305061809</v>
      </c>
      <c r="T143" s="152">
        <f t="shared" si="366"/>
        <v>123.26737130711314</v>
      </c>
      <c r="U143" s="8">
        <f t="shared" si="313"/>
        <v>2.8417323743999998</v>
      </c>
      <c r="V143" s="8">
        <f t="shared" si="314"/>
        <v>2.8417323743999998</v>
      </c>
      <c r="W143" s="134">
        <f t="shared" si="315"/>
        <v>1.4208661871999999</v>
      </c>
      <c r="X143" s="311">
        <f t="shared" si="316"/>
        <v>3.9468505199999999</v>
      </c>
      <c r="Y143" s="11">
        <f t="shared" si="317"/>
        <v>11.84055156</v>
      </c>
      <c r="Z143" s="11">
        <f t="shared" si="318"/>
        <v>7.8937010399999998</v>
      </c>
      <c r="AA143" s="316">
        <f t="shared" si="367"/>
        <v>11.84055156</v>
      </c>
      <c r="AB143" s="170">
        <f t="shared" si="368"/>
        <v>2.1312992808</v>
      </c>
      <c r="AC143" s="11">
        <f t="shared" si="369"/>
        <v>11.84055156</v>
      </c>
      <c r="AD143" s="152">
        <f t="shared" si="370"/>
        <v>19.820118789471326</v>
      </c>
      <c r="AE143" s="151">
        <f t="shared" si="319"/>
        <v>1.0713023522773146</v>
      </c>
      <c r="AF143" s="12">
        <f t="shared" si="320"/>
        <v>21.505767436647133</v>
      </c>
      <c r="AG143" s="216">
        <f t="shared" si="321"/>
        <v>1.4791556054102404E-3</v>
      </c>
      <c r="AH143" s="2">
        <f t="shared" si="371"/>
        <v>1</v>
      </c>
      <c r="AI143" s="2">
        <f t="shared" si="372"/>
        <v>3</v>
      </c>
      <c r="AJ143" s="127">
        <f t="shared" si="373"/>
        <v>2</v>
      </c>
      <c r="AK143" s="2">
        <f t="shared" si="374"/>
        <v>1.5748031496062995E-2</v>
      </c>
      <c r="AL143" s="8">
        <f t="shared" si="322"/>
        <v>1.5566313510200394E-2</v>
      </c>
      <c r="AM143" s="138">
        <f t="shared" si="375"/>
        <v>0.25</v>
      </c>
      <c r="AN143" s="12">
        <f t="shared" si="323"/>
        <v>1290.279538437032</v>
      </c>
      <c r="AO143" s="138">
        <f t="shared" si="376"/>
        <v>0.25</v>
      </c>
      <c r="AP143" s="116">
        <f t="shared" si="377"/>
        <v>2175570</v>
      </c>
      <c r="AQ143" s="2">
        <f t="shared" si="378"/>
        <v>1.5748031496062995E-2</v>
      </c>
      <c r="AR143" s="8">
        <f t="shared" si="379"/>
        <v>7.8937010399999998</v>
      </c>
      <c r="AS143" s="116">
        <f t="shared" si="380"/>
        <v>2610.6840000000002</v>
      </c>
      <c r="AT143" s="217">
        <f t="shared" si="381"/>
        <v>0.25983248004639442</v>
      </c>
      <c r="AU143" s="207">
        <f t="shared" si="382"/>
        <v>2.7869553943693663</v>
      </c>
      <c r="AV143" s="144">
        <f t="shared" si="383"/>
        <v>15005.881144044588</v>
      </c>
      <c r="AW143" s="138">
        <f t="shared" si="384"/>
        <v>0.25</v>
      </c>
      <c r="AX143" s="116">
        <f t="shared" si="385"/>
        <v>2175570</v>
      </c>
      <c r="AY143" s="2">
        <f t="shared" si="386"/>
        <v>1.5748031496062995E-2</v>
      </c>
      <c r="AZ143" s="8">
        <f t="shared" si="387"/>
        <v>7.8937010399999998</v>
      </c>
      <c r="BA143" s="116">
        <f t="shared" si="388"/>
        <v>2610.6840000000002</v>
      </c>
      <c r="BB143" s="217">
        <f t="shared" si="389"/>
        <v>0.25983248004639442</v>
      </c>
      <c r="BC143" s="207">
        <f t="shared" si="390"/>
        <v>2.7869553943693663</v>
      </c>
      <c r="BD143" s="144">
        <f t="shared" si="391"/>
        <v>15005.881144044588</v>
      </c>
      <c r="BE143" s="138">
        <f t="shared" si="392"/>
        <v>0.25</v>
      </c>
      <c r="BF143" s="116">
        <f t="shared" si="393"/>
        <v>2175570</v>
      </c>
      <c r="BG143" s="2">
        <f t="shared" si="394"/>
        <v>1.5748031496062995E-2</v>
      </c>
      <c r="BH143" s="8">
        <f t="shared" si="395"/>
        <v>7.8937010399999998</v>
      </c>
      <c r="BI143" s="116">
        <f t="shared" si="396"/>
        <v>2610.6840000000002</v>
      </c>
      <c r="BJ143" s="217">
        <f t="shared" si="397"/>
        <v>0.25983248004639442</v>
      </c>
      <c r="BK143" s="207">
        <f t="shared" si="398"/>
        <v>2.7869553943693663</v>
      </c>
      <c r="BL143" s="144">
        <f t="shared" si="399"/>
        <v>15005.881144044588</v>
      </c>
      <c r="BM143" s="216">
        <f t="shared" si="400"/>
        <v>0.25</v>
      </c>
      <c r="BN143" s="216">
        <f t="shared" si="401"/>
        <v>2.3622047244094495E-2</v>
      </c>
      <c r="BO143" s="238">
        <f t="shared" si="402"/>
        <v>1.5748031496062995E-2</v>
      </c>
      <c r="BP143" s="216">
        <f t="shared" si="403"/>
        <v>0</v>
      </c>
      <c r="BQ143" s="138">
        <f t="shared" si="404"/>
        <v>0</v>
      </c>
      <c r="BR143" s="138">
        <f t="shared" si="405"/>
        <v>0</v>
      </c>
      <c r="BS143" s="238">
        <f t="shared" si="406"/>
        <v>0.25</v>
      </c>
      <c r="BT143" s="138">
        <f t="shared" si="407"/>
        <v>0</v>
      </c>
      <c r="BU143" s="138">
        <f t="shared" si="408"/>
        <v>0</v>
      </c>
      <c r="BV143" s="138">
        <f t="shared" si="409"/>
        <v>0</v>
      </c>
      <c r="BW143" s="238">
        <f t="shared" si="410"/>
        <v>0.25</v>
      </c>
      <c r="BX143" s="216">
        <f t="shared" si="411"/>
        <v>0</v>
      </c>
      <c r="BY143" s="138">
        <f t="shared" si="412"/>
        <v>0</v>
      </c>
      <c r="BZ143" s="138">
        <f t="shared" si="413"/>
        <v>0</v>
      </c>
      <c r="CA143" s="238">
        <f t="shared" si="414"/>
        <v>2.3622047244094495E-2</v>
      </c>
      <c r="CB143" s="138">
        <f t="shared" si="415"/>
        <v>0</v>
      </c>
      <c r="CC143" s="138">
        <f t="shared" si="416"/>
        <v>0</v>
      </c>
      <c r="CD143" s="138">
        <f t="shared" si="417"/>
        <v>0</v>
      </c>
      <c r="CE143" s="238">
        <f t="shared" si="418"/>
        <v>2.3622047244094495E-2</v>
      </c>
      <c r="CF143" s="216">
        <f t="shared" si="419"/>
        <v>0</v>
      </c>
      <c r="CG143" s="138">
        <f t="shared" si="420"/>
        <v>0</v>
      </c>
      <c r="CH143" s="138">
        <f t="shared" si="421"/>
        <v>0</v>
      </c>
      <c r="CI143" s="238">
        <f t="shared" si="422"/>
        <v>1.5748031496062995E-2</v>
      </c>
      <c r="CJ143" s="138">
        <f t="shared" si="423"/>
        <v>0</v>
      </c>
      <c r="CK143" s="138">
        <f t="shared" si="424"/>
        <v>0</v>
      </c>
      <c r="CL143" s="138">
        <f t="shared" si="425"/>
        <v>0</v>
      </c>
      <c r="CM143" s="238">
        <f t="shared" si="426"/>
        <v>1.5748031496062995E-2</v>
      </c>
      <c r="CN143" s="17">
        <f t="shared" si="427"/>
        <v>0.25</v>
      </c>
      <c r="CO143" s="17">
        <f t="shared" si="428"/>
        <v>2.3622047244094495E-2</v>
      </c>
      <c r="CP143" s="17">
        <f t="shared" si="429"/>
        <v>1.5748031496062995E-2</v>
      </c>
      <c r="CQ143" s="17">
        <f>$U143-IF('Inputs-Imperial'!$E$13,0,2)*($CO143+$CN143+$CP143)</f>
        <v>2.8417323743999998</v>
      </c>
      <c r="CR143" s="116">
        <f t="shared" si="430"/>
        <v>433.77544070503711</v>
      </c>
      <c r="CS143" s="8">
        <f t="shared" si="324"/>
        <v>1.1215391157102891E-2</v>
      </c>
      <c r="CT143" s="8">
        <f t="shared" si="431"/>
        <v>0.10590274386012334</v>
      </c>
      <c r="CU143" s="8">
        <f t="shared" si="325"/>
        <v>1.1215391157102891E-2</v>
      </c>
      <c r="CV143" s="8">
        <f t="shared" si="432"/>
        <v>0.10590274386012334</v>
      </c>
      <c r="CW143" s="216">
        <f t="shared" si="433"/>
        <v>2.7358296305398766</v>
      </c>
      <c r="CX143" s="116">
        <f t="shared" si="434"/>
        <v>450.56669439897871</v>
      </c>
      <c r="CY143" s="8">
        <f t="shared" si="435"/>
        <v>1.1649533942802369E-2</v>
      </c>
      <c r="CZ143" s="8">
        <f t="shared" si="436"/>
        <v>0.10793300673474435</v>
      </c>
      <c r="DA143" s="8">
        <f t="shared" si="437"/>
        <v>1.1649533942802369E-2</v>
      </c>
      <c r="DB143" s="8">
        <f t="shared" si="438"/>
        <v>0.10793300673474435</v>
      </c>
      <c r="DC143" s="216">
        <f t="shared" si="439"/>
        <v>2.7337993676652554</v>
      </c>
      <c r="DD143" s="116">
        <f t="shared" si="440"/>
        <v>450.90130887105693</v>
      </c>
      <c r="DE143" s="8">
        <f t="shared" si="441"/>
        <v>1.1658185498051981E-2</v>
      </c>
      <c r="DF143" s="8">
        <f t="shared" si="442"/>
        <v>0.10797307765388547</v>
      </c>
      <c r="DG143" s="8">
        <f t="shared" si="443"/>
        <v>1.1658185498051981E-2</v>
      </c>
      <c r="DH143" s="8">
        <f t="shared" si="444"/>
        <v>0.10797307765388547</v>
      </c>
      <c r="DI143" s="216">
        <f t="shared" si="445"/>
        <v>2.7337592967461144</v>
      </c>
      <c r="DJ143" s="116">
        <f t="shared" si="446"/>
        <v>450.90791809591076</v>
      </c>
      <c r="DK143" s="8">
        <f t="shared" si="447"/>
        <v>1.1658356381497712E-2</v>
      </c>
      <c r="DL143" s="8">
        <f t="shared" si="448"/>
        <v>0.10797386897531139</v>
      </c>
      <c r="DM143" s="8">
        <f t="shared" si="449"/>
        <v>1.1658356381497712E-2</v>
      </c>
      <c r="DN143" s="8">
        <f t="shared" si="450"/>
        <v>0.10797386897531139</v>
      </c>
      <c r="DO143" s="216">
        <f t="shared" si="451"/>
        <v>2.7337585054246882</v>
      </c>
      <c r="DP143" s="116">
        <f t="shared" si="452"/>
        <v>450.90804861698496</v>
      </c>
      <c r="DQ143" s="170">
        <f t="shared" si="453"/>
        <v>1.1658359756158341E-2</v>
      </c>
      <c r="DR143" s="8">
        <f t="shared" si="454"/>
        <v>0.10797388460252016</v>
      </c>
      <c r="DS143" s="8">
        <f t="shared" si="455"/>
        <v>1.1658359756158341E-2</v>
      </c>
      <c r="DT143" s="134">
        <f t="shared" si="456"/>
        <v>0.10797388460252016</v>
      </c>
      <c r="DU143" s="170">
        <f t="shared" si="563"/>
        <v>1.6272075519057922E-2</v>
      </c>
      <c r="DV143" s="170">
        <f t="shared" si="563"/>
        <v>0.12756204576227964</v>
      </c>
      <c r="DW143" s="170">
        <f t="shared" si="563"/>
        <v>1.6272075519057922E-2</v>
      </c>
      <c r="DX143" s="272">
        <f t="shared" si="563"/>
        <v>0.12756204576227964</v>
      </c>
      <c r="DY143" s="272">
        <f t="shared" si="457"/>
        <v>2.5866082828754409</v>
      </c>
      <c r="DZ143" s="22">
        <f t="shared" si="326"/>
        <v>44.637598011554779</v>
      </c>
      <c r="EA143" s="216">
        <f t="shared" si="327"/>
        <v>2.9244695581899811E-3</v>
      </c>
      <c r="EB143" s="12">
        <f t="shared" si="458"/>
        <v>1</v>
      </c>
      <c r="EC143" s="7">
        <f>ROUND(MAX(DV143,DX143)/'Inputs-Imperial'!$E$21,0)</f>
        <v>1</v>
      </c>
      <c r="ED143" s="12">
        <f t="shared" si="459"/>
        <v>1</v>
      </c>
      <c r="EE143" s="2">
        <f t="shared" si="460"/>
        <v>2</v>
      </c>
      <c r="EF143" s="127">
        <f t="shared" si="461"/>
        <v>2</v>
      </c>
      <c r="EG143" s="2">
        <f t="shared" si="462"/>
        <v>1.5748031496062995E-2</v>
      </c>
      <c r="EH143" s="8">
        <f t="shared" si="328"/>
        <v>3.0776484791264894E-2</v>
      </c>
      <c r="EI143" s="138">
        <f t="shared" si="463"/>
        <v>0.25</v>
      </c>
      <c r="EJ143" s="12">
        <f t="shared" si="329"/>
        <v>2551.0387263603552</v>
      </c>
      <c r="EK143" s="138">
        <f t="shared" si="464"/>
        <v>0.25</v>
      </c>
      <c r="EL143" s="116">
        <f t="shared" si="465"/>
        <v>2175570</v>
      </c>
      <c r="EM143" s="2">
        <f t="shared" si="330"/>
        <v>1.5748031496062995E-2</v>
      </c>
      <c r="EN143" s="8">
        <f t="shared" si="466"/>
        <v>2.8417323743999998</v>
      </c>
      <c r="EO143" s="116">
        <f t="shared" si="467"/>
        <v>2610.6840000000002</v>
      </c>
      <c r="EP143" s="217">
        <f t="shared" si="468"/>
        <v>2.0048802472715619</v>
      </c>
      <c r="EQ143" s="207">
        <f t="shared" si="469"/>
        <v>2</v>
      </c>
      <c r="ER143" s="144">
        <f t="shared" si="470"/>
        <v>83091.47693755306</v>
      </c>
      <c r="ES143" s="138">
        <f t="shared" si="331"/>
        <v>0.25</v>
      </c>
      <c r="ET143" s="116">
        <f t="shared" si="471"/>
        <v>2175570</v>
      </c>
      <c r="EU143" s="2">
        <f t="shared" si="332"/>
        <v>1.5748031496062995E-2</v>
      </c>
      <c r="EV143" s="8">
        <f t="shared" si="472"/>
        <v>2.8417323743999998</v>
      </c>
      <c r="EW143" s="116">
        <f t="shared" si="473"/>
        <v>2610.6840000000002</v>
      </c>
      <c r="EX143" s="217">
        <f t="shared" si="474"/>
        <v>2.0048802472715619</v>
      </c>
      <c r="EY143" s="207">
        <f t="shared" si="475"/>
        <v>2</v>
      </c>
      <c r="EZ143" s="144">
        <f t="shared" si="476"/>
        <v>83091.47693755306</v>
      </c>
      <c r="FA143" s="138">
        <f t="shared" si="333"/>
        <v>0.25</v>
      </c>
      <c r="FB143" s="116">
        <f t="shared" si="477"/>
        <v>2175570</v>
      </c>
      <c r="FC143" s="2">
        <f t="shared" si="334"/>
        <v>1.5748031496062995E-2</v>
      </c>
      <c r="FD143" s="8">
        <f t="shared" si="478"/>
        <v>2.8417323743999998</v>
      </c>
      <c r="FE143" s="116">
        <f t="shared" si="479"/>
        <v>2610.6840000000002</v>
      </c>
      <c r="FF143" s="217">
        <f t="shared" si="480"/>
        <v>2.0048802472715619</v>
      </c>
      <c r="FG143" s="207">
        <f t="shared" si="481"/>
        <v>2</v>
      </c>
      <c r="FH143" s="144">
        <f t="shared" si="482"/>
        <v>83091.47693755306</v>
      </c>
      <c r="FI143" s="128">
        <f t="shared" si="483"/>
        <v>0.25</v>
      </c>
      <c r="FJ143" s="2">
        <f t="shared" si="484"/>
        <v>1.5748031496062995E-2</v>
      </c>
      <c r="FK143" s="127">
        <f t="shared" si="485"/>
        <v>1.5748031496062995E-2</v>
      </c>
      <c r="FL143" s="216">
        <f t="shared" si="486"/>
        <v>0</v>
      </c>
      <c r="FM143" s="138">
        <f t="shared" si="487"/>
        <v>0</v>
      </c>
      <c r="FN143" s="138">
        <f t="shared" si="488"/>
        <v>0</v>
      </c>
      <c r="FO143" s="238">
        <f t="shared" si="489"/>
        <v>0.25</v>
      </c>
      <c r="FP143" s="216">
        <f t="shared" si="335"/>
        <v>0</v>
      </c>
      <c r="FQ143" s="138">
        <f t="shared" si="336"/>
        <v>0</v>
      </c>
      <c r="FR143" s="138">
        <f t="shared" si="337"/>
        <v>0</v>
      </c>
      <c r="FS143" s="238">
        <f t="shared" si="338"/>
        <v>0.25</v>
      </c>
      <c r="FT143" s="216">
        <f t="shared" si="490"/>
        <v>0</v>
      </c>
      <c r="FU143" s="138">
        <f t="shared" si="491"/>
        <v>0</v>
      </c>
      <c r="FV143" s="138">
        <f t="shared" si="492"/>
        <v>0</v>
      </c>
      <c r="FW143" s="238">
        <f t="shared" si="493"/>
        <v>1.5748031496062995E-2</v>
      </c>
      <c r="FX143" s="216">
        <f t="shared" si="339"/>
        <v>0</v>
      </c>
      <c r="FY143" s="138">
        <f t="shared" si="340"/>
        <v>0</v>
      </c>
      <c r="FZ143" s="138">
        <f t="shared" si="341"/>
        <v>0</v>
      </c>
      <c r="GA143" s="238">
        <f t="shared" si="342"/>
        <v>1.5748031496062995E-2</v>
      </c>
      <c r="GB143" s="216">
        <f t="shared" si="494"/>
        <v>0</v>
      </c>
      <c r="GC143" s="138">
        <f t="shared" si="495"/>
        <v>0</v>
      </c>
      <c r="GD143" s="138">
        <f t="shared" si="496"/>
        <v>0</v>
      </c>
      <c r="GE143" s="238">
        <f t="shared" si="497"/>
        <v>1.5748031496062995E-2</v>
      </c>
      <c r="GF143" s="216">
        <f t="shared" si="343"/>
        <v>0</v>
      </c>
      <c r="GG143" s="138">
        <f t="shared" si="344"/>
        <v>0</v>
      </c>
      <c r="GH143" s="138">
        <f t="shared" si="345"/>
        <v>0</v>
      </c>
      <c r="GI143" s="238">
        <f t="shared" si="346"/>
        <v>1.5748031496062995E-2</v>
      </c>
      <c r="GJ143" s="216">
        <f t="shared" si="498"/>
        <v>0.25</v>
      </c>
      <c r="GK143" s="216">
        <f t="shared" si="499"/>
        <v>1.5748031496062995E-2</v>
      </c>
      <c r="GL143" s="17">
        <f t="shared" si="500"/>
        <v>1.5748031496062995E-2</v>
      </c>
      <c r="GM143" s="216">
        <f t="shared" si="347"/>
        <v>1.4089683360136809E-3</v>
      </c>
      <c r="GN143" s="2">
        <f t="shared" si="501"/>
        <v>1</v>
      </c>
      <c r="GO143" s="2">
        <f t="shared" si="502"/>
        <v>2</v>
      </c>
      <c r="GP143" s="142">
        <f t="shared" si="503"/>
        <v>2</v>
      </c>
      <c r="GQ143" s="2">
        <f t="shared" si="504"/>
        <v>1.5748031496062995E-2</v>
      </c>
      <c r="GR143" s="8">
        <f t="shared" si="348"/>
        <v>1.4827677875210037E-2</v>
      </c>
      <c r="GS143" s="138">
        <f t="shared" si="505"/>
        <v>0.25</v>
      </c>
      <c r="GT143" s="12">
        <f t="shared" si="349"/>
        <v>1229.0546090043836</v>
      </c>
      <c r="GU143" s="138">
        <f t="shared" si="506"/>
        <v>0.25</v>
      </c>
      <c r="GV143" s="116">
        <f t="shared" si="507"/>
        <v>2175570</v>
      </c>
      <c r="GW143" s="2">
        <f t="shared" si="350"/>
        <v>1.5748031496062995E-2</v>
      </c>
      <c r="GX143" s="8">
        <f t="shared" si="351"/>
        <v>1.4208661871999999</v>
      </c>
      <c r="GY143" s="116">
        <f t="shared" si="508"/>
        <v>2610.6840000000002</v>
      </c>
      <c r="GZ143" s="217">
        <f t="shared" si="509"/>
        <v>8.0195209890862476</v>
      </c>
      <c r="HA143" s="207">
        <f t="shared" si="510"/>
        <v>2</v>
      </c>
      <c r="HB143" s="144">
        <f t="shared" si="511"/>
        <v>332365.90775021224</v>
      </c>
      <c r="HC143" s="138">
        <f t="shared" si="352"/>
        <v>0.25</v>
      </c>
      <c r="HD143" s="116">
        <f t="shared" si="512"/>
        <v>2175570</v>
      </c>
      <c r="HE143" s="2">
        <f t="shared" si="353"/>
        <v>1.5748031496062995E-2</v>
      </c>
      <c r="HF143" s="8">
        <f t="shared" si="513"/>
        <v>1.4208661871999999</v>
      </c>
      <c r="HG143" s="116">
        <f t="shared" si="514"/>
        <v>2610.6840000000002</v>
      </c>
      <c r="HH143" s="217">
        <f t="shared" si="515"/>
        <v>8.0195209890862476</v>
      </c>
      <c r="HI143" s="207">
        <f t="shared" si="516"/>
        <v>2</v>
      </c>
      <c r="HJ143" s="144">
        <f t="shared" si="517"/>
        <v>332365.90775021224</v>
      </c>
      <c r="HK143" s="138">
        <f t="shared" si="354"/>
        <v>0.25</v>
      </c>
      <c r="HL143" s="116">
        <f t="shared" si="518"/>
        <v>2175570</v>
      </c>
      <c r="HM143" s="2">
        <f t="shared" si="355"/>
        <v>1.5748031496062995E-2</v>
      </c>
      <c r="HN143" s="8">
        <f t="shared" si="519"/>
        <v>1.4208661871999999</v>
      </c>
      <c r="HO143" s="116">
        <f t="shared" si="520"/>
        <v>2610.6840000000002</v>
      </c>
      <c r="HP143" s="217">
        <f t="shared" si="521"/>
        <v>8.0195209890862476</v>
      </c>
      <c r="HQ143" s="207">
        <f t="shared" si="522"/>
        <v>2</v>
      </c>
      <c r="HR143" s="144">
        <f t="shared" si="523"/>
        <v>332365.90775021224</v>
      </c>
      <c r="HS143" s="128">
        <f t="shared" si="524"/>
        <v>0.25</v>
      </c>
      <c r="HT143" s="2">
        <f t="shared" si="525"/>
        <v>1.5748031496062995E-2</v>
      </c>
      <c r="HU143" s="127">
        <f t="shared" si="526"/>
        <v>1.5748031496062995E-2</v>
      </c>
      <c r="HV143" s="216">
        <f t="shared" si="527"/>
        <v>0</v>
      </c>
      <c r="HW143" s="138">
        <f t="shared" si="528"/>
        <v>0</v>
      </c>
      <c r="HX143" s="138">
        <f t="shared" si="529"/>
        <v>0</v>
      </c>
      <c r="HY143" s="238">
        <f t="shared" si="530"/>
        <v>0.25</v>
      </c>
      <c r="HZ143" s="138">
        <f t="shared" si="531"/>
        <v>0</v>
      </c>
      <c r="IA143" s="138">
        <f t="shared" si="532"/>
        <v>0</v>
      </c>
      <c r="IB143" s="138">
        <f t="shared" si="533"/>
        <v>0</v>
      </c>
      <c r="IC143" s="138">
        <f t="shared" si="534"/>
        <v>0.25</v>
      </c>
      <c r="ID143" s="216">
        <f t="shared" si="535"/>
        <v>0</v>
      </c>
      <c r="IE143" s="138">
        <f t="shared" si="536"/>
        <v>0</v>
      </c>
      <c r="IF143" s="138">
        <f t="shared" si="537"/>
        <v>0</v>
      </c>
      <c r="IG143" s="238">
        <f t="shared" si="538"/>
        <v>1.5748031496062995E-2</v>
      </c>
      <c r="IH143" s="138">
        <f t="shared" si="539"/>
        <v>0</v>
      </c>
      <c r="II143" s="138">
        <f t="shared" si="540"/>
        <v>0</v>
      </c>
      <c r="IJ143" s="138">
        <f t="shared" si="541"/>
        <v>0</v>
      </c>
      <c r="IK143" s="138">
        <f t="shared" si="542"/>
        <v>1.5748031496062995E-2</v>
      </c>
      <c r="IL143" s="216">
        <f t="shared" si="543"/>
        <v>0</v>
      </c>
      <c r="IM143" s="138">
        <f t="shared" si="544"/>
        <v>0</v>
      </c>
      <c r="IN143" s="138">
        <f t="shared" si="545"/>
        <v>0</v>
      </c>
      <c r="IO143" s="238">
        <f t="shared" si="546"/>
        <v>1.5748031496062995E-2</v>
      </c>
      <c r="IP143" s="138">
        <f t="shared" si="547"/>
        <v>0</v>
      </c>
      <c r="IQ143" s="138">
        <f t="shared" si="548"/>
        <v>0</v>
      </c>
      <c r="IR143" s="138">
        <f t="shared" si="549"/>
        <v>0</v>
      </c>
      <c r="IS143" s="138">
        <f t="shared" si="550"/>
        <v>1.5748031496062995E-2</v>
      </c>
      <c r="IT143" s="17">
        <f t="shared" si="551"/>
        <v>0.25</v>
      </c>
      <c r="IU143" s="17">
        <f t="shared" si="552"/>
        <v>1.5748031496062995E-2</v>
      </c>
      <c r="IV143" s="17">
        <f t="shared" si="553"/>
        <v>1.5748031496062995E-2</v>
      </c>
      <c r="IW143" s="253">
        <f t="shared" si="554"/>
        <v>7.8937010399999998</v>
      </c>
      <c r="IX143" s="116">
        <f t="shared" si="356"/>
        <v>15.615915865381334</v>
      </c>
      <c r="IY143" s="8">
        <f t="shared" si="357"/>
        <v>4.0375408165570399E-4</v>
      </c>
      <c r="IZ143" s="8">
        <f t="shared" si="555"/>
        <v>4.0375408165570399E-4</v>
      </c>
      <c r="JA143" s="8">
        <f t="shared" si="556"/>
        <v>2.01877040827852E-4</v>
      </c>
      <c r="JB143" s="134">
        <f t="shared" si="557"/>
        <v>1.4208344056499055E-2</v>
      </c>
      <c r="JC143" s="170">
        <f t="shared" si="564"/>
        <v>2.8003815318914239E-4</v>
      </c>
      <c r="JD143" s="272">
        <f t="shared" si="565"/>
        <v>1.6734340536428149E-2</v>
      </c>
      <c r="JE143" s="8"/>
      <c r="JF143" s="8"/>
    </row>
    <row r="144" spans="1:266" x14ac:dyDescent="0.25">
      <c r="A144" s="186">
        <v>84</v>
      </c>
      <c r="B144" s="187">
        <f>A144/100*'Inputs-Imperial'!$E$5</f>
        <v>8.2677168000000005</v>
      </c>
      <c r="C144" s="188">
        <f>'Inputs-Imperial'!$E$10+('Inputs-Imperial'!$E$9-'Inputs-Imperial'!$E$10)*(100-A144)/100</f>
        <v>1.3057743199999998</v>
      </c>
      <c r="D144" s="187">
        <f t="shared" si="558"/>
        <v>9.8425200000001212E-2</v>
      </c>
      <c r="E144" s="188">
        <f t="shared" si="559"/>
        <v>0.12900547460061759</v>
      </c>
      <c r="F144" s="423">
        <f>Loads!P104</f>
        <v>11.775906525515406</v>
      </c>
      <c r="G144" s="423">
        <f>Loads!M104</f>
        <v>117.75906525515406</v>
      </c>
      <c r="H144" s="423">
        <f>Loads!N104</f>
        <v>90.237759083615032</v>
      </c>
      <c r="I144" s="423">
        <f>Loads!V104</f>
        <v>-64.944781182765979</v>
      </c>
      <c r="J144" s="423">
        <f>Loads!Q104</f>
        <v>9.0237759083615021</v>
      </c>
      <c r="K144" s="2">
        <v>84</v>
      </c>
      <c r="L144" s="12">
        <f t="shared" si="358"/>
        <v>99.212601599999999</v>
      </c>
      <c r="M144" s="11">
        <f t="shared" si="359"/>
        <v>15.669291839999998</v>
      </c>
      <c r="N144" s="11">
        <f t="shared" si="360"/>
        <v>1.1811024000000145</v>
      </c>
      <c r="O144" s="152">
        <f t="shared" si="361"/>
        <v>18.576788342488932</v>
      </c>
      <c r="P144" s="151">
        <f t="shared" si="362"/>
        <v>11.775906525515406</v>
      </c>
      <c r="Q144" s="12">
        <f t="shared" si="363"/>
        <v>117.75906525515406</v>
      </c>
      <c r="R144" s="12">
        <f t="shared" si="364"/>
        <v>1082.8531090033803</v>
      </c>
      <c r="S144" s="12">
        <f t="shared" si="365"/>
        <v>-779.33737419319175</v>
      </c>
      <c r="T144" s="152">
        <f t="shared" si="366"/>
        <v>108.28531090033803</v>
      </c>
      <c r="U144" s="8">
        <f t="shared" si="313"/>
        <v>2.8204725311999996</v>
      </c>
      <c r="V144" s="8">
        <f t="shared" si="314"/>
        <v>2.8204725311999996</v>
      </c>
      <c r="W144" s="134">
        <f t="shared" si="315"/>
        <v>1.4102362655999998</v>
      </c>
      <c r="X144" s="311">
        <f t="shared" si="316"/>
        <v>3.9173229599999995</v>
      </c>
      <c r="Y144" s="11">
        <f t="shared" si="317"/>
        <v>11.751968879999998</v>
      </c>
      <c r="Z144" s="11">
        <f t="shared" si="318"/>
        <v>7.834645919999998</v>
      </c>
      <c r="AA144" s="316">
        <f t="shared" si="367"/>
        <v>11.751968879999998</v>
      </c>
      <c r="AB144" s="170">
        <f t="shared" si="368"/>
        <v>2.1153543983999996</v>
      </c>
      <c r="AC144" s="11">
        <f t="shared" si="369"/>
        <v>11.751968879999998</v>
      </c>
      <c r="AD144" s="152">
        <f t="shared" si="370"/>
        <v>19.52466773668954</v>
      </c>
      <c r="AE144" s="151">
        <f t="shared" si="319"/>
        <v>1.0020369051143547</v>
      </c>
      <c r="AF144" s="12">
        <f t="shared" si="320"/>
        <v>19.957762782531493</v>
      </c>
      <c r="AG144" s="216">
        <f t="shared" si="321"/>
        <v>1.3731988024179337E-3</v>
      </c>
      <c r="AH144" s="2">
        <f t="shared" si="371"/>
        <v>1</v>
      </c>
      <c r="AI144" s="2">
        <f t="shared" si="372"/>
        <v>3</v>
      </c>
      <c r="AJ144" s="127">
        <f t="shared" si="373"/>
        <v>2</v>
      </c>
      <c r="AK144" s="2">
        <f t="shared" si="374"/>
        <v>1.5748031496062995E-2</v>
      </c>
      <c r="AL144" s="8">
        <f t="shared" si="322"/>
        <v>1.4451247043978713E-2</v>
      </c>
      <c r="AM144" s="138">
        <f t="shared" si="375"/>
        <v>0.25</v>
      </c>
      <c r="AN144" s="12">
        <f t="shared" si="323"/>
        <v>1197.8525521489601</v>
      </c>
      <c r="AO144" s="138">
        <f t="shared" si="376"/>
        <v>0.25</v>
      </c>
      <c r="AP144" s="116">
        <f t="shared" si="377"/>
        <v>2175570</v>
      </c>
      <c r="AQ144" s="2">
        <f t="shared" si="378"/>
        <v>1.5748031496062995E-2</v>
      </c>
      <c r="AR144" s="8">
        <f t="shared" si="379"/>
        <v>7.834645919999998</v>
      </c>
      <c r="AS144" s="116">
        <f t="shared" si="380"/>
        <v>2610.6840000000002</v>
      </c>
      <c r="AT144" s="217">
        <f t="shared" si="381"/>
        <v>0.26376431544620266</v>
      </c>
      <c r="AU144" s="207">
        <f t="shared" si="382"/>
        <v>2.7685077873359099</v>
      </c>
      <c r="AV144" s="144">
        <f t="shared" si="383"/>
        <v>15132.122031527029</v>
      </c>
      <c r="AW144" s="138">
        <f t="shared" si="384"/>
        <v>0.25</v>
      </c>
      <c r="AX144" s="116">
        <f t="shared" si="385"/>
        <v>2175570</v>
      </c>
      <c r="AY144" s="2">
        <f t="shared" si="386"/>
        <v>1.5748031496062995E-2</v>
      </c>
      <c r="AZ144" s="8">
        <f t="shared" si="387"/>
        <v>7.834645919999998</v>
      </c>
      <c r="BA144" s="116">
        <f t="shared" si="388"/>
        <v>2610.6840000000002</v>
      </c>
      <c r="BB144" s="217">
        <f t="shared" si="389"/>
        <v>0.26376431544620266</v>
      </c>
      <c r="BC144" s="207">
        <f t="shared" si="390"/>
        <v>2.7685077873359099</v>
      </c>
      <c r="BD144" s="144">
        <f t="shared" si="391"/>
        <v>15132.122031527029</v>
      </c>
      <c r="BE144" s="138">
        <f t="shared" si="392"/>
        <v>0.25</v>
      </c>
      <c r="BF144" s="116">
        <f t="shared" si="393"/>
        <v>2175570</v>
      </c>
      <c r="BG144" s="2">
        <f t="shared" si="394"/>
        <v>1.5748031496062995E-2</v>
      </c>
      <c r="BH144" s="8">
        <f t="shared" si="395"/>
        <v>7.834645919999998</v>
      </c>
      <c r="BI144" s="116">
        <f t="shared" si="396"/>
        <v>2610.6840000000002</v>
      </c>
      <c r="BJ144" s="217">
        <f t="shared" si="397"/>
        <v>0.26376431544620266</v>
      </c>
      <c r="BK144" s="207">
        <f t="shared" si="398"/>
        <v>2.7685077873359099</v>
      </c>
      <c r="BL144" s="144">
        <f t="shared" si="399"/>
        <v>15132.122031527029</v>
      </c>
      <c r="BM144" s="216">
        <f t="shared" si="400"/>
        <v>0.25</v>
      </c>
      <c r="BN144" s="216">
        <f t="shared" si="401"/>
        <v>2.3622047244094495E-2</v>
      </c>
      <c r="BO144" s="238">
        <f t="shared" si="402"/>
        <v>1.5748031496062995E-2</v>
      </c>
      <c r="BP144" s="216">
        <f t="shared" si="403"/>
        <v>0</v>
      </c>
      <c r="BQ144" s="138">
        <f t="shared" si="404"/>
        <v>0</v>
      </c>
      <c r="BR144" s="138">
        <f t="shared" si="405"/>
        <v>0</v>
      </c>
      <c r="BS144" s="238">
        <f t="shared" si="406"/>
        <v>0.25</v>
      </c>
      <c r="BT144" s="138">
        <f t="shared" si="407"/>
        <v>0</v>
      </c>
      <c r="BU144" s="138">
        <f t="shared" si="408"/>
        <v>0</v>
      </c>
      <c r="BV144" s="138">
        <f t="shared" si="409"/>
        <v>0</v>
      </c>
      <c r="BW144" s="238">
        <f t="shared" si="410"/>
        <v>0.25</v>
      </c>
      <c r="BX144" s="216">
        <f t="shared" si="411"/>
        <v>0</v>
      </c>
      <c r="BY144" s="138">
        <f t="shared" si="412"/>
        <v>0</v>
      </c>
      <c r="BZ144" s="138">
        <f t="shared" si="413"/>
        <v>0</v>
      </c>
      <c r="CA144" s="238">
        <f t="shared" si="414"/>
        <v>2.3622047244094495E-2</v>
      </c>
      <c r="CB144" s="138">
        <f t="shared" si="415"/>
        <v>0</v>
      </c>
      <c r="CC144" s="138">
        <f t="shared" si="416"/>
        <v>0</v>
      </c>
      <c r="CD144" s="138">
        <f t="shared" si="417"/>
        <v>0</v>
      </c>
      <c r="CE144" s="238">
        <f t="shared" si="418"/>
        <v>2.3622047244094495E-2</v>
      </c>
      <c r="CF144" s="216">
        <f t="shared" si="419"/>
        <v>0</v>
      </c>
      <c r="CG144" s="138">
        <f t="shared" si="420"/>
        <v>0</v>
      </c>
      <c r="CH144" s="138">
        <f t="shared" si="421"/>
        <v>0</v>
      </c>
      <c r="CI144" s="238">
        <f t="shared" si="422"/>
        <v>1.5748031496062995E-2</v>
      </c>
      <c r="CJ144" s="138">
        <f t="shared" si="423"/>
        <v>0</v>
      </c>
      <c r="CK144" s="138">
        <f t="shared" si="424"/>
        <v>0</v>
      </c>
      <c r="CL144" s="138">
        <f t="shared" si="425"/>
        <v>0</v>
      </c>
      <c r="CM144" s="238">
        <f t="shared" si="426"/>
        <v>1.5748031496062995E-2</v>
      </c>
      <c r="CN144" s="17">
        <f t="shared" si="427"/>
        <v>0.25</v>
      </c>
      <c r="CO144" s="17">
        <f t="shared" si="428"/>
        <v>2.3622047244094495E-2</v>
      </c>
      <c r="CP144" s="17">
        <f t="shared" si="429"/>
        <v>1.5748031496062995E-2</v>
      </c>
      <c r="CQ144" s="17">
        <f>$U144-IF('Inputs-Imperial'!$E$13,0,2)*($CO144+$CN144+$CP144)</f>
        <v>2.8204725311999996</v>
      </c>
      <c r="CR144" s="116">
        <f t="shared" si="430"/>
        <v>383.92613188920831</v>
      </c>
      <c r="CS144" s="8">
        <f t="shared" si="324"/>
        <v>9.9265226670564345E-3</v>
      </c>
      <c r="CT144" s="8">
        <f t="shared" si="431"/>
        <v>9.9631935979666852E-2</v>
      </c>
      <c r="CU144" s="8">
        <f t="shared" si="325"/>
        <v>9.9265226670564345E-3</v>
      </c>
      <c r="CV144" s="8">
        <f t="shared" si="432"/>
        <v>9.9631935979666852E-2</v>
      </c>
      <c r="CW144" s="216">
        <f t="shared" si="433"/>
        <v>2.7208405952203329</v>
      </c>
      <c r="CX144" s="116">
        <f t="shared" si="434"/>
        <v>397.98476651135496</v>
      </c>
      <c r="CY144" s="8">
        <f t="shared" si="435"/>
        <v>1.0290012785736021E-2</v>
      </c>
      <c r="CZ144" s="8">
        <f t="shared" si="436"/>
        <v>0.10143970024470705</v>
      </c>
      <c r="DA144" s="8">
        <f t="shared" si="437"/>
        <v>1.0290012785736021E-2</v>
      </c>
      <c r="DB144" s="8">
        <f t="shared" si="438"/>
        <v>0.10143970024470705</v>
      </c>
      <c r="DC144" s="216">
        <f t="shared" si="439"/>
        <v>2.7190328309552929</v>
      </c>
      <c r="DD144" s="116">
        <f t="shared" si="440"/>
        <v>398.24936892098339</v>
      </c>
      <c r="DE144" s="8">
        <f t="shared" si="441"/>
        <v>1.0296854158590767E-2</v>
      </c>
      <c r="DF144" s="8">
        <f t="shared" si="442"/>
        <v>0.10147341601912674</v>
      </c>
      <c r="DG144" s="8">
        <f t="shared" si="443"/>
        <v>1.0296854158590767E-2</v>
      </c>
      <c r="DH144" s="8">
        <f t="shared" si="444"/>
        <v>0.10147341601912674</v>
      </c>
      <c r="DI144" s="216">
        <f t="shared" si="445"/>
        <v>2.7189991151808726</v>
      </c>
      <c r="DJ144" s="116">
        <f t="shared" si="446"/>
        <v>398.25430724031219</v>
      </c>
      <c r="DK144" s="8">
        <f t="shared" si="447"/>
        <v>1.0296981840284412E-2</v>
      </c>
      <c r="DL144" s="8">
        <f t="shared" si="448"/>
        <v>0.10147404515581515</v>
      </c>
      <c r="DM144" s="8">
        <f t="shared" si="449"/>
        <v>1.0296981840284412E-2</v>
      </c>
      <c r="DN144" s="8">
        <f t="shared" si="450"/>
        <v>0.10147404515581515</v>
      </c>
      <c r="DO144" s="216">
        <f t="shared" si="451"/>
        <v>2.7189984860441845</v>
      </c>
      <c r="DP144" s="116">
        <f t="shared" si="452"/>
        <v>398.25439939056429</v>
      </c>
      <c r="DQ144" s="170">
        <f t="shared" si="453"/>
        <v>1.0296984222856189E-2</v>
      </c>
      <c r="DR144" s="8">
        <f t="shared" si="454"/>
        <v>0.10147405689562328</v>
      </c>
      <c r="DS144" s="8">
        <f t="shared" si="455"/>
        <v>1.0296984222856189E-2</v>
      </c>
      <c r="DT144" s="134">
        <f t="shared" si="456"/>
        <v>0.10147405689562328</v>
      </c>
      <c r="DU144" s="170">
        <f t="shared" si="563"/>
        <v>1.6272075519057922E-2</v>
      </c>
      <c r="DV144" s="170">
        <f t="shared" si="563"/>
        <v>0.12756204576227964</v>
      </c>
      <c r="DW144" s="170">
        <f t="shared" si="563"/>
        <v>1.6272075519057922E-2</v>
      </c>
      <c r="DX144" s="272">
        <f t="shared" si="563"/>
        <v>0.12756204576227964</v>
      </c>
      <c r="DY144" s="272">
        <f t="shared" si="457"/>
        <v>2.5653484396754407</v>
      </c>
      <c r="DZ144" s="22">
        <f t="shared" si="326"/>
        <v>41.751537713098102</v>
      </c>
      <c r="EA144" s="216">
        <f t="shared" si="327"/>
        <v>2.7353869045097265E-3</v>
      </c>
      <c r="EB144" s="12">
        <f t="shared" si="458"/>
        <v>1</v>
      </c>
      <c r="EC144" s="7">
        <f>ROUND(MAX(DV144,DX144)/'Inputs-Imperial'!$E$21,0)</f>
        <v>1</v>
      </c>
      <c r="ED144" s="12">
        <f t="shared" si="459"/>
        <v>1</v>
      </c>
      <c r="EE144" s="2">
        <f t="shared" si="460"/>
        <v>2</v>
      </c>
      <c r="EF144" s="127">
        <f t="shared" si="461"/>
        <v>2</v>
      </c>
      <c r="EG144" s="2">
        <f t="shared" si="462"/>
        <v>1.5748031496062995E-2</v>
      </c>
      <c r="EH144" s="8">
        <f t="shared" si="328"/>
        <v>2.8786619860380107E-2</v>
      </c>
      <c r="EI144" s="138">
        <f t="shared" si="463"/>
        <v>0.25</v>
      </c>
      <c r="EJ144" s="12">
        <f t="shared" si="329"/>
        <v>2386.100380303556</v>
      </c>
      <c r="EK144" s="138">
        <f t="shared" si="464"/>
        <v>0.25</v>
      </c>
      <c r="EL144" s="116">
        <f t="shared" si="465"/>
        <v>2175570</v>
      </c>
      <c r="EM144" s="2">
        <f t="shared" si="330"/>
        <v>1.5748031496062995E-2</v>
      </c>
      <c r="EN144" s="8">
        <f t="shared" si="466"/>
        <v>2.8204725311999996</v>
      </c>
      <c r="EO144" s="116">
        <f t="shared" si="467"/>
        <v>2610.6840000000002</v>
      </c>
      <c r="EP144" s="217">
        <f t="shared" si="468"/>
        <v>2.0352184833811928</v>
      </c>
      <c r="EQ144" s="207">
        <f t="shared" si="469"/>
        <v>2</v>
      </c>
      <c r="ER144" s="144">
        <f t="shared" si="470"/>
        <v>84348.833255697289</v>
      </c>
      <c r="ES144" s="138">
        <f t="shared" si="331"/>
        <v>0.25</v>
      </c>
      <c r="ET144" s="116">
        <f t="shared" si="471"/>
        <v>2175570</v>
      </c>
      <c r="EU144" s="2">
        <f t="shared" si="332"/>
        <v>1.5748031496062995E-2</v>
      </c>
      <c r="EV144" s="8">
        <f t="shared" si="472"/>
        <v>2.8204725311999996</v>
      </c>
      <c r="EW144" s="116">
        <f t="shared" si="473"/>
        <v>2610.6840000000002</v>
      </c>
      <c r="EX144" s="217">
        <f t="shared" si="474"/>
        <v>2.0352184833811928</v>
      </c>
      <c r="EY144" s="207">
        <f t="shared" si="475"/>
        <v>2</v>
      </c>
      <c r="EZ144" s="144">
        <f t="shared" si="476"/>
        <v>84348.833255697289</v>
      </c>
      <c r="FA144" s="138">
        <f t="shared" si="333"/>
        <v>0.25</v>
      </c>
      <c r="FB144" s="116">
        <f t="shared" si="477"/>
        <v>2175570</v>
      </c>
      <c r="FC144" s="2">
        <f t="shared" si="334"/>
        <v>1.5748031496062995E-2</v>
      </c>
      <c r="FD144" s="8">
        <f t="shared" si="478"/>
        <v>2.8204725311999996</v>
      </c>
      <c r="FE144" s="116">
        <f t="shared" si="479"/>
        <v>2610.6840000000002</v>
      </c>
      <c r="FF144" s="217">
        <f t="shared" si="480"/>
        <v>2.0352184833811928</v>
      </c>
      <c r="FG144" s="207">
        <f t="shared" si="481"/>
        <v>2</v>
      </c>
      <c r="FH144" s="144">
        <f t="shared" si="482"/>
        <v>84348.833255697289</v>
      </c>
      <c r="FI144" s="128">
        <f t="shared" si="483"/>
        <v>0.25</v>
      </c>
      <c r="FJ144" s="2">
        <f t="shared" si="484"/>
        <v>1.5748031496062995E-2</v>
      </c>
      <c r="FK144" s="127">
        <f t="shared" si="485"/>
        <v>1.5748031496062995E-2</v>
      </c>
      <c r="FL144" s="216">
        <f t="shared" si="486"/>
        <v>0</v>
      </c>
      <c r="FM144" s="138">
        <f t="shared" si="487"/>
        <v>0</v>
      </c>
      <c r="FN144" s="138">
        <f t="shared" si="488"/>
        <v>0</v>
      </c>
      <c r="FO144" s="238">
        <f t="shared" si="489"/>
        <v>0.25</v>
      </c>
      <c r="FP144" s="216">
        <f t="shared" si="335"/>
        <v>0</v>
      </c>
      <c r="FQ144" s="138">
        <f t="shared" si="336"/>
        <v>0</v>
      </c>
      <c r="FR144" s="138">
        <f t="shared" si="337"/>
        <v>0</v>
      </c>
      <c r="FS144" s="238">
        <f t="shared" si="338"/>
        <v>0.25</v>
      </c>
      <c r="FT144" s="216">
        <f t="shared" si="490"/>
        <v>0</v>
      </c>
      <c r="FU144" s="138">
        <f t="shared" si="491"/>
        <v>0</v>
      </c>
      <c r="FV144" s="138">
        <f t="shared" si="492"/>
        <v>0</v>
      </c>
      <c r="FW144" s="238">
        <f t="shared" si="493"/>
        <v>1.5748031496062995E-2</v>
      </c>
      <c r="FX144" s="216">
        <f t="shared" si="339"/>
        <v>0</v>
      </c>
      <c r="FY144" s="138">
        <f t="shared" si="340"/>
        <v>0</v>
      </c>
      <c r="FZ144" s="138">
        <f t="shared" si="341"/>
        <v>0</v>
      </c>
      <c r="GA144" s="238">
        <f t="shared" si="342"/>
        <v>1.5748031496062995E-2</v>
      </c>
      <c r="GB144" s="216">
        <f t="shared" si="494"/>
        <v>0</v>
      </c>
      <c r="GC144" s="138">
        <f t="shared" si="495"/>
        <v>0</v>
      </c>
      <c r="GD144" s="138">
        <f t="shared" si="496"/>
        <v>0</v>
      </c>
      <c r="GE144" s="238">
        <f t="shared" si="497"/>
        <v>1.5748031496062995E-2</v>
      </c>
      <c r="GF144" s="216">
        <f t="shared" si="343"/>
        <v>0</v>
      </c>
      <c r="GG144" s="138">
        <f t="shared" si="344"/>
        <v>0</v>
      </c>
      <c r="GH144" s="138">
        <f t="shared" si="345"/>
        <v>0</v>
      </c>
      <c r="GI144" s="238">
        <f t="shared" si="346"/>
        <v>1.5748031496062995E-2</v>
      </c>
      <c r="GJ144" s="216">
        <f t="shared" si="498"/>
        <v>0.25</v>
      </c>
      <c r="GK144" s="216">
        <f t="shared" si="499"/>
        <v>1.5748031496062995E-2</v>
      </c>
      <c r="GL144" s="17">
        <f t="shared" si="500"/>
        <v>1.5748031496062995E-2</v>
      </c>
      <c r="GM144" s="216">
        <f t="shared" si="347"/>
        <v>1.3075495167097003E-3</v>
      </c>
      <c r="GN144" s="2">
        <f t="shared" si="501"/>
        <v>1</v>
      </c>
      <c r="GO144" s="2">
        <f t="shared" si="502"/>
        <v>2</v>
      </c>
      <c r="GP144" s="142">
        <f t="shared" si="503"/>
        <v>2</v>
      </c>
      <c r="GQ144" s="2">
        <f t="shared" si="504"/>
        <v>1.5748031496062995E-2</v>
      </c>
      <c r="GR144" s="8">
        <f t="shared" si="348"/>
        <v>1.376036816732959E-2</v>
      </c>
      <c r="GS144" s="138">
        <f t="shared" si="505"/>
        <v>0.25</v>
      </c>
      <c r="GT144" s="12">
        <f t="shared" si="349"/>
        <v>1140.5861430216746</v>
      </c>
      <c r="GU144" s="138">
        <f t="shared" si="506"/>
        <v>0.25</v>
      </c>
      <c r="GV144" s="116">
        <f t="shared" si="507"/>
        <v>2175570</v>
      </c>
      <c r="GW144" s="2">
        <f t="shared" si="350"/>
        <v>1.5748031496062995E-2</v>
      </c>
      <c r="GX144" s="8">
        <f t="shared" si="351"/>
        <v>1.4102362655999998</v>
      </c>
      <c r="GY144" s="116">
        <f t="shared" si="508"/>
        <v>2610.6840000000002</v>
      </c>
      <c r="GZ144" s="217">
        <f t="shared" si="509"/>
        <v>8.1408739335247713</v>
      </c>
      <c r="HA144" s="207">
        <f t="shared" si="510"/>
        <v>2</v>
      </c>
      <c r="HB144" s="144">
        <f t="shared" si="511"/>
        <v>337395.33302278916</v>
      </c>
      <c r="HC144" s="138">
        <f t="shared" si="352"/>
        <v>0.25</v>
      </c>
      <c r="HD144" s="116">
        <f t="shared" si="512"/>
        <v>2175570</v>
      </c>
      <c r="HE144" s="2">
        <f t="shared" si="353"/>
        <v>1.5748031496062995E-2</v>
      </c>
      <c r="HF144" s="8">
        <f t="shared" si="513"/>
        <v>1.4102362655999998</v>
      </c>
      <c r="HG144" s="116">
        <f t="shared" si="514"/>
        <v>2610.6840000000002</v>
      </c>
      <c r="HH144" s="217">
        <f t="shared" si="515"/>
        <v>8.1408739335247713</v>
      </c>
      <c r="HI144" s="207">
        <f t="shared" si="516"/>
        <v>2</v>
      </c>
      <c r="HJ144" s="144">
        <f t="shared" si="517"/>
        <v>337395.33302278916</v>
      </c>
      <c r="HK144" s="138">
        <f t="shared" si="354"/>
        <v>0.25</v>
      </c>
      <c r="HL144" s="116">
        <f t="shared" si="518"/>
        <v>2175570</v>
      </c>
      <c r="HM144" s="2">
        <f t="shared" si="355"/>
        <v>1.5748031496062995E-2</v>
      </c>
      <c r="HN144" s="8">
        <f t="shared" si="519"/>
        <v>1.4102362655999998</v>
      </c>
      <c r="HO144" s="116">
        <f t="shared" si="520"/>
        <v>2610.6840000000002</v>
      </c>
      <c r="HP144" s="217">
        <f t="shared" si="521"/>
        <v>8.1408739335247713</v>
      </c>
      <c r="HQ144" s="207">
        <f t="shared" si="522"/>
        <v>2</v>
      </c>
      <c r="HR144" s="144">
        <f t="shared" si="523"/>
        <v>337395.33302278916</v>
      </c>
      <c r="HS144" s="128">
        <f t="shared" si="524"/>
        <v>0.25</v>
      </c>
      <c r="HT144" s="2">
        <f t="shared" si="525"/>
        <v>1.5748031496062995E-2</v>
      </c>
      <c r="HU144" s="127">
        <f t="shared" si="526"/>
        <v>1.5748031496062995E-2</v>
      </c>
      <c r="HV144" s="216">
        <f t="shared" si="527"/>
        <v>0</v>
      </c>
      <c r="HW144" s="138">
        <f t="shared" si="528"/>
        <v>0</v>
      </c>
      <c r="HX144" s="138">
        <f t="shared" si="529"/>
        <v>0</v>
      </c>
      <c r="HY144" s="238">
        <f t="shared" si="530"/>
        <v>0.25</v>
      </c>
      <c r="HZ144" s="138">
        <f t="shared" si="531"/>
        <v>0</v>
      </c>
      <c r="IA144" s="138">
        <f t="shared" si="532"/>
        <v>0</v>
      </c>
      <c r="IB144" s="138">
        <f t="shared" si="533"/>
        <v>0</v>
      </c>
      <c r="IC144" s="138">
        <f t="shared" si="534"/>
        <v>0.25</v>
      </c>
      <c r="ID144" s="216">
        <f t="shared" si="535"/>
        <v>0</v>
      </c>
      <c r="IE144" s="138">
        <f t="shared" si="536"/>
        <v>0</v>
      </c>
      <c r="IF144" s="138">
        <f t="shared" si="537"/>
        <v>0</v>
      </c>
      <c r="IG144" s="238">
        <f t="shared" si="538"/>
        <v>1.5748031496062995E-2</v>
      </c>
      <c r="IH144" s="138">
        <f t="shared" si="539"/>
        <v>0</v>
      </c>
      <c r="II144" s="138">
        <f t="shared" si="540"/>
        <v>0</v>
      </c>
      <c r="IJ144" s="138">
        <f t="shared" si="541"/>
        <v>0</v>
      </c>
      <c r="IK144" s="138">
        <f t="shared" si="542"/>
        <v>1.5748031496062995E-2</v>
      </c>
      <c r="IL144" s="216">
        <f t="shared" si="543"/>
        <v>0</v>
      </c>
      <c r="IM144" s="138">
        <f t="shared" si="544"/>
        <v>0</v>
      </c>
      <c r="IN144" s="138">
        <f t="shared" si="545"/>
        <v>0</v>
      </c>
      <c r="IO144" s="238">
        <f t="shared" si="546"/>
        <v>1.5748031496062995E-2</v>
      </c>
      <c r="IP144" s="138">
        <f t="shared" si="547"/>
        <v>0</v>
      </c>
      <c r="IQ144" s="138">
        <f t="shared" si="548"/>
        <v>0</v>
      </c>
      <c r="IR144" s="138">
        <f t="shared" si="549"/>
        <v>0</v>
      </c>
      <c r="IS144" s="138">
        <f t="shared" si="550"/>
        <v>1.5748031496062995E-2</v>
      </c>
      <c r="IT144" s="17">
        <f t="shared" si="551"/>
        <v>0.25</v>
      </c>
      <c r="IU144" s="17">
        <f t="shared" si="552"/>
        <v>1.5748031496062995E-2</v>
      </c>
      <c r="IV144" s="17">
        <f t="shared" si="553"/>
        <v>1.5748031496062995E-2</v>
      </c>
      <c r="IW144" s="253">
        <f t="shared" si="554"/>
        <v>7.834645919999998</v>
      </c>
      <c r="IX144" s="116">
        <f t="shared" si="356"/>
        <v>13.821340748011501</v>
      </c>
      <c r="IY144" s="8">
        <f t="shared" si="357"/>
        <v>3.5735481601403168E-4</v>
      </c>
      <c r="IZ144" s="8">
        <f t="shared" si="555"/>
        <v>3.5735481601403168E-4</v>
      </c>
      <c r="JA144" s="8">
        <f t="shared" si="556"/>
        <v>1.7867740800701584E-4</v>
      </c>
      <c r="JB144" s="134">
        <f t="shared" si="557"/>
        <v>1.3367026894826531E-2</v>
      </c>
      <c r="JC144" s="170">
        <f t="shared" si="564"/>
        <v>2.8003815318914239E-4</v>
      </c>
      <c r="JD144" s="272">
        <f t="shared" si="565"/>
        <v>1.6734340536428149E-2</v>
      </c>
      <c r="JE144" s="8"/>
      <c r="JF144" s="8"/>
    </row>
    <row r="145" spans="1:266" x14ac:dyDescent="0.25">
      <c r="A145" s="186">
        <v>85</v>
      </c>
      <c r="B145" s="187">
        <f>A145/100*'Inputs-Imperial'!$E$5</f>
        <v>8.366142</v>
      </c>
      <c r="C145" s="188">
        <f>'Inputs-Imperial'!$E$10+('Inputs-Imperial'!$E$9-'Inputs-Imperial'!$E$10)*(100-A145)/100</f>
        <v>1.2959318</v>
      </c>
      <c r="D145" s="187">
        <f t="shared" si="558"/>
        <v>9.8425199999999435E-2</v>
      </c>
      <c r="E145" s="188">
        <f t="shared" si="559"/>
        <v>0.12803672260111126</v>
      </c>
      <c r="F145" s="423">
        <f>Loads!P105</f>
        <v>10.882593915499339</v>
      </c>
      <c r="G145" s="423">
        <f>Loads!M105</f>
        <v>108.82593915499339</v>
      </c>
      <c r="H145" s="423">
        <f>Loads!N105</f>
        <v>78.647299534063507</v>
      </c>
      <c r="I145" s="423">
        <f>Loads!V105</f>
        <v>-59.058264856248861</v>
      </c>
      <c r="J145" s="423">
        <f>Loads!Q105</f>
        <v>7.8647299534063499</v>
      </c>
      <c r="K145" s="2">
        <v>85</v>
      </c>
      <c r="L145" s="12">
        <f t="shared" si="358"/>
        <v>100.393704</v>
      </c>
      <c r="M145" s="11">
        <f t="shared" si="359"/>
        <v>15.5511816</v>
      </c>
      <c r="N145" s="11">
        <f t="shared" si="360"/>
        <v>1.1811023999999932</v>
      </c>
      <c r="O145" s="152">
        <f t="shared" si="361"/>
        <v>18.437288054560021</v>
      </c>
      <c r="P145" s="151">
        <f t="shared" si="362"/>
        <v>10.882593915499339</v>
      </c>
      <c r="Q145" s="12">
        <f t="shared" si="363"/>
        <v>108.82593915499339</v>
      </c>
      <c r="R145" s="12">
        <f t="shared" si="364"/>
        <v>943.76759440876208</v>
      </c>
      <c r="S145" s="12">
        <f t="shared" si="365"/>
        <v>-708.69917827498637</v>
      </c>
      <c r="T145" s="152">
        <f t="shared" si="366"/>
        <v>94.376759440876199</v>
      </c>
      <c r="U145" s="8">
        <f t="shared" si="313"/>
        <v>2.7992126879999999</v>
      </c>
      <c r="V145" s="8">
        <f t="shared" si="314"/>
        <v>2.7992126879999999</v>
      </c>
      <c r="W145" s="134">
        <f t="shared" si="315"/>
        <v>1.3996063439999999</v>
      </c>
      <c r="X145" s="311">
        <f t="shared" si="316"/>
        <v>3.8877953999999999</v>
      </c>
      <c r="Y145" s="11">
        <f t="shared" si="317"/>
        <v>11.6633862</v>
      </c>
      <c r="Z145" s="11">
        <f t="shared" si="318"/>
        <v>7.7755907999999998</v>
      </c>
      <c r="AA145" s="316">
        <f t="shared" si="367"/>
        <v>11.6633862</v>
      </c>
      <c r="AB145" s="170">
        <f t="shared" si="368"/>
        <v>2.0994095159999997</v>
      </c>
      <c r="AC145" s="11">
        <f t="shared" si="369"/>
        <v>11.6633862</v>
      </c>
      <c r="AD145" s="152">
        <f t="shared" si="370"/>
        <v>19.231435340123902</v>
      </c>
      <c r="AE145" s="151">
        <f t="shared" si="319"/>
        <v>0.93305612357235834</v>
      </c>
      <c r="AF145" s="12">
        <f t="shared" si="320"/>
        <v>18.425540417058137</v>
      </c>
      <c r="AG145" s="216">
        <f t="shared" si="321"/>
        <v>1.2682946393688323E-3</v>
      </c>
      <c r="AH145" s="2">
        <f t="shared" si="371"/>
        <v>1</v>
      </c>
      <c r="AI145" s="2">
        <f t="shared" si="372"/>
        <v>3</v>
      </c>
      <c r="AJ145" s="127">
        <f t="shared" si="373"/>
        <v>2</v>
      </c>
      <c r="AK145" s="2">
        <f t="shared" si="374"/>
        <v>1.5748031496062995E-2</v>
      </c>
      <c r="AL145" s="8">
        <f t="shared" si="322"/>
        <v>1.3347258332733834E-2</v>
      </c>
      <c r="AM145" s="138">
        <f t="shared" si="375"/>
        <v>0.25</v>
      </c>
      <c r="AN145" s="12">
        <f t="shared" si="323"/>
        <v>1106.3437922970329</v>
      </c>
      <c r="AO145" s="138">
        <f t="shared" si="376"/>
        <v>0.25</v>
      </c>
      <c r="AP145" s="116">
        <f t="shared" si="377"/>
        <v>2175570</v>
      </c>
      <c r="AQ145" s="2">
        <f t="shared" si="378"/>
        <v>1.5748031496062995E-2</v>
      </c>
      <c r="AR145" s="8">
        <f t="shared" si="379"/>
        <v>7.7755907999999998</v>
      </c>
      <c r="AS145" s="116">
        <f t="shared" si="380"/>
        <v>2610.6840000000002</v>
      </c>
      <c r="AT145" s="217">
        <f t="shared" si="381"/>
        <v>0.26778607674372873</v>
      </c>
      <c r="AU145" s="207">
        <f t="shared" si="382"/>
        <v>2.7498048654033416</v>
      </c>
      <c r="AV145" s="144">
        <f t="shared" si="383"/>
        <v>15259.06469945806</v>
      </c>
      <c r="AW145" s="138">
        <f t="shared" si="384"/>
        <v>0.25</v>
      </c>
      <c r="AX145" s="116">
        <f t="shared" si="385"/>
        <v>2175570</v>
      </c>
      <c r="AY145" s="2">
        <f t="shared" si="386"/>
        <v>1.5748031496062995E-2</v>
      </c>
      <c r="AZ145" s="8">
        <f t="shared" si="387"/>
        <v>7.7755907999999998</v>
      </c>
      <c r="BA145" s="116">
        <f t="shared" si="388"/>
        <v>2610.6840000000002</v>
      </c>
      <c r="BB145" s="217">
        <f t="shared" si="389"/>
        <v>0.26778607674372873</v>
      </c>
      <c r="BC145" s="207">
        <f t="shared" si="390"/>
        <v>2.7498048654033416</v>
      </c>
      <c r="BD145" s="144">
        <f t="shared" si="391"/>
        <v>15259.06469945806</v>
      </c>
      <c r="BE145" s="138">
        <f t="shared" si="392"/>
        <v>0.25</v>
      </c>
      <c r="BF145" s="116">
        <f t="shared" si="393"/>
        <v>2175570</v>
      </c>
      <c r="BG145" s="2">
        <f t="shared" si="394"/>
        <v>1.5748031496062995E-2</v>
      </c>
      <c r="BH145" s="8">
        <f t="shared" si="395"/>
        <v>7.7755907999999998</v>
      </c>
      <c r="BI145" s="116">
        <f t="shared" si="396"/>
        <v>2610.6840000000002</v>
      </c>
      <c r="BJ145" s="217">
        <f t="shared" si="397"/>
        <v>0.26778607674372873</v>
      </c>
      <c r="BK145" s="207">
        <f t="shared" si="398"/>
        <v>2.7498048654033416</v>
      </c>
      <c r="BL145" s="144">
        <f t="shared" si="399"/>
        <v>15259.06469945806</v>
      </c>
      <c r="BM145" s="216">
        <f t="shared" si="400"/>
        <v>0.25</v>
      </c>
      <c r="BN145" s="216">
        <f t="shared" si="401"/>
        <v>2.3622047244094495E-2</v>
      </c>
      <c r="BO145" s="238">
        <f t="shared" si="402"/>
        <v>1.5748031496062995E-2</v>
      </c>
      <c r="BP145" s="216">
        <f t="shared" si="403"/>
        <v>0</v>
      </c>
      <c r="BQ145" s="138">
        <f t="shared" si="404"/>
        <v>0</v>
      </c>
      <c r="BR145" s="138">
        <f t="shared" si="405"/>
        <v>0</v>
      </c>
      <c r="BS145" s="238">
        <f t="shared" si="406"/>
        <v>0.25</v>
      </c>
      <c r="BT145" s="138">
        <f t="shared" si="407"/>
        <v>0</v>
      </c>
      <c r="BU145" s="138">
        <f t="shared" si="408"/>
        <v>0</v>
      </c>
      <c r="BV145" s="138">
        <f t="shared" si="409"/>
        <v>0</v>
      </c>
      <c r="BW145" s="238">
        <f t="shared" si="410"/>
        <v>0.25</v>
      </c>
      <c r="BX145" s="216">
        <f t="shared" si="411"/>
        <v>0</v>
      </c>
      <c r="BY145" s="138">
        <f t="shared" si="412"/>
        <v>0</v>
      </c>
      <c r="BZ145" s="138">
        <f t="shared" si="413"/>
        <v>0</v>
      </c>
      <c r="CA145" s="238">
        <f t="shared" si="414"/>
        <v>2.3622047244094495E-2</v>
      </c>
      <c r="CB145" s="138">
        <f t="shared" si="415"/>
        <v>0</v>
      </c>
      <c r="CC145" s="138">
        <f t="shared" si="416"/>
        <v>0</v>
      </c>
      <c r="CD145" s="138">
        <f t="shared" si="417"/>
        <v>0</v>
      </c>
      <c r="CE145" s="238">
        <f t="shared" si="418"/>
        <v>2.3622047244094495E-2</v>
      </c>
      <c r="CF145" s="216">
        <f t="shared" si="419"/>
        <v>0</v>
      </c>
      <c r="CG145" s="138">
        <f t="shared" si="420"/>
        <v>0</v>
      </c>
      <c r="CH145" s="138">
        <f t="shared" si="421"/>
        <v>0</v>
      </c>
      <c r="CI145" s="238">
        <f t="shared" si="422"/>
        <v>1.5748031496062995E-2</v>
      </c>
      <c r="CJ145" s="138">
        <f t="shared" si="423"/>
        <v>0</v>
      </c>
      <c r="CK145" s="138">
        <f t="shared" si="424"/>
        <v>0</v>
      </c>
      <c r="CL145" s="138">
        <f t="shared" si="425"/>
        <v>0</v>
      </c>
      <c r="CM145" s="238">
        <f t="shared" si="426"/>
        <v>1.5748031496062995E-2</v>
      </c>
      <c r="CN145" s="17">
        <f t="shared" si="427"/>
        <v>0.25</v>
      </c>
      <c r="CO145" s="17">
        <f t="shared" si="428"/>
        <v>2.3622047244094495E-2</v>
      </c>
      <c r="CP145" s="17">
        <f t="shared" si="429"/>
        <v>1.5748031496062995E-2</v>
      </c>
      <c r="CQ145" s="17">
        <f>$U145-IF('Inputs-Imperial'!$E$13,0,2)*($CO145+$CN145+$CP145)</f>
        <v>2.7992126879999999</v>
      </c>
      <c r="CR145" s="116">
        <f t="shared" si="430"/>
        <v>337.15465725581271</v>
      </c>
      <c r="CS145" s="8">
        <f t="shared" si="324"/>
        <v>8.7172324818964517E-3</v>
      </c>
      <c r="CT145" s="8">
        <f t="shared" si="431"/>
        <v>9.3366120632146068E-2</v>
      </c>
      <c r="CU145" s="8">
        <f t="shared" si="325"/>
        <v>8.7172324818964517E-3</v>
      </c>
      <c r="CV145" s="8">
        <f t="shared" si="432"/>
        <v>9.3366120632146068E-2</v>
      </c>
      <c r="CW145" s="216">
        <f t="shared" si="433"/>
        <v>2.7058465673678542</v>
      </c>
      <c r="CX145" s="116">
        <f t="shared" si="434"/>
        <v>348.7882889556534</v>
      </c>
      <c r="CY145" s="8">
        <f t="shared" si="435"/>
        <v>9.0180234392621249E-3</v>
      </c>
      <c r="CZ145" s="8">
        <f t="shared" si="436"/>
        <v>9.4963274160393837E-2</v>
      </c>
      <c r="DA145" s="8">
        <f t="shared" si="437"/>
        <v>9.0180234392621249E-3</v>
      </c>
      <c r="DB145" s="8">
        <f t="shared" si="438"/>
        <v>9.4963274160393837E-2</v>
      </c>
      <c r="DC145" s="216">
        <f t="shared" si="439"/>
        <v>2.704249413839606</v>
      </c>
      <c r="DD145" s="116">
        <f t="shared" si="440"/>
        <v>348.99428639193508</v>
      </c>
      <c r="DE145" s="8">
        <f t="shared" si="441"/>
        <v>9.0233495633541307E-3</v>
      </c>
      <c r="DF145" s="8">
        <f t="shared" si="442"/>
        <v>9.4991313094167362E-2</v>
      </c>
      <c r="DG145" s="8">
        <f t="shared" si="443"/>
        <v>9.0233495633541307E-3</v>
      </c>
      <c r="DH145" s="8">
        <f t="shared" si="444"/>
        <v>9.4991313094167362E-2</v>
      </c>
      <c r="DI145" s="216">
        <f t="shared" si="445"/>
        <v>2.7042213749058321</v>
      </c>
      <c r="DJ145" s="116">
        <f t="shared" si="446"/>
        <v>348.99790496686921</v>
      </c>
      <c r="DK145" s="8">
        <f t="shared" si="447"/>
        <v>9.0234431226696409E-3</v>
      </c>
      <c r="DL145" s="8">
        <f t="shared" si="448"/>
        <v>9.4991805555372205E-2</v>
      </c>
      <c r="DM145" s="8">
        <f t="shared" si="449"/>
        <v>9.0234431226696409E-3</v>
      </c>
      <c r="DN145" s="8">
        <f t="shared" si="450"/>
        <v>9.4991805555372205E-2</v>
      </c>
      <c r="DO145" s="216">
        <f t="shared" si="451"/>
        <v>2.7042208824446279</v>
      </c>
      <c r="DP145" s="116">
        <f t="shared" si="452"/>
        <v>348.99796852230202</v>
      </c>
      <c r="DQ145" s="170">
        <f t="shared" si="453"/>
        <v>9.0234447659139835E-3</v>
      </c>
      <c r="DR145" s="8">
        <f t="shared" si="454"/>
        <v>9.4991814204772318E-2</v>
      </c>
      <c r="DS145" s="8">
        <f t="shared" si="455"/>
        <v>9.0234447659139835E-3</v>
      </c>
      <c r="DT145" s="134">
        <f t="shared" si="456"/>
        <v>9.4991814204772318E-2</v>
      </c>
      <c r="DU145" s="170">
        <f t="shared" si="563"/>
        <v>1.6272075519057922E-2</v>
      </c>
      <c r="DV145" s="170">
        <f t="shared" si="563"/>
        <v>0.12756204576227964</v>
      </c>
      <c r="DW145" s="170">
        <f t="shared" si="563"/>
        <v>1.6272075519057922E-2</v>
      </c>
      <c r="DX145" s="272">
        <f t="shared" si="563"/>
        <v>0.12756204576227964</v>
      </c>
      <c r="DY145" s="272">
        <f t="shared" si="457"/>
        <v>2.5440885964754409</v>
      </c>
      <c r="DZ145" s="22">
        <f t="shared" si="326"/>
        <v>38.877338482181599</v>
      </c>
      <c r="EA145" s="216">
        <f t="shared" si="327"/>
        <v>2.5470813385871931E-3</v>
      </c>
      <c r="EB145" s="12">
        <f t="shared" si="458"/>
        <v>1</v>
      </c>
      <c r="EC145" s="7">
        <f>ROUND(MAX(DV145,DX145)/'Inputs-Imperial'!$E$21,0)</f>
        <v>1</v>
      </c>
      <c r="ED145" s="12">
        <f t="shared" si="459"/>
        <v>1</v>
      </c>
      <c r="EE145" s="2">
        <f t="shared" si="460"/>
        <v>2</v>
      </c>
      <c r="EF145" s="127">
        <f t="shared" si="461"/>
        <v>2</v>
      </c>
      <c r="EG145" s="2">
        <f t="shared" si="462"/>
        <v>1.5748031496062995E-2</v>
      </c>
      <c r="EH145" s="8">
        <f t="shared" si="328"/>
        <v>2.6804932832900065E-2</v>
      </c>
      <c r="EI145" s="138">
        <f t="shared" si="463"/>
        <v>0.25</v>
      </c>
      <c r="EJ145" s="12">
        <f t="shared" si="329"/>
        <v>2221.8398942566778</v>
      </c>
      <c r="EK145" s="138">
        <f t="shared" si="464"/>
        <v>0.25</v>
      </c>
      <c r="EL145" s="116">
        <f t="shared" si="465"/>
        <v>2175570</v>
      </c>
      <c r="EM145" s="2">
        <f t="shared" si="330"/>
        <v>1.5748031496062995E-2</v>
      </c>
      <c r="EN145" s="8">
        <f t="shared" si="466"/>
        <v>2.7992126879999999</v>
      </c>
      <c r="EO145" s="116">
        <f t="shared" si="467"/>
        <v>2610.6840000000002</v>
      </c>
      <c r="EP145" s="217">
        <f t="shared" si="468"/>
        <v>2.0662505921584007</v>
      </c>
      <c r="EQ145" s="207">
        <f t="shared" si="469"/>
        <v>2</v>
      </c>
      <c r="ER145" s="144">
        <f t="shared" si="470"/>
        <v>85634.946854898066</v>
      </c>
      <c r="ES145" s="138">
        <f t="shared" si="331"/>
        <v>0.25</v>
      </c>
      <c r="ET145" s="116">
        <f t="shared" si="471"/>
        <v>2175570</v>
      </c>
      <c r="EU145" s="2">
        <f t="shared" si="332"/>
        <v>1.5748031496062995E-2</v>
      </c>
      <c r="EV145" s="8">
        <f t="shared" si="472"/>
        <v>2.7992126879999999</v>
      </c>
      <c r="EW145" s="116">
        <f t="shared" si="473"/>
        <v>2610.6840000000002</v>
      </c>
      <c r="EX145" s="217">
        <f t="shared" si="474"/>
        <v>2.0662505921584007</v>
      </c>
      <c r="EY145" s="207">
        <f t="shared" si="475"/>
        <v>2</v>
      </c>
      <c r="EZ145" s="144">
        <f t="shared" si="476"/>
        <v>85634.946854898066</v>
      </c>
      <c r="FA145" s="138">
        <f t="shared" si="333"/>
        <v>0.25</v>
      </c>
      <c r="FB145" s="116">
        <f t="shared" si="477"/>
        <v>2175570</v>
      </c>
      <c r="FC145" s="2">
        <f t="shared" si="334"/>
        <v>1.5748031496062995E-2</v>
      </c>
      <c r="FD145" s="8">
        <f t="shared" si="478"/>
        <v>2.7992126879999999</v>
      </c>
      <c r="FE145" s="116">
        <f t="shared" si="479"/>
        <v>2610.6840000000002</v>
      </c>
      <c r="FF145" s="217">
        <f t="shared" si="480"/>
        <v>2.0662505921584007</v>
      </c>
      <c r="FG145" s="207">
        <f t="shared" si="481"/>
        <v>2</v>
      </c>
      <c r="FH145" s="144">
        <f t="shared" si="482"/>
        <v>85634.946854898066</v>
      </c>
      <c r="FI145" s="128">
        <f t="shared" si="483"/>
        <v>0.25</v>
      </c>
      <c r="FJ145" s="2">
        <f t="shared" si="484"/>
        <v>1.5748031496062995E-2</v>
      </c>
      <c r="FK145" s="127">
        <f t="shared" si="485"/>
        <v>1.5748031496062995E-2</v>
      </c>
      <c r="FL145" s="216">
        <f t="shared" si="486"/>
        <v>0</v>
      </c>
      <c r="FM145" s="138">
        <f t="shared" si="487"/>
        <v>0</v>
      </c>
      <c r="FN145" s="138">
        <f t="shared" si="488"/>
        <v>0</v>
      </c>
      <c r="FO145" s="238">
        <f t="shared" si="489"/>
        <v>0.25</v>
      </c>
      <c r="FP145" s="216">
        <f t="shared" si="335"/>
        <v>0</v>
      </c>
      <c r="FQ145" s="138">
        <f t="shared" si="336"/>
        <v>0</v>
      </c>
      <c r="FR145" s="138">
        <f t="shared" si="337"/>
        <v>0</v>
      </c>
      <c r="FS145" s="238">
        <f t="shared" si="338"/>
        <v>0.25</v>
      </c>
      <c r="FT145" s="216">
        <f t="shared" si="490"/>
        <v>0</v>
      </c>
      <c r="FU145" s="138">
        <f t="shared" si="491"/>
        <v>0</v>
      </c>
      <c r="FV145" s="138">
        <f t="shared" si="492"/>
        <v>0</v>
      </c>
      <c r="FW145" s="238">
        <f t="shared" si="493"/>
        <v>1.5748031496062995E-2</v>
      </c>
      <c r="FX145" s="216">
        <f t="shared" si="339"/>
        <v>0</v>
      </c>
      <c r="FY145" s="138">
        <f t="shared" si="340"/>
        <v>0</v>
      </c>
      <c r="FZ145" s="138">
        <f t="shared" si="341"/>
        <v>0</v>
      </c>
      <c r="GA145" s="238">
        <f t="shared" si="342"/>
        <v>1.5748031496062995E-2</v>
      </c>
      <c r="GB145" s="216">
        <f t="shared" si="494"/>
        <v>0</v>
      </c>
      <c r="GC145" s="138">
        <f t="shared" si="495"/>
        <v>0</v>
      </c>
      <c r="GD145" s="138">
        <f t="shared" si="496"/>
        <v>0</v>
      </c>
      <c r="GE145" s="238">
        <f t="shared" si="497"/>
        <v>1.5748031496062995E-2</v>
      </c>
      <c r="GF145" s="216">
        <f t="shared" si="343"/>
        <v>0</v>
      </c>
      <c r="GG145" s="138">
        <f t="shared" si="344"/>
        <v>0</v>
      </c>
      <c r="GH145" s="138">
        <f t="shared" si="345"/>
        <v>0</v>
      </c>
      <c r="GI145" s="238">
        <f t="shared" si="346"/>
        <v>1.5748031496062995E-2</v>
      </c>
      <c r="GJ145" s="216">
        <f t="shared" si="498"/>
        <v>0.25</v>
      </c>
      <c r="GK145" s="216">
        <f t="shared" si="499"/>
        <v>1.5748031496062995E-2</v>
      </c>
      <c r="GL145" s="17">
        <f t="shared" si="500"/>
        <v>1.5748031496062995E-2</v>
      </c>
      <c r="GM145" s="216">
        <f t="shared" si="347"/>
        <v>1.2071646872427394E-3</v>
      </c>
      <c r="GN145" s="2">
        <f t="shared" si="501"/>
        <v>1</v>
      </c>
      <c r="GO145" s="2">
        <f t="shared" si="502"/>
        <v>2</v>
      </c>
      <c r="GP145" s="142">
        <f t="shared" si="503"/>
        <v>2</v>
      </c>
      <c r="GQ145" s="2">
        <f t="shared" si="504"/>
        <v>1.5748031496062995E-2</v>
      </c>
      <c r="GR145" s="8">
        <f t="shared" si="348"/>
        <v>1.270393994474423E-2</v>
      </c>
      <c r="GS145" s="138">
        <f t="shared" si="505"/>
        <v>0.25</v>
      </c>
      <c r="GT145" s="12">
        <f t="shared" si="349"/>
        <v>1053.0196348348722</v>
      </c>
      <c r="GU145" s="138">
        <f t="shared" si="506"/>
        <v>0.25</v>
      </c>
      <c r="GV145" s="116">
        <f t="shared" si="507"/>
        <v>2175570</v>
      </c>
      <c r="GW145" s="2">
        <f t="shared" si="350"/>
        <v>1.5748031496062995E-2</v>
      </c>
      <c r="GX145" s="8">
        <f t="shared" si="351"/>
        <v>1.3996063439999999</v>
      </c>
      <c r="GY145" s="116">
        <f t="shared" si="508"/>
        <v>2610.6840000000002</v>
      </c>
      <c r="GZ145" s="217">
        <f t="shared" si="509"/>
        <v>8.2650023686336027</v>
      </c>
      <c r="HA145" s="207">
        <f t="shared" si="510"/>
        <v>2</v>
      </c>
      <c r="HB145" s="144">
        <f t="shared" si="511"/>
        <v>342539.78741959226</v>
      </c>
      <c r="HC145" s="138">
        <f t="shared" si="352"/>
        <v>0.25</v>
      </c>
      <c r="HD145" s="116">
        <f t="shared" si="512"/>
        <v>2175570</v>
      </c>
      <c r="HE145" s="2">
        <f t="shared" si="353"/>
        <v>1.5748031496062995E-2</v>
      </c>
      <c r="HF145" s="8">
        <f t="shared" si="513"/>
        <v>1.3996063439999999</v>
      </c>
      <c r="HG145" s="116">
        <f t="shared" si="514"/>
        <v>2610.6840000000002</v>
      </c>
      <c r="HH145" s="217">
        <f t="shared" si="515"/>
        <v>8.2650023686336027</v>
      </c>
      <c r="HI145" s="207">
        <f t="shared" si="516"/>
        <v>2</v>
      </c>
      <c r="HJ145" s="144">
        <f t="shared" si="517"/>
        <v>342539.78741959226</v>
      </c>
      <c r="HK145" s="138">
        <f t="shared" si="354"/>
        <v>0.25</v>
      </c>
      <c r="HL145" s="116">
        <f t="shared" si="518"/>
        <v>2175570</v>
      </c>
      <c r="HM145" s="2">
        <f t="shared" si="355"/>
        <v>1.5748031496062995E-2</v>
      </c>
      <c r="HN145" s="8">
        <f t="shared" si="519"/>
        <v>1.3996063439999999</v>
      </c>
      <c r="HO145" s="116">
        <f t="shared" si="520"/>
        <v>2610.6840000000002</v>
      </c>
      <c r="HP145" s="217">
        <f t="shared" si="521"/>
        <v>8.2650023686336027</v>
      </c>
      <c r="HQ145" s="207">
        <f t="shared" si="522"/>
        <v>2</v>
      </c>
      <c r="HR145" s="144">
        <f t="shared" si="523"/>
        <v>342539.78741959226</v>
      </c>
      <c r="HS145" s="128">
        <f t="shared" si="524"/>
        <v>0.25</v>
      </c>
      <c r="HT145" s="2">
        <f t="shared" si="525"/>
        <v>1.5748031496062995E-2</v>
      </c>
      <c r="HU145" s="127">
        <f t="shared" si="526"/>
        <v>1.5748031496062995E-2</v>
      </c>
      <c r="HV145" s="216">
        <f t="shared" si="527"/>
        <v>0</v>
      </c>
      <c r="HW145" s="138">
        <f t="shared" si="528"/>
        <v>0</v>
      </c>
      <c r="HX145" s="138">
        <f t="shared" si="529"/>
        <v>0</v>
      </c>
      <c r="HY145" s="238">
        <f t="shared" si="530"/>
        <v>0.25</v>
      </c>
      <c r="HZ145" s="138">
        <f t="shared" si="531"/>
        <v>0</v>
      </c>
      <c r="IA145" s="138">
        <f t="shared" si="532"/>
        <v>0</v>
      </c>
      <c r="IB145" s="138">
        <f t="shared" si="533"/>
        <v>0</v>
      </c>
      <c r="IC145" s="138">
        <f t="shared" si="534"/>
        <v>0.25</v>
      </c>
      <c r="ID145" s="216">
        <f t="shared" si="535"/>
        <v>0</v>
      </c>
      <c r="IE145" s="138">
        <f t="shared" si="536"/>
        <v>0</v>
      </c>
      <c r="IF145" s="138">
        <f t="shared" si="537"/>
        <v>0</v>
      </c>
      <c r="IG145" s="238">
        <f t="shared" si="538"/>
        <v>1.5748031496062995E-2</v>
      </c>
      <c r="IH145" s="138">
        <f t="shared" si="539"/>
        <v>0</v>
      </c>
      <c r="II145" s="138">
        <f t="shared" si="540"/>
        <v>0</v>
      </c>
      <c r="IJ145" s="138">
        <f t="shared" si="541"/>
        <v>0</v>
      </c>
      <c r="IK145" s="138">
        <f t="shared" si="542"/>
        <v>1.5748031496062995E-2</v>
      </c>
      <c r="IL145" s="216">
        <f t="shared" si="543"/>
        <v>0</v>
      </c>
      <c r="IM145" s="138">
        <f t="shared" si="544"/>
        <v>0</v>
      </c>
      <c r="IN145" s="138">
        <f t="shared" si="545"/>
        <v>0</v>
      </c>
      <c r="IO145" s="238">
        <f t="shared" si="546"/>
        <v>1.5748031496062995E-2</v>
      </c>
      <c r="IP145" s="138">
        <f t="shared" si="547"/>
        <v>0</v>
      </c>
      <c r="IQ145" s="138">
        <f t="shared" si="548"/>
        <v>0</v>
      </c>
      <c r="IR145" s="138">
        <f t="shared" si="549"/>
        <v>0</v>
      </c>
      <c r="IS145" s="138">
        <f t="shared" si="550"/>
        <v>1.5748031496062995E-2</v>
      </c>
      <c r="IT145" s="17">
        <f t="shared" si="551"/>
        <v>0.25</v>
      </c>
      <c r="IU145" s="17">
        <f t="shared" si="552"/>
        <v>1.5748031496062995E-2</v>
      </c>
      <c r="IV145" s="17">
        <f t="shared" si="553"/>
        <v>1.5748031496062995E-2</v>
      </c>
      <c r="IW145" s="253">
        <f t="shared" si="554"/>
        <v>7.7755907999999998</v>
      </c>
      <c r="IX145" s="116">
        <f t="shared" si="356"/>
        <v>12.137567661209255</v>
      </c>
      <c r="IY145" s="8">
        <f t="shared" si="357"/>
        <v>3.1382036934827221E-4</v>
      </c>
      <c r="IZ145" s="8">
        <f t="shared" si="555"/>
        <v>3.1382036934827221E-4</v>
      </c>
      <c r="JA145" s="8">
        <f t="shared" si="556"/>
        <v>1.569101846741361E-4</v>
      </c>
      <c r="JB145" s="134">
        <f t="shared" si="557"/>
        <v>1.2526379551735453E-2</v>
      </c>
      <c r="JC145" s="170">
        <f t="shared" si="564"/>
        <v>2.8003815318914239E-4</v>
      </c>
      <c r="JD145" s="272">
        <f t="shared" si="565"/>
        <v>1.6734340536428149E-2</v>
      </c>
      <c r="JE145" s="8"/>
      <c r="JF145" s="8"/>
    </row>
    <row r="146" spans="1:266" x14ac:dyDescent="0.25">
      <c r="A146" s="186">
        <v>86</v>
      </c>
      <c r="B146" s="187">
        <f>A146/100*'Inputs-Imperial'!$E$5</f>
        <v>8.4645671999999994</v>
      </c>
      <c r="C146" s="188">
        <f>'Inputs-Imperial'!$E$10+('Inputs-Imperial'!$E$9-'Inputs-Imperial'!$E$10)*(100-A146)/100</f>
        <v>1.2860892799999999</v>
      </c>
      <c r="D146" s="187">
        <f t="shared" si="558"/>
        <v>9.8425199999999435E-2</v>
      </c>
      <c r="E146" s="188">
        <f t="shared" si="559"/>
        <v>0.12706797060160727</v>
      </c>
      <c r="F146" s="423">
        <f>Loads!P106</f>
        <v>10.005379050767861</v>
      </c>
      <c r="G146" s="423">
        <f>Loads!M106</f>
        <v>100.05379050767861</v>
      </c>
      <c r="H146" s="423">
        <f>Loads!N106</f>
        <v>67.936084707545518</v>
      </c>
      <c r="I146" s="423">
        <f>Loads!V106</f>
        <v>-53.384647310139613</v>
      </c>
      <c r="J146" s="423">
        <f>Loads!Q106</f>
        <v>6.7936084707545508</v>
      </c>
      <c r="K146" s="2">
        <v>86</v>
      </c>
      <c r="L146" s="12">
        <f t="shared" si="358"/>
        <v>101.5748064</v>
      </c>
      <c r="M146" s="11">
        <f t="shared" si="359"/>
        <v>15.43307136</v>
      </c>
      <c r="N146" s="11">
        <f t="shared" si="360"/>
        <v>1.1811023999999932</v>
      </c>
      <c r="O146" s="152">
        <f t="shared" si="361"/>
        <v>18.297787766631448</v>
      </c>
      <c r="P146" s="151">
        <f t="shared" si="362"/>
        <v>10.005379050767861</v>
      </c>
      <c r="Q146" s="12">
        <f t="shared" si="363"/>
        <v>100.05379050767861</v>
      </c>
      <c r="R146" s="12">
        <f t="shared" si="364"/>
        <v>815.23301649054622</v>
      </c>
      <c r="S146" s="12">
        <f t="shared" si="365"/>
        <v>-640.61576772167541</v>
      </c>
      <c r="T146" s="152">
        <f t="shared" si="366"/>
        <v>81.523301649054616</v>
      </c>
      <c r="U146" s="8">
        <f t="shared" si="313"/>
        <v>2.7779528447999997</v>
      </c>
      <c r="V146" s="8">
        <f t="shared" si="314"/>
        <v>2.7779528447999997</v>
      </c>
      <c r="W146" s="134">
        <f t="shared" si="315"/>
        <v>1.3889764223999999</v>
      </c>
      <c r="X146" s="311">
        <f t="shared" si="316"/>
        <v>3.8582678399999999</v>
      </c>
      <c r="Y146" s="11">
        <f t="shared" si="317"/>
        <v>11.57480352</v>
      </c>
      <c r="Z146" s="11">
        <f t="shared" si="318"/>
        <v>7.7165356799999998</v>
      </c>
      <c r="AA146" s="316">
        <f t="shared" si="367"/>
        <v>11.57480352</v>
      </c>
      <c r="AB146" s="170">
        <f t="shared" si="368"/>
        <v>2.0834646335999998</v>
      </c>
      <c r="AC146" s="11">
        <f t="shared" si="369"/>
        <v>11.57480352</v>
      </c>
      <c r="AD146" s="152">
        <f t="shared" si="370"/>
        <v>18.940421599774389</v>
      </c>
      <c r="AE146" s="151">
        <f t="shared" si="319"/>
        <v>0.86441027128276138</v>
      </c>
      <c r="AF146" s="12">
        <f t="shared" si="320"/>
        <v>16.911338650701055</v>
      </c>
      <c r="AG146" s="216">
        <f t="shared" si="321"/>
        <v>1.1645930541090816E-3</v>
      </c>
      <c r="AH146" s="2">
        <f t="shared" si="371"/>
        <v>1</v>
      </c>
      <c r="AI146" s="2">
        <f t="shared" si="372"/>
        <v>3</v>
      </c>
      <c r="AJ146" s="127">
        <f t="shared" si="373"/>
        <v>2</v>
      </c>
      <c r="AK146" s="2">
        <f t="shared" si="374"/>
        <v>1.5748031496062995E-2</v>
      </c>
      <c r="AL146" s="8">
        <f t="shared" si="322"/>
        <v>1.2255925289912862E-2</v>
      </c>
      <c r="AM146" s="138">
        <f t="shared" si="375"/>
        <v>0.25</v>
      </c>
      <c r="AN146" s="12">
        <f t="shared" si="323"/>
        <v>1015.884050891375</v>
      </c>
      <c r="AO146" s="138">
        <f t="shared" si="376"/>
        <v>0.25</v>
      </c>
      <c r="AP146" s="116">
        <f t="shared" si="377"/>
        <v>2175570</v>
      </c>
      <c r="AQ146" s="2">
        <f t="shared" si="378"/>
        <v>1.5748031496062995E-2</v>
      </c>
      <c r="AR146" s="8">
        <f t="shared" si="379"/>
        <v>7.7165356799999998</v>
      </c>
      <c r="AS146" s="116">
        <f t="shared" si="380"/>
        <v>2610.6840000000002</v>
      </c>
      <c r="AT146" s="217">
        <f t="shared" si="381"/>
        <v>0.27190052727991115</v>
      </c>
      <c r="AU146" s="207">
        <f t="shared" si="382"/>
        <v>2.7308246547346595</v>
      </c>
      <c r="AV146" s="144">
        <f t="shared" si="383"/>
        <v>15386.573323174203</v>
      </c>
      <c r="AW146" s="138">
        <f t="shared" si="384"/>
        <v>0.25</v>
      </c>
      <c r="AX146" s="116">
        <f t="shared" si="385"/>
        <v>2175570</v>
      </c>
      <c r="AY146" s="2">
        <f t="shared" si="386"/>
        <v>1.5748031496062995E-2</v>
      </c>
      <c r="AZ146" s="8">
        <f t="shared" si="387"/>
        <v>7.7165356799999998</v>
      </c>
      <c r="BA146" s="116">
        <f t="shared" si="388"/>
        <v>2610.6840000000002</v>
      </c>
      <c r="BB146" s="217">
        <f t="shared" si="389"/>
        <v>0.27190052727991115</v>
      </c>
      <c r="BC146" s="207">
        <f t="shared" si="390"/>
        <v>2.7308246547346595</v>
      </c>
      <c r="BD146" s="144">
        <f t="shared" si="391"/>
        <v>15386.573323174203</v>
      </c>
      <c r="BE146" s="138">
        <f t="shared" si="392"/>
        <v>0.25</v>
      </c>
      <c r="BF146" s="116">
        <f t="shared" si="393"/>
        <v>2175570</v>
      </c>
      <c r="BG146" s="2">
        <f t="shared" si="394"/>
        <v>1.5748031496062995E-2</v>
      </c>
      <c r="BH146" s="8">
        <f t="shared" si="395"/>
        <v>7.7165356799999998</v>
      </c>
      <c r="BI146" s="116">
        <f t="shared" si="396"/>
        <v>2610.6840000000002</v>
      </c>
      <c r="BJ146" s="217">
        <f t="shared" si="397"/>
        <v>0.27190052727991115</v>
      </c>
      <c r="BK146" s="207">
        <f t="shared" si="398"/>
        <v>2.7308246547346595</v>
      </c>
      <c r="BL146" s="144">
        <f t="shared" si="399"/>
        <v>15386.573323174203</v>
      </c>
      <c r="BM146" s="216">
        <f t="shared" si="400"/>
        <v>0.25</v>
      </c>
      <c r="BN146" s="216">
        <f t="shared" si="401"/>
        <v>2.3622047244094495E-2</v>
      </c>
      <c r="BO146" s="238">
        <f t="shared" si="402"/>
        <v>1.5748031496062995E-2</v>
      </c>
      <c r="BP146" s="216">
        <f t="shared" si="403"/>
        <v>0</v>
      </c>
      <c r="BQ146" s="138">
        <f t="shared" si="404"/>
        <v>0</v>
      </c>
      <c r="BR146" s="138">
        <f t="shared" si="405"/>
        <v>0</v>
      </c>
      <c r="BS146" s="238">
        <f t="shared" si="406"/>
        <v>0.25</v>
      </c>
      <c r="BT146" s="138">
        <f t="shared" si="407"/>
        <v>0</v>
      </c>
      <c r="BU146" s="138">
        <f t="shared" si="408"/>
        <v>0</v>
      </c>
      <c r="BV146" s="138">
        <f t="shared" si="409"/>
        <v>0</v>
      </c>
      <c r="BW146" s="238">
        <f t="shared" si="410"/>
        <v>0.25</v>
      </c>
      <c r="BX146" s="216">
        <f t="shared" si="411"/>
        <v>0</v>
      </c>
      <c r="BY146" s="138">
        <f t="shared" si="412"/>
        <v>0</v>
      </c>
      <c r="BZ146" s="138">
        <f t="shared" si="413"/>
        <v>0</v>
      </c>
      <c r="CA146" s="238">
        <f t="shared" si="414"/>
        <v>2.3622047244094495E-2</v>
      </c>
      <c r="CB146" s="138">
        <f t="shared" si="415"/>
        <v>0</v>
      </c>
      <c r="CC146" s="138">
        <f t="shared" si="416"/>
        <v>0</v>
      </c>
      <c r="CD146" s="138">
        <f t="shared" si="417"/>
        <v>0</v>
      </c>
      <c r="CE146" s="238">
        <f t="shared" si="418"/>
        <v>2.3622047244094495E-2</v>
      </c>
      <c r="CF146" s="216">
        <f t="shared" si="419"/>
        <v>0</v>
      </c>
      <c r="CG146" s="138">
        <f t="shared" si="420"/>
        <v>0</v>
      </c>
      <c r="CH146" s="138">
        <f t="shared" si="421"/>
        <v>0</v>
      </c>
      <c r="CI146" s="238">
        <f t="shared" si="422"/>
        <v>1.5748031496062995E-2</v>
      </c>
      <c r="CJ146" s="138">
        <f t="shared" si="423"/>
        <v>0</v>
      </c>
      <c r="CK146" s="138">
        <f t="shared" si="424"/>
        <v>0</v>
      </c>
      <c r="CL146" s="138">
        <f t="shared" si="425"/>
        <v>0</v>
      </c>
      <c r="CM146" s="238">
        <f t="shared" si="426"/>
        <v>1.5748031496062995E-2</v>
      </c>
      <c r="CN146" s="17">
        <f t="shared" si="427"/>
        <v>0.25</v>
      </c>
      <c r="CO146" s="17">
        <f t="shared" si="428"/>
        <v>2.3622047244094495E-2</v>
      </c>
      <c r="CP146" s="17">
        <f t="shared" si="429"/>
        <v>1.5748031496062995E-2</v>
      </c>
      <c r="CQ146" s="17">
        <f>$U146-IF('Inputs-Imperial'!$E$13,0,2)*($CO146+$CN146+$CP146)</f>
        <v>2.7779528447999997</v>
      </c>
      <c r="CR146" s="116">
        <f t="shared" si="430"/>
        <v>293.46539053625992</v>
      </c>
      <c r="CS146" s="8">
        <f t="shared" si="324"/>
        <v>7.587633685730461E-3</v>
      </c>
      <c r="CT146" s="8">
        <f t="shared" si="431"/>
        <v>8.7107024319112519E-2</v>
      </c>
      <c r="CU146" s="8">
        <f t="shared" si="325"/>
        <v>7.587633685730461E-3</v>
      </c>
      <c r="CV146" s="8">
        <f t="shared" si="432"/>
        <v>8.7107024319112519E-2</v>
      </c>
      <c r="CW146" s="216">
        <f t="shared" si="433"/>
        <v>2.6908458204808872</v>
      </c>
      <c r="CX146" s="116">
        <f t="shared" si="434"/>
        <v>302.9653391084496</v>
      </c>
      <c r="CY146" s="8">
        <f t="shared" si="435"/>
        <v>7.8332576404575756E-3</v>
      </c>
      <c r="CZ146" s="8">
        <f t="shared" si="436"/>
        <v>8.8505692700851596E-2</v>
      </c>
      <c r="DA146" s="8">
        <f t="shared" si="437"/>
        <v>7.8332576404575756E-3</v>
      </c>
      <c r="DB146" s="8">
        <f t="shared" si="438"/>
        <v>8.8505692700851596E-2</v>
      </c>
      <c r="DC146" s="216">
        <f t="shared" si="439"/>
        <v>2.6894471520991479</v>
      </c>
      <c r="DD146" s="116">
        <f t="shared" si="440"/>
        <v>303.12289864266211</v>
      </c>
      <c r="DE146" s="8">
        <f t="shared" si="441"/>
        <v>7.8373313883946475E-3</v>
      </c>
      <c r="DF146" s="8">
        <f t="shared" si="442"/>
        <v>8.8528703754175958E-2</v>
      </c>
      <c r="DG146" s="8">
        <f t="shared" si="443"/>
        <v>7.8373313883946475E-3</v>
      </c>
      <c r="DH146" s="8">
        <f t="shared" si="444"/>
        <v>8.8528703754175958E-2</v>
      </c>
      <c r="DI146" s="216">
        <f t="shared" si="445"/>
        <v>2.6894241410458237</v>
      </c>
      <c r="DJ146" s="116">
        <f t="shared" si="446"/>
        <v>303.12549220054609</v>
      </c>
      <c r="DK146" s="8">
        <f t="shared" si="447"/>
        <v>7.8373984455938975E-3</v>
      </c>
      <c r="DL146" s="8">
        <f t="shared" si="448"/>
        <v>8.8529082484762586E-2</v>
      </c>
      <c r="DM146" s="8">
        <f t="shared" si="449"/>
        <v>7.8373984455938975E-3</v>
      </c>
      <c r="DN146" s="8">
        <f t="shared" si="450"/>
        <v>8.8529082484762586E-2</v>
      </c>
      <c r="DO146" s="216">
        <f t="shared" si="451"/>
        <v>2.6894237623152373</v>
      </c>
      <c r="DP146" s="116">
        <f t="shared" si="452"/>
        <v>303.12553488734653</v>
      </c>
      <c r="DQ146" s="170">
        <f t="shared" si="453"/>
        <v>7.8373995492736354E-3</v>
      </c>
      <c r="DR146" s="8">
        <f t="shared" si="454"/>
        <v>8.8529088718192706E-2</v>
      </c>
      <c r="DS146" s="8">
        <f t="shared" si="455"/>
        <v>7.8373995492736354E-3</v>
      </c>
      <c r="DT146" s="134">
        <f t="shared" si="456"/>
        <v>8.8529088718192706E-2</v>
      </c>
      <c r="DU146" s="170">
        <f t="shared" si="563"/>
        <v>1.6272075519057922E-2</v>
      </c>
      <c r="DV146" s="170">
        <f t="shared" si="563"/>
        <v>0.12756204576227964</v>
      </c>
      <c r="DW146" s="170">
        <f t="shared" si="563"/>
        <v>1.6272075519057922E-2</v>
      </c>
      <c r="DX146" s="272">
        <f t="shared" si="563"/>
        <v>0.12756204576227964</v>
      </c>
      <c r="DY146" s="272">
        <f t="shared" si="457"/>
        <v>2.5228287532754408</v>
      </c>
      <c r="DZ146" s="22">
        <f t="shared" si="326"/>
        <v>36.017094636781728</v>
      </c>
      <c r="EA146" s="216">
        <f t="shared" si="327"/>
        <v>2.3596900714158075E-3</v>
      </c>
      <c r="EB146" s="12">
        <f t="shared" si="458"/>
        <v>1</v>
      </c>
      <c r="EC146" s="7">
        <f>ROUND(MAX(DV146,DX146)/'Inputs-Imperial'!$E$21,0)</f>
        <v>1</v>
      </c>
      <c r="ED146" s="12">
        <f t="shared" si="459"/>
        <v>1</v>
      </c>
      <c r="EE146" s="2">
        <f t="shared" si="460"/>
        <v>2</v>
      </c>
      <c r="EF146" s="127">
        <f t="shared" si="461"/>
        <v>2</v>
      </c>
      <c r="EG146" s="2">
        <f t="shared" si="462"/>
        <v>1.5748031496062995E-2</v>
      </c>
      <c r="EH146" s="8">
        <f t="shared" si="328"/>
        <v>2.4832867687627883E-2</v>
      </c>
      <c r="EI146" s="138">
        <f t="shared" si="463"/>
        <v>0.25</v>
      </c>
      <c r="EJ146" s="12">
        <f t="shared" si="329"/>
        <v>2058.3769584920756</v>
      </c>
      <c r="EK146" s="138">
        <f t="shared" si="464"/>
        <v>0.25</v>
      </c>
      <c r="EL146" s="116">
        <f t="shared" si="465"/>
        <v>2175570</v>
      </c>
      <c r="EM146" s="2">
        <f t="shared" si="330"/>
        <v>1.5748031496062995E-2</v>
      </c>
      <c r="EN146" s="8">
        <f t="shared" si="466"/>
        <v>2.7779528447999997</v>
      </c>
      <c r="EO146" s="116">
        <f t="shared" si="467"/>
        <v>2610.6840000000002</v>
      </c>
      <c r="EP146" s="217">
        <f t="shared" si="468"/>
        <v>2.0979978956783274</v>
      </c>
      <c r="EQ146" s="207">
        <f t="shared" si="469"/>
        <v>2</v>
      </c>
      <c r="ER146" s="144">
        <f t="shared" si="470"/>
        <v>86950.701420212106</v>
      </c>
      <c r="ES146" s="138">
        <f t="shared" si="331"/>
        <v>0.25</v>
      </c>
      <c r="ET146" s="116">
        <f t="shared" si="471"/>
        <v>2175570</v>
      </c>
      <c r="EU146" s="2">
        <f t="shared" si="332"/>
        <v>1.5748031496062995E-2</v>
      </c>
      <c r="EV146" s="8">
        <f t="shared" si="472"/>
        <v>2.7779528447999997</v>
      </c>
      <c r="EW146" s="116">
        <f t="shared" si="473"/>
        <v>2610.6840000000002</v>
      </c>
      <c r="EX146" s="217">
        <f t="shared" si="474"/>
        <v>2.0979978956783274</v>
      </c>
      <c r="EY146" s="207">
        <f t="shared" si="475"/>
        <v>2</v>
      </c>
      <c r="EZ146" s="144">
        <f t="shared" si="476"/>
        <v>86950.701420212106</v>
      </c>
      <c r="FA146" s="138">
        <f t="shared" si="333"/>
        <v>0.25</v>
      </c>
      <c r="FB146" s="116">
        <f t="shared" si="477"/>
        <v>2175570</v>
      </c>
      <c r="FC146" s="2">
        <f t="shared" si="334"/>
        <v>1.5748031496062995E-2</v>
      </c>
      <c r="FD146" s="8">
        <f t="shared" si="478"/>
        <v>2.7779528447999997</v>
      </c>
      <c r="FE146" s="116">
        <f t="shared" si="479"/>
        <v>2610.6840000000002</v>
      </c>
      <c r="FF146" s="217">
        <f t="shared" si="480"/>
        <v>2.0979978956783274</v>
      </c>
      <c r="FG146" s="207">
        <f t="shared" si="481"/>
        <v>2</v>
      </c>
      <c r="FH146" s="144">
        <f t="shared" si="482"/>
        <v>86950.701420212106</v>
      </c>
      <c r="FI146" s="128">
        <f t="shared" si="483"/>
        <v>0.25</v>
      </c>
      <c r="FJ146" s="2">
        <f t="shared" si="484"/>
        <v>1.5748031496062995E-2</v>
      </c>
      <c r="FK146" s="127">
        <f t="shared" si="485"/>
        <v>1.5748031496062995E-2</v>
      </c>
      <c r="FL146" s="216">
        <f t="shared" si="486"/>
        <v>0</v>
      </c>
      <c r="FM146" s="138">
        <f t="shared" si="487"/>
        <v>0</v>
      </c>
      <c r="FN146" s="138">
        <f t="shared" si="488"/>
        <v>0</v>
      </c>
      <c r="FO146" s="238">
        <f t="shared" si="489"/>
        <v>0.25</v>
      </c>
      <c r="FP146" s="216">
        <f t="shared" si="335"/>
        <v>0</v>
      </c>
      <c r="FQ146" s="138">
        <f t="shared" si="336"/>
        <v>0</v>
      </c>
      <c r="FR146" s="138">
        <f t="shared" si="337"/>
        <v>0</v>
      </c>
      <c r="FS146" s="238">
        <f t="shared" si="338"/>
        <v>0.25</v>
      </c>
      <c r="FT146" s="216">
        <f t="shared" si="490"/>
        <v>0</v>
      </c>
      <c r="FU146" s="138">
        <f t="shared" si="491"/>
        <v>0</v>
      </c>
      <c r="FV146" s="138">
        <f t="shared" si="492"/>
        <v>0</v>
      </c>
      <c r="FW146" s="238">
        <f t="shared" si="493"/>
        <v>1.5748031496062995E-2</v>
      </c>
      <c r="FX146" s="216">
        <f t="shared" si="339"/>
        <v>0</v>
      </c>
      <c r="FY146" s="138">
        <f t="shared" si="340"/>
        <v>0</v>
      </c>
      <c r="FZ146" s="138">
        <f t="shared" si="341"/>
        <v>0</v>
      </c>
      <c r="GA146" s="238">
        <f t="shared" si="342"/>
        <v>1.5748031496062995E-2</v>
      </c>
      <c r="GB146" s="216">
        <f t="shared" si="494"/>
        <v>0</v>
      </c>
      <c r="GC146" s="138">
        <f t="shared" si="495"/>
        <v>0</v>
      </c>
      <c r="GD146" s="138">
        <f t="shared" si="496"/>
        <v>0</v>
      </c>
      <c r="GE146" s="238">
        <f t="shared" si="497"/>
        <v>1.5748031496062995E-2</v>
      </c>
      <c r="GF146" s="216">
        <f t="shared" si="343"/>
        <v>0</v>
      </c>
      <c r="GG146" s="138">
        <f t="shared" si="344"/>
        <v>0</v>
      </c>
      <c r="GH146" s="138">
        <f t="shared" si="345"/>
        <v>0</v>
      </c>
      <c r="GI146" s="238">
        <f t="shared" si="346"/>
        <v>1.5748031496062995E-2</v>
      </c>
      <c r="GJ146" s="216">
        <f t="shared" si="498"/>
        <v>0.25</v>
      </c>
      <c r="GK146" s="216">
        <f t="shared" si="499"/>
        <v>1.5748031496062995E-2</v>
      </c>
      <c r="GL146" s="17">
        <f t="shared" si="500"/>
        <v>1.5748031496062995E-2</v>
      </c>
      <c r="GM146" s="216">
        <f t="shared" si="347"/>
        <v>1.1079604923951022E-3</v>
      </c>
      <c r="GN146" s="2">
        <f t="shared" si="501"/>
        <v>1</v>
      </c>
      <c r="GO146" s="2">
        <f t="shared" si="502"/>
        <v>2</v>
      </c>
      <c r="GP146" s="142">
        <f t="shared" si="503"/>
        <v>2</v>
      </c>
      <c r="GQ146" s="2">
        <f t="shared" si="504"/>
        <v>1.5748031496062995E-2</v>
      </c>
      <c r="GR146" s="8">
        <f t="shared" si="348"/>
        <v>1.1659936465409792E-2</v>
      </c>
      <c r="GS146" s="138">
        <f t="shared" si="505"/>
        <v>0.25</v>
      </c>
      <c r="GT146" s="12">
        <f t="shared" si="349"/>
        <v>966.48300388756513</v>
      </c>
      <c r="GU146" s="138">
        <f t="shared" si="506"/>
        <v>0.25</v>
      </c>
      <c r="GV146" s="116">
        <f t="shared" si="507"/>
        <v>2175570</v>
      </c>
      <c r="GW146" s="2">
        <f t="shared" si="350"/>
        <v>1.5748031496062995E-2</v>
      </c>
      <c r="GX146" s="8">
        <f t="shared" si="351"/>
        <v>1.3889764223999999</v>
      </c>
      <c r="GY146" s="116">
        <f t="shared" si="508"/>
        <v>2610.6840000000002</v>
      </c>
      <c r="GZ146" s="217">
        <f t="shared" si="509"/>
        <v>8.3919915827133096</v>
      </c>
      <c r="HA146" s="207">
        <f t="shared" si="510"/>
        <v>2</v>
      </c>
      <c r="HB146" s="144">
        <f t="shared" si="511"/>
        <v>347802.80568084843</v>
      </c>
      <c r="HC146" s="138">
        <f t="shared" si="352"/>
        <v>0.25</v>
      </c>
      <c r="HD146" s="116">
        <f t="shared" si="512"/>
        <v>2175570</v>
      </c>
      <c r="HE146" s="2">
        <f t="shared" si="353"/>
        <v>1.5748031496062995E-2</v>
      </c>
      <c r="HF146" s="8">
        <f t="shared" si="513"/>
        <v>1.3889764223999999</v>
      </c>
      <c r="HG146" s="116">
        <f t="shared" si="514"/>
        <v>2610.6840000000002</v>
      </c>
      <c r="HH146" s="217">
        <f t="shared" si="515"/>
        <v>8.3919915827133096</v>
      </c>
      <c r="HI146" s="207">
        <f t="shared" si="516"/>
        <v>2</v>
      </c>
      <c r="HJ146" s="144">
        <f t="shared" si="517"/>
        <v>347802.80568084843</v>
      </c>
      <c r="HK146" s="138">
        <f t="shared" si="354"/>
        <v>0.25</v>
      </c>
      <c r="HL146" s="116">
        <f t="shared" si="518"/>
        <v>2175570</v>
      </c>
      <c r="HM146" s="2">
        <f t="shared" si="355"/>
        <v>1.5748031496062995E-2</v>
      </c>
      <c r="HN146" s="8">
        <f t="shared" si="519"/>
        <v>1.3889764223999999</v>
      </c>
      <c r="HO146" s="116">
        <f t="shared" si="520"/>
        <v>2610.6840000000002</v>
      </c>
      <c r="HP146" s="217">
        <f t="shared" si="521"/>
        <v>8.3919915827133096</v>
      </c>
      <c r="HQ146" s="207">
        <f t="shared" si="522"/>
        <v>2</v>
      </c>
      <c r="HR146" s="144">
        <f t="shared" si="523"/>
        <v>347802.80568084843</v>
      </c>
      <c r="HS146" s="128">
        <f t="shared" si="524"/>
        <v>0.25</v>
      </c>
      <c r="HT146" s="2">
        <f t="shared" si="525"/>
        <v>1.5748031496062995E-2</v>
      </c>
      <c r="HU146" s="127">
        <f t="shared" si="526"/>
        <v>1.5748031496062995E-2</v>
      </c>
      <c r="HV146" s="216">
        <f t="shared" si="527"/>
        <v>0</v>
      </c>
      <c r="HW146" s="138">
        <f t="shared" si="528"/>
        <v>0</v>
      </c>
      <c r="HX146" s="138">
        <f t="shared" si="529"/>
        <v>0</v>
      </c>
      <c r="HY146" s="238">
        <f t="shared" si="530"/>
        <v>0.25</v>
      </c>
      <c r="HZ146" s="138">
        <f t="shared" si="531"/>
        <v>0</v>
      </c>
      <c r="IA146" s="138">
        <f t="shared" si="532"/>
        <v>0</v>
      </c>
      <c r="IB146" s="138">
        <f t="shared" si="533"/>
        <v>0</v>
      </c>
      <c r="IC146" s="138">
        <f t="shared" si="534"/>
        <v>0.25</v>
      </c>
      <c r="ID146" s="216">
        <f t="shared" si="535"/>
        <v>0</v>
      </c>
      <c r="IE146" s="138">
        <f t="shared" si="536"/>
        <v>0</v>
      </c>
      <c r="IF146" s="138">
        <f t="shared" si="537"/>
        <v>0</v>
      </c>
      <c r="IG146" s="238">
        <f t="shared" si="538"/>
        <v>1.5748031496062995E-2</v>
      </c>
      <c r="IH146" s="138">
        <f t="shared" si="539"/>
        <v>0</v>
      </c>
      <c r="II146" s="138">
        <f t="shared" si="540"/>
        <v>0</v>
      </c>
      <c r="IJ146" s="138">
        <f t="shared" si="541"/>
        <v>0</v>
      </c>
      <c r="IK146" s="138">
        <f t="shared" si="542"/>
        <v>1.5748031496062995E-2</v>
      </c>
      <c r="IL146" s="216">
        <f t="shared" si="543"/>
        <v>0</v>
      </c>
      <c r="IM146" s="138">
        <f t="shared" si="544"/>
        <v>0</v>
      </c>
      <c r="IN146" s="138">
        <f t="shared" si="545"/>
        <v>0</v>
      </c>
      <c r="IO146" s="238">
        <f t="shared" si="546"/>
        <v>1.5748031496062995E-2</v>
      </c>
      <c r="IP146" s="138">
        <f t="shared" si="547"/>
        <v>0</v>
      </c>
      <c r="IQ146" s="138">
        <f t="shared" si="548"/>
        <v>0</v>
      </c>
      <c r="IR146" s="138">
        <f t="shared" si="549"/>
        <v>0</v>
      </c>
      <c r="IS146" s="138">
        <f t="shared" si="550"/>
        <v>1.5748031496062995E-2</v>
      </c>
      <c r="IT146" s="17">
        <f t="shared" si="551"/>
        <v>0.25</v>
      </c>
      <c r="IU146" s="17">
        <f t="shared" si="552"/>
        <v>1.5748031496062995E-2</v>
      </c>
      <c r="IV146" s="17">
        <f t="shared" si="553"/>
        <v>1.5748031496062995E-2</v>
      </c>
      <c r="IW146" s="253">
        <f t="shared" si="554"/>
        <v>7.7165356799999998</v>
      </c>
      <c r="IX146" s="116">
        <f t="shared" si="356"/>
        <v>10.564754059305356</v>
      </c>
      <c r="IY146" s="8">
        <f t="shared" si="357"/>
        <v>2.7315481268629658E-4</v>
      </c>
      <c r="IZ146" s="8">
        <f t="shared" si="555"/>
        <v>2.7315481268629658E-4</v>
      </c>
      <c r="JA146" s="8">
        <f t="shared" si="556"/>
        <v>1.3657740634314829E-4</v>
      </c>
      <c r="JB146" s="134">
        <f t="shared" si="557"/>
        <v>1.1686633661715776E-2</v>
      </c>
      <c r="JC146" s="170">
        <f t="shared" si="564"/>
        <v>2.8003815318914239E-4</v>
      </c>
      <c r="JD146" s="272">
        <f t="shared" si="565"/>
        <v>1.6734340536428149E-2</v>
      </c>
      <c r="JE146" s="8"/>
      <c r="JF146" s="8"/>
    </row>
    <row r="147" spans="1:266" x14ac:dyDescent="0.25">
      <c r="A147" s="186">
        <v>87</v>
      </c>
      <c r="B147" s="187">
        <f>A147/100*'Inputs-Imperial'!$E$5</f>
        <v>8.5629924000000006</v>
      </c>
      <c r="C147" s="188">
        <f>'Inputs-Imperial'!$E$10+('Inputs-Imperial'!$E$9-'Inputs-Imperial'!$E$10)*(100-A147)/100</f>
        <v>1.2762467599999998</v>
      </c>
      <c r="D147" s="187">
        <f t="shared" si="558"/>
        <v>9.8425200000001212E-2</v>
      </c>
      <c r="E147" s="188">
        <f t="shared" si="559"/>
        <v>0.12609921860210555</v>
      </c>
      <c r="F147" s="423">
        <f>Loads!P107</f>
        <v>9.1448170561837525</v>
      </c>
      <c r="G147" s="423">
        <f>Loads!M107</f>
        <v>91.448170561837543</v>
      </c>
      <c r="H147" s="423">
        <f>Loads!N107</f>
        <v>58.088270366069025</v>
      </c>
      <c r="I147" s="423">
        <f>Loads!V107</f>
        <v>-47.927256016256493</v>
      </c>
      <c r="J147" s="423">
        <f>Loads!Q107</f>
        <v>5.8088270366069015</v>
      </c>
      <c r="K147" s="2">
        <v>87</v>
      </c>
      <c r="L147" s="12">
        <f t="shared" si="358"/>
        <v>102.75590880000001</v>
      </c>
      <c r="M147" s="11">
        <f t="shared" si="359"/>
        <v>15.314961119999998</v>
      </c>
      <c r="N147" s="11">
        <f t="shared" si="360"/>
        <v>1.1811024000000145</v>
      </c>
      <c r="O147" s="152">
        <f t="shared" si="361"/>
        <v>18.158287478703198</v>
      </c>
      <c r="P147" s="151">
        <f t="shared" si="362"/>
        <v>9.1448170561837525</v>
      </c>
      <c r="Q147" s="12">
        <f t="shared" si="363"/>
        <v>91.448170561837543</v>
      </c>
      <c r="R147" s="12">
        <f t="shared" si="364"/>
        <v>697.0592443928283</v>
      </c>
      <c r="S147" s="12">
        <f t="shared" si="365"/>
        <v>-575.12707219507797</v>
      </c>
      <c r="T147" s="152">
        <f t="shared" si="366"/>
        <v>69.705924439282825</v>
      </c>
      <c r="U147" s="8">
        <f t="shared" si="313"/>
        <v>2.7566930015999995</v>
      </c>
      <c r="V147" s="8">
        <f t="shared" si="314"/>
        <v>2.7566930015999995</v>
      </c>
      <c r="W147" s="134">
        <f t="shared" si="315"/>
        <v>1.3783465007999998</v>
      </c>
      <c r="X147" s="311">
        <f t="shared" si="316"/>
        <v>3.8287402799999994</v>
      </c>
      <c r="Y147" s="11">
        <f t="shared" si="317"/>
        <v>11.486220839999998</v>
      </c>
      <c r="Z147" s="11">
        <f t="shared" si="318"/>
        <v>7.657480559999998</v>
      </c>
      <c r="AA147" s="316">
        <f t="shared" si="367"/>
        <v>11.486220839999998</v>
      </c>
      <c r="AB147" s="170">
        <f t="shared" si="368"/>
        <v>2.0675197511999999</v>
      </c>
      <c r="AC147" s="11">
        <f t="shared" si="369"/>
        <v>11.486220839999998</v>
      </c>
      <c r="AD147" s="152">
        <f t="shared" si="370"/>
        <v>18.651626515641009</v>
      </c>
      <c r="AE147" s="151">
        <f t="shared" si="319"/>
        <v>0.79615542688658203</v>
      </c>
      <c r="AF147" s="12">
        <f t="shared" si="320"/>
        <v>15.417611748572812</v>
      </c>
      <c r="AG147" s="216">
        <f t="shared" si="321"/>
        <v>1.0622585139087636E-3</v>
      </c>
      <c r="AH147" s="2">
        <f t="shared" si="371"/>
        <v>1</v>
      </c>
      <c r="AI147" s="2">
        <f t="shared" si="372"/>
        <v>3</v>
      </c>
      <c r="AJ147" s="127">
        <f t="shared" si="373"/>
        <v>2</v>
      </c>
      <c r="AK147" s="2">
        <f t="shared" si="374"/>
        <v>1.5748031496062995E-2</v>
      </c>
      <c r="AL147" s="8">
        <f t="shared" si="322"/>
        <v>1.1178978733476327E-2</v>
      </c>
      <c r="AM147" s="138">
        <f t="shared" si="375"/>
        <v>0.25</v>
      </c>
      <c r="AN147" s="12">
        <f t="shared" si="323"/>
        <v>926.61679407750432</v>
      </c>
      <c r="AO147" s="138">
        <f t="shared" si="376"/>
        <v>0.25</v>
      </c>
      <c r="AP147" s="116">
        <f t="shared" si="377"/>
        <v>2175570</v>
      </c>
      <c r="AQ147" s="2">
        <f t="shared" si="378"/>
        <v>1.5748031496062995E-2</v>
      </c>
      <c r="AR147" s="8">
        <f t="shared" si="379"/>
        <v>7.657480559999998</v>
      </c>
      <c r="AS147" s="116">
        <f t="shared" si="380"/>
        <v>2610.6840000000002</v>
      </c>
      <c r="AT147" s="217">
        <f t="shared" si="381"/>
        <v>0.27611053736057978</v>
      </c>
      <c r="AU147" s="207">
        <f t="shared" si="382"/>
        <v>2.7115425245077205</v>
      </c>
      <c r="AV147" s="144">
        <f t="shared" si="383"/>
        <v>15514.487962569981</v>
      </c>
      <c r="AW147" s="138">
        <f t="shared" si="384"/>
        <v>0.25</v>
      </c>
      <c r="AX147" s="116">
        <f t="shared" si="385"/>
        <v>2175570</v>
      </c>
      <c r="AY147" s="2">
        <f t="shared" si="386"/>
        <v>1.5748031496062995E-2</v>
      </c>
      <c r="AZ147" s="8">
        <f t="shared" si="387"/>
        <v>7.657480559999998</v>
      </c>
      <c r="BA147" s="116">
        <f t="shared" si="388"/>
        <v>2610.6840000000002</v>
      </c>
      <c r="BB147" s="217">
        <f t="shared" si="389"/>
        <v>0.27611053736057978</v>
      </c>
      <c r="BC147" s="207">
        <f t="shared" si="390"/>
        <v>2.7115425245077205</v>
      </c>
      <c r="BD147" s="144">
        <f t="shared" si="391"/>
        <v>15514.487962569981</v>
      </c>
      <c r="BE147" s="138">
        <f t="shared" si="392"/>
        <v>0.25</v>
      </c>
      <c r="BF147" s="116">
        <f t="shared" si="393"/>
        <v>2175570</v>
      </c>
      <c r="BG147" s="2">
        <f t="shared" si="394"/>
        <v>1.5748031496062995E-2</v>
      </c>
      <c r="BH147" s="8">
        <f t="shared" si="395"/>
        <v>7.657480559999998</v>
      </c>
      <c r="BI147" s="116">
        <f t="shared" si="396"/>
        <v>2610.6840000000002</v>
      </c>
      <c r="BJ147" s="217">
        <f t="shared" si="397"/>
        <v>0.27611053736057978</v>
      </c>
      <c r="BK147" s="207">
        <f t="shared" si="398"/>
        <v>2.7115425245077205</v>
      </c>
      <c r="BL147" s="144">
        <f t="shared" si="399"/>
        <v>15514.487962569981</v>
      </c>
      <c r="BM147" s="216">
        <f t="shared" si="400"/>
        <v>0.25</v>
      </c>
      <c r="BN147" s="216">
        <f t="shared" si="401"/>
        <v>2.3622047244094495E-2</v>
      </c>
      <c r="BO147" s="238">
        <f t="shared" si="402"/>
        <v>1.5748031496062995E-2</v>
      </c>
      <c r="BP147" s="216">
        <f t="shared" si="403"/>
        <v>0</v>
      </c>
      <c r="BQ147" s="138">
        <f t="shared" si="404"/>
        <v>0</v>
      </c>
      <c r="BR147" s="138">
        <f t="shared" si="405"/>
        <v>0</v>
      </c>
      <c r="BS147" s="238">
        <f t="shared" si="406"/>
        <v>0.25</v>
      </c>
      <c r="BT147" s="138">
        <f t="shared" si="407"/>
        <v>0</v>
      </c>
      <c r="BU147" s="138">
        <f t="shared" si="408"/>
        <v>0</v>
      </c>
      <c r="BV147" s="138">
        <f t="shared" si="409"/>
        <v>0</v>
      </c>
      <c r="BW147" s="238">
        <f t="shared" si="410"/>
        <v>0.25</v>
      </c>
      <c r="BX147" s="216">
        <f t="shared" si="411"/>
        <v>0</v>
      </c>
      <c r="BY147" s="138">
        <f t="shared" si="412"/>
        <v>0</v>
      </c>
      <c r="BZ147" s="138">
        <f t="shared" si="413"/>
        <v>0</v>
      </c>
      <c r="CA147" s="238">
        <f t="shared" si="414"/>
        <v>2.3622047244094495E-2</v>
      </c>
      <c r="CB147" s="138">
        <f t="shared" si="415"/>
        <v>0</v>
      </c>
      <c r="CC147" s="138">
        <f t="shared" si="416"/>
        <v>0</v>
      </c>
      <c r="CD147" s="138">
        <f t="shared" si="417"/>
        <v>0</v>
      </c>
      <c r="CE147" s="238">
        <f t="shared" si="418"/>
        <v>2.3622047244094495E-2</v>
      </c>
      <c r="CF147" s="216">
        <f t="shared" si="419"/>
        <v>0</v>
      </c>
      <c r="CG147" s="138">
        <f t="shared" si="420"/>
        <v>0</v>
      </c>
      <c r="CH147" s="138">
        <f t="shared" si="421"/>
        <v>0</v>
      </c>
      <c r="CI147" s="238">
        <f t="shared" si="422"/>
        <v>1.5748031496062995E-2</v>
      </c>
      <c r="CJ147" s="138">
        <f t="shared" si="423"/>
        <v>0</v>
      </c>
      <c r="CK147" s="138">
        <f t="shared" si="424"/>
        <v>0</v>
      </c>
      <c r="CL147" s="138">
        <f t="shared" si="425"/>
        <v>0</v>
      </c>
      <c r="CM147" s="238">
        <f t="shared" si="426"/>
        <v>1.5748031496062995E-2</v>
      </c>
      <c r="CN147" s="17">
        <f t="shared" si="427"/>
        <v>0.25</v>
      </c>
      <c r="CO147" s="17">
        <f t="shared" si="428"/>
        <v>2.3622047244094495E-2</v>
      </c>
      <c r="CP147" s="17">
        <f t="shared" si="429"/>
        <v>1.5748031496062995E-2</v>
      </c>
      <c r="CQ147" s="17">
        <f>$U147-IF('Inputs-Imperial'!$E$13,0,2)*($CO147+$CN147+$CP147)</f>
        <v>2.7566930015999995</v>
      </c>
      <c r="CR147" s="116">
        <f t="shared" si="430"/>
        <v>252.86067182245225</v>
      </c>
      <c r="CS147" s="8">
        <f t="shared" si="324"/>
        <v>6.5377867823204665E-3</v>
      </c>
      <c r="CT147" s="8">
        <f t="shared" si="431"/>
        <v>8.0856581564647326E-2</v>
      </c>
      <c r="CU147" s="8">
        <f t="shared" si="325"/>
        <v>6.5377867823204665E-3</v>
      </c>
      <c r="CV147" s="8">
        <f t="shared" si="432"/>
        <v>8.0856581564647326E-2</v>
      </c>
      <c r="CW147" s="216">
        <f t="shared" si="433"/>
        <v>2.6758364200353526</v>
      </c>
      <c r="CX147" s="116">
        <f t="shared" si="434"/>
        <v>260.50144140859663</v>
      </c>
      <c r="CY147" s="8">
        <f t="shared" si="435"/>
        <v>6.7353411194461957E-3</v>
      </c>
      <c r="CZ147" s="8">
        <f t="shared" si="436"/>
        <v>8.2069124032404517E-2</v>
      </c>
      <c r="DA147" s="8">
        <f t="shared" si="437"/>
        <v>6.7353411194461957E-3</v>
      </c>
      <c r="DB147" s="8">
        <f t="shared" si="438"/>
        <v>8.2069124032404517E-2</v>
      </c>
      <c r="DC147" s="216">
        <f t="shared" si="439"/>
        <v>2.674623877567595</v>
      </c>
      <c r="DD147" s="116">
        <f t="shared" si="440"/>
        <v>260.6195399058355</v>
      </c>
      <c r="DE147" s="8">
        <f t="shared" si="441"/>
        <v>6.7383945907064568E-3</v>
      </c>
      <c r="DF147" s="8">
        <f t="shared" si="442"/>
        <v>8.2087724969732573E-2</v>
      </c>
      <c r="DG147" s="8">
        <f t="shared" si="443"/>
        <v>6.7383945907064568E-3</v>
      </c>
      <c r="DH147" s="8">
        <f t="shared" si="444"/>
        <v>8.2087724969732573E-2</v>
      </c>
      <c r="DI147" s="216">
        <f t="shared" si="445"/>
        <v>2.6746052766302668</v>
      </c>
      <c r="DJ147" s="116">
        <f t="shared" si="446"/>
        <v>260.62135242290884</v>
      </c>
      <c r="DK147" s="8">
        <f t="shared" si="447"/>
        <v>6.7384414538666287E-3</v>
      </c>
      <c r="DL147" s="8">
        <f t="shared" si="448"/>
        <v>8.2088010414838472E-2</v>
      </c>
      <c r="DM147" s="8">
        <f t="shared" si="449"/>
        <v>6.7384414538666287E-3</v>
      </c>
      <c r="DN147" s="8">
        <f t="shared" si="450"/>
        <v>8.2088010414838472E-2</v>
      </c>
      <c r="DO147" s="216">
        <f t="shared" si="451"/>
        <v>2.674604991185161</v>
      </c>
      <c r="DP147" s="116">
        <f t="shared" si="452"/>
        <v>260.62138023751686</v>
      </c>
      <c r="DQ147" s="170">
        <f t="shared" si="453"/>
        <v>6.7384421730214712E-3</v>
      </c>
      <c r="DR147" s="8">
        <f t="shared" si="454"/>
        <v>8.2088014795227385E-2</v>
      </c>
      <c r="DS147" s="8">
        <f t="shared" si="455"/>
        <v>6.7384421730214712E-3</v>
      </c>
      <c r="DT147" s="134">
        <f t="shared" si="456"/>
        <v>8.2088014795227385E-2</v>
      </c>
      <c r="DU147" s="170">
        <f t="shared" si="563"/>
        <v>1.6272075519057922E-2</v>
      </c>
      <c r="DV147" s="170">
        <f t="shared" si="563"/>
        <v>0.12756204576227964</v>
      </c>
      <c r="DW147" s="170">
        <f t="shared" si="563"/>
        <v>1.6272075519057922E-2</v>
      </c>
      <c r="DX147" s="272">
        <f t="shared" si="563"/>
        <v>0.12756204576227964</v>
      </c>
      <c r="DY147" s="272">
        <f t="shared" si="457"/>
        <v>2.5015689100754406</v>
      </c>
      <c r="DZ147" s="22">
        <f t="shared" si="326"/>
        <v>33.173142786940922</v>
      </c>
      <c r="EA147" s="216">
        <f t="shared" si="327"/>
        <v>2.1733661879562946E-3</v>
      </c>
      <c r="EB147" s="12">
        <f t="shared" si="458"/>
        <v>1</v>
      </c>
      <c r="EC147" s="7">
        <f>ROUND(MAX(DV147,DX147)/'Inputs-Imperial'!$E$21,0)</f>
        <v>1</v>
      </c>
      <c r="ED147" s="12">
        <f t="shared" si="459"/>
        <v>1</v>
      </c>
      <c r="EE147" s="2">
        <f t="shared" si="460"/>
        <v>2</v>
      </c>
      <c r="EF147" s="127">
        <f t="shared" si="461"/>
        <v>2</v>
      </c>
      <c r="EG147" s="2">
        <f t="shared" si="462"/>
        <v>1.5748031496062995E-2</v>
      </c>
      <c r="EH147" s="8">
        <f t="shared" si="328"/>
        <v>2.2872035457563479E-2</v>
      </c>
      <c r="EI147" s="138">
        <f t="shared" si="463"/>
        <v>0.25</v>
      </c>
      <c r="EJ147" s="12">
        <f t="shared" si="329"/>
        <v>1895.8451102736733</v>
      </c>
      <c r="EK147" s="138">
        <f t="shared" si="464"/>
        <v>0.25</v>
      </c>
      <c r="EL147" s="116">
        <f t="shared" si="465"/>
        <v>2175570</v>
      </c>
      <c r="EM147" s="2">
        <f t="shared" si="330"/>
        <v>1.5748031496062995E-2</v>
      </c>
      <c r="EN147" s="8">
        <f t="shared" si="466"/>
        <v>2.7566930015999995</v>
      </c>
      <c r="EO147" s="116">
        <f t="shared" si="467"/>
        <v>2610.6840000000002</v>
      </c>
      <c r="EP147" s="217">
        <f t="shared" si="468"/>
        <v>2.1304825413624977</v>
      </c>
      <c r="EQ147" s="207">
        <f t="shared" si="469"/>
        <v>2</v>
      </c>
      <c r="ER147" s="144">
        <f t="shared" si="470"/>
        <v>88297.01484285375</v>
      </c>
      <c r="ES147" s="138">
        <f t="shared" si="331"/>
        <v>0.25</v>
      </c>
      <c r="ET147" s="116">
        <f t="shared" si="471"/>
        <v>2175570</v>
      </c>
      <c r="EU147" s="2">
        <f t="shared" si="332"/>
        <v>1.5748031496062995E-2</v>
      </c>
      <c r="EV147" s="8">
        <f t="shared" si="472"/>
        <v>2.7566930015999995</v>
      </c>
      <c r="EW147" s="116">
        <f t="shared" si="473"/>
        <v>2610.6840000000002</v>
      </c>
      <c r="EX147" s="217">
        <f t="shared" si="474"/>
        <v>2.1304825413624977</v>
      </c>
      <c r="EY147" s="207">
        <f t="shared" si="475"/>
        <v>2</v>
      </c>
      <c r="EZ147" s="144">
        <f t="shared" si="476"/>
        <v>88297.01484285375</v>
      </c>
      <c r="FA147" s="138">
        <f t="shared" si="333"/>
        <v>0.25</v>
      </c>
      <c r="FB147" s="116">
        <f t="shared" si="477"/>
        <v>2175570</v>
      </c>
      <c r="FC147" s="2">
        <f t="shared" si="334"/>
        <v>1.5748031496062995E-2</v>
      </c>
      <c r="FD147" s="8">
        <f t="shared" si="478"/>
        <v>2.7566930015999995</v>
      </c>
      <c r="FE147" s="116">
        <f t="shared" si="479"/>
        <v>2610.6840000000002</v>
      </c>
      <c r="FF147" s="217">
        <f t="shared" si="480"/>
        <v>2.1304825413624977</v>
      </c>
      <c r="FG147" s="207">
        <f t="shared" si="481"/>
        <v>2</v>
      </c>
      <c r="FH147" s="144">
        <f t="shared" si="482"/>
        <v>88297.01484285375</v>
      </c>
      <c r="FI147" s="128">
        <f t="shared" si="483"/>
        <v>0.25</v>
      </c>
      <c r="FJ147" s="2">
        <f t="shared" si="484"/>
        <v>1.5748031496062995E-2</v>
      </c>
      <c r="FK147" s="127">
        <f t="shared" si="485"/>
        <v>1.5748031496062995E-2</v>
      </c>
      <c r="FL147" s="216">
        <f t="shared" si="486"/>
        <v>0</v>
      </c>
      <c r="FM147" s="138">
        <f t="shared" si="487"/>
        <v>0</v>
      </c>
      <c r="FN147" s="138">
        <f t="shared" si="488"/>
        <v>0</v>
      </c>
      <c r="FO147" s="238">
        <f t="shared" si="489"/>
        <v>0.25</v>
      </c>
      <c r="FP147" s="216">
        <f t="shared" si="335"/>
        <v>0</v>
      </c>
      <c r="FQ147" s="138">
        <f t="shared" si="336"/>
        <v>0</v>
      </c>
      <c r="FR147" s="138">
        <f t="shared" si="337"/>
        <v>0</v>
      </c>
      <c r="FS147" s="238">
        <f t="shared" si="338"/>
        <v>0.25</v>
      </c>
      <c r="FT147" s="216">
        <f t="shared" si="490"/>
        <v>0</v>
      </c>
      <c r="FU147" s="138">
        <f t="shared" si="491"/>
        <v>0</v>
      </c>
      <c r="FV147" s="138">
        <f t="shared" si="492"/>
        <v>0</v>
      </c>
      <c r="FW147" s="238">
        <f t="shared" si="493"/>
        <v>1.5748031496062995E-2</v>
      </c>
      <c r="FX147" s="216">
        <f t="shared" si="339"/>
        <v>0</v>
      </c>
      <c r="FY147" s="138">
        <f t="shared" si="340"/>
        <v>0</v>
      </c>
      <c r="FZ147" s="138">
        <f t="shared" si="341"/>
        <v>0</v>
      </c>
      <c r="GA147" s="238">
        <f t="shared" si="342"/>
        <v>1.5748031496062995E-2</v>
      </c>
      <c r="GB147" s="216">
        <f t="shared" si="494"/>
        <v>0</v>
      </c>
      <c r="GC147" s="138">
        <f t="shared" si="495"/>
        <v>0</v>
      </c>
      <c r="GD147" s="138">
        <f t="shared" si="496"/>
        <v>0</v>
      </c>
      <c r="GE147" s="238">
        <f t="shared" si="497"/>
        <v>1.5748031496062995E-2</v>
      </c>
      <c r="GF147" s="216">
        <f t="shared" si="343"/>
        <v>0</v>
      </c>
      <c r="GG147" s="138">
        <f t="shared" si="344"/>
        <v>0</v>
      </c>
      <c r="GH147" s="138">
        <f t="shared" si="345"/>
        <v>0</v>
      </c>
      <c r="GI147" s="238">
        <f t="shared" si="346"/>
        <v>1.5748031496062995E-2</v>
      </c>
      <c r="GJ147" s="216">
        <f t="shared" si="498"/>
        <v>0.25</v>
      </c>
      <c r="GK147" s="216">
        <f t="shared" si="499"/>
        <v>1.5748031496062995E-2</v>
      </c>
      <c r="GL147" s="17">
        <f t="shared" si="500"/>
        <v>1.5748031496062995E-2</v>
      </c>
      <c r="GM147" s="216">
        <f t="shared" si="347"/>
        <v>1.0100977253978123E-3</v>
      </c>
      <c r="GN147" s="2">
        <f t="shared" si="501"/>
        <v>1</v>
      </c>
      <c r="GO147" s="2">
        <f t="shared" si="502"/>
        <v>2</v>
      </c>
      <c r="GP147" s="142">
        <f t="shared" si="503"/>
        <v>2</v>
      </c>
      <c r="GQ147" s="2">
        <f t="shared" si="504"/>
        <v>1.5748031496062995E-2</v>
      </c>
      <c r="GR147" s="8">
        <f t="shared" si="348"/>
        <v>1.0630049882494802E-2</v>
      </c>
      <c r="GS147" s="138">
        <f t="shared" si="505"/>
        <v>0.25</v>
      </c>
      <c r="GT147" s="12">
        <f t="shared" si="349"/>
        <v>881.11651143093593</v>
      </c>
      <c r="GU147" s="138">
        <f t="shared" si="506"/>
        <v>0.25</v>
      </c>
      <c r="GV147" s="116">
        <f t="shared" si="507"/>
        <v>2175570</v>
      </c>
      <c r="GW147" s="2">
        <f t="shared" si="350"/>
        <v>1.5748031496062995E-2</v>
      </c>
      <c r="GX147" s="8">
        <f t="shared" si="351"/>
        <v>1.3783465007999998</v>
      </c>
      <c r="GY147" s="116">
        <f t="shared" si="508"/>
        <v>2610.6840000000002</v>
      </c>
      <c r="GZ147" s="217">
        <f t="shared" si="509"/>
        <v>8.5219301654499908</v>
      </c>
      <c r="HA147" s="207">
        <f t="shared" si="510"/>
        <v>2</v>
      </c>
      <c r="HB147" s="144">
        <f t="shared" si="511"/>
        <v>353188.059371415</v>
      </c>
      <c r="HC147" s="138">
        <f t="shared" si="352"/>
        <v>0.25</v>
      </c>
      <c r="HD147" s="116">
        <f t="shared" si="512"/>
        <v>2175570</v>
      </c>
      <c r="HE147" s="2">
        <f t="shared" si="353"/>
        <v>1.5748031496062995E-2</v>
      </c>
      <c r="HF147" s="8">
        <f t="shared" si="513"/>
        <v>1.3783465007999998</v>
      </c>
      <c r="HG147" s="116">
        <f t="shared" si="514"/>
        <v>2610.6840000000002</v>
      </c>
      <c r="HH147" s="217">
        <f t="shared" si="515"/>
        <v>8.5219301654499908</v>
      </c>
      <c r="HI147" s="207">
        <f t="shared" si="516"/>
        <v>2</v>
      </c>
      <c r="HJ147" s="144">
        <f t="shared" si="517"/>
        <v>353188.059371415</v>
      </c>
      <c r="HK147" s="138">
        <f t="shared" si="354"/>
        <v>0.25</v>
      </c>
      <c r="HL147" s="116">
        <f t="shared" si="518"/>
        <v>2175570</v>
      </c>
      <c r="HM147" s="2">
        <f t="shared" si="355"/>
        <v>1.5748031496062995E-2</v>
      </c>
      <c r="HN147" s="8">
        <f t="shared" si="519"/>
        <v>1.3783465007999998</v>
      </c>
      <c r="HO147" s="116">
        <f t="shared" si="520"/>
        <v>2610.6840000000002</v>
      </c>
      <c r="HP147" s="217">
        <f t="shared" si="521"/>
        <v>8.5219301654499908</v>
      </c>
      <c r="HQ147" s="207">
        <f t="shared" si="522"/>
        <v>2</v>
      </c>
      <c r="HR147" s="144">
        <f t="shared" si="523"/>
        <v>353188.059371415</v>
      </c>
      <c r="HS147" s="128">
        <f t="shared" si="524"/>
        <v>0.25</v>
      </c>
      <c r="HT147" s="2">
        <f t="shared" si="525"/>
        <v>1.5748031496062995E-2</v>
      </c>
      <c r="HU147" s="127">
        <f t="shared" si="526"/>
        <v>1.5748031496062995E-2</v>
      </c>
      <c r="HV147" s="216">
        <f t="shared" si="527"/>
        <v>0</v>
      </c>
      <c r="HW147" s="138">
        <f t="shared" si="528"/>
        <v>0</v>
      </c>
      <c r="HX147" s="138">
        <f t="shared" si="529"/>
        <v>0</v>
      </c>
      <c r="HY147" s="238">
        <f t="shared" si="530"/>
        <v>0.25</v>
      </c>
      <c r="HZ147" s="138">
        <f t="shared" si="531"/>
        <v>0</v>
      </c>
      <c r="IA147" s="138">
        <f t="shared" si="532"/>
        <v>0</v>
      </c>
      <c r="IB147" s="138">
        <f t="shared" si="533"/>
        <v>0</v>
      </c>
      <c r="IC147" s="138">
        <f t="shared" si="534"/>
        <v>0.25</v>
      </c>
      <c r="ID147" s="216">
        <f t="shared" si="535"/>
        <v>0</v>
      </c>
      <c r="IE147" s="138">
        <f t="shared" si="536"/>
        <v>0</v>
      </c>
      <c r="IF147" s="138">
        <f t="shared" si="537"/>
        <v>0</v>
      </c>
      <c r="IG147" s="238">
        <f t="shared" si="538"/>
        <v>1.5748031496062995E-2</v>
      </c>
      <c r="IH147" s="138">
        <f t="shared" si="539"/>
        <v>0</v>
      </c>
      <c r="II147" s="138">
        <f t="shared" si="540"/>
        <v>0</v>
      </c>
      <c r="IJ147" s="138">
        <f t="shared" si="541"/>
        <v>0</v>
      </c>
      <c r="IK147" s="138">
        <f t="shared" si="542"/>
        <v>1.5748031496062995E-2</v>
      </c>
      <c r="IL147" s="216">
        <f t="shared" si="543"/>
        <v>0</v>
      </c>
      <c r="IM147" s="138">
        <f t="shared" si="544"/>
        <v>0</v>
      </c>
      <c r="IN147" s="138">
        <f t="shared" si="545"/>
        <v>0</v>
      </c>
      <c r="IO147" s="238">
        <f t="shared" si="546"/>
        <v>1.5748031496062995E-2</v>
      </c>
      <c r="IP147" s="138">
        <f t="shared" si="547"/>
        <v>0</v>
      </c>
      <c r="IQ147" s="138">
        <f t="shared" si="548"/>
        <v>0</v>
      </c>
      <c r="IR147" s="138">
        <f t="shared" si="549"/>
        <v>0</v>
      </c>
      <c r="IS147" s="138">
        <f t="shared" si="550"/>
        <v>1.5748031496062995E-2</v>
      </c>
      <c r="IT147" s="17">
        <f t="shared" si="551"/>
        <v>0.25</v>
      </c>
      <c r="IU147" s="17">
        <f t="shared" si="552"/>
        <v>1.5748031496062995E-2</v>
      </c>
      <c r="IV147" s="17">
        <f t="shared" si="553"/>
        <v>1.5748031496062995E-2</v>
      </c>
      <c r="IW147" s="253">
        <f t="shared" si="554"/>
        <v>7.657480559999998</v>
      </c>
      <c r="IX147" s="116">
        <f t="shared" si="356"/>
        <v>9.1029841856082818</v>
      </c>
      <c r="IY147" s="8">
        <f t="shared" si="357"/>
        <v>2.3536032416353683E-4</v>
      </c>
      <c r="IZ147" s="8">
        <f t="shared" si="555"/>
        <v>2.3536032416353683E-4</v>
      </c>
      <c r="JA147" s="8">
        <f t="shared" si="556"/>
        <v>1.1768016208176842E-4</v>
      </c>
      <c r="JB147" s="134">
        <f t="shared" si="557"/>
        <v>1.0848048768408464E-2</v>
      </c>
      <c r="JC147" s="170">
        <f t="shared" si="564"/>
        <v>2.8003815318914239E-4</v>
      </c>
      <c r="JD147" s="272">
        <f t="shared" si="565"/>
        <v>1.6734340536428149E-2</v>
      </c>
      <c r="JE147" s="8"/>
      <c r="JF147" s="8"/>
    </row>
    <row r="148" spans="1:266" x14ac:dyDescent="0.25">
      <c r="A148" s="186">
        <v>88</v>
      </c>
      <c r="B148" s="187">
        <f>A148/100*'Inputs-Imperial'!$E$5</f>
        <v>8.6614176</v>
      </c>
      <c r="C148" s="188">
        <f>'Inputs-Imperial'!$E$10+('Inputs-Imperial'!$E$9-'Inputs-Imperial'!$E$10)*(100-A148)/100</f>
        <v>1.26640424</v>
      </c>
      <c r="D148" s="187">
        <f t="shared" si="558"/>
        <v>9.8425199999999435E-2</v>
      </c>
      <c r="E148" s="188">
        <f t="shared" si="559"/>
        <v>0.12513046660259927</v>
      </c>
      <c r="F148" s="423">
        <f>Loads!P108</f>
        <v>8.3015212404117804</v>
      </c>
      <c r="G148" s="423">
        <f>Loads!M108</f>
        <v>83.015212404117818</v>
      </c>
      <c r="H148" s="423">
        <f>Loads!N108</f>
        <v>49.087465888886101</v>
      </c>
      <c r="I148" s="423">
        <f>Loads!V108</f>
        <v>-42.68975108966756</v>
      </c>
      <c r="J148" s="423">
        <f>Loads!Q108</f>
        <v>4.9087465888886097</v>
      </c>
      <c r="K148" s="2">
        <v>88</v>
      </c>
      <c r="L148" s="12">
        <f t="shared" si="358"/>
        <v>103.9370112</v>
      </c>
      <c r="M148" s="11">
        <f t="shared" si="359"/>
        <v>15.19685088</v>
      </c>
      <c r="N148" s="11">
        <f t="shared" si="360"/>
        <v>1.1811023999999932</v>
      </c>
      <c r="O148" s="152">
        <f t="shared" si="361"/>
        <v>18.018787190774294</v>
      </c>
      <c r="P148" s="151">
        <f t="shared" si="362"/>
        <v>8.3015212404117804</v>
      </c>
      <c r="Q148" s="12">
        <f t="shared" si="363"/>
        <v>83.015212404117818</v>
      </c>
      <c r="R148" s="12">
        <f t="shared" si="364"/>
        <v>589.04959066663321</v>
      </c>
      <c r="S148" s="12">
        <f t="shared" si="365"/>
        <v>-512.27701307601069</v>
      </c>
      <c r="T148" s="152">
        <f t="shared" si="366"/>
        <v>58.904959066663316</v>
      </c>
      <c r="U148" s="8">
        <f t="shared" si="313"/>
        <v>2.7354331583999998</v>
      </c>
      <c r="V148" s="8">
        <f t="shared" si="314"/>
        <v>2.7354331583999998</v>
      </c>
      <c r="W148" s="134">
        <f t="shared" si="315"/>
        <v>1.3677165791999999</v>
      </c>
      <c r="X148" s="311">
        <f t="shared" si="316"/>
        <v>3.7992127199999999</v>
      </c>
      <c r="Y148" s="11">
        <f t="shared" si="317"/>
        <v>11.39763816</v>
      </c>
      <c r="Z148" s="11">
        <f t="shared" si="318"/>
        <v>7.5984254399999998</v>
      </c>
      <c r="AA148" s="316">
        <f t="shared" si="367"/>
        <v>11.39763816</v>
      </c>
      <c r="AB148" s="170">
        <f t="shared" si="368"/>
        <v>2.0515748688</v>
      </c>
      <c r="AC148" s="11">
        <f t="shared" si="369"/>
        <v>11.39763816</v>
      </c>
      <c r="AD148" s="152">
        <f t="shared" si="370"/>
        <v>18.36505008772377</v>
      </c>
      <c r="AE148" s="151">
        <f t="shared" si="319"/>
        <v>0.72835451730218648</v>
      </c>
      <c r="AF148" s="12">
        <f t="shared" si="320"/>
        <v>13.947062780363593</v>
      </c>
      <c r="AG148" s="216">
        <f t="shared" si="321"/>
        <v>9.6147223534852062E-4</v>
      </c>
      <c r="AH148" s="2">
        <f t="shared" si="371"/>
        <v>1</v>
      </c>
      <c r="AI148" s="2">
        <f t="shared" si="372"/>
        <v>3</v>
      </c>
      <c r="AJ148" s="127">
        <f t="shared" si="373"/>
        <v>2</v>
      </c>
      <c r="AK148" s="2">
        <f t="shared" si="374"/>
        <v>1.5748031496062995E-2</v>
      </c>
      <c r="AL148" s="8">
        <f t="shared" si="322"/>
        <v>1.0118325747504639E-2</v>
      </c>
      <c r="AM148" s="138">
        <f t="shared" si="375"/>
        <v>0.25</v>
      </c>
      <c r="AN148" s="12">
        <f t="shared" si="323"/>
        <v>838.70009856159913</v>
      </c>
      <c r="AO148" s="138">
        <f t="shared" si="376"/>
        <v>0.25</v>
      </c>
      <c r="AP148" s="116">
        <f t="shared" si="377"/>
        <v>2175570</v>
      </c>
      <c r="AQ148" s="2">
        <f t="shared" si="378"/>
        <v>1.5748031496062995E-2</v>
      </c>
      <c r="AR148" s="8">
        <f t="shared" si="379"/>
        <v>7.5984254399999998</v>
      </c>
      <c r="AS148" s="116">
        <f t="shared" si="380"/>
        <v>2610.6840000000002</v>
      </c>
      <c r="AT148" s="217">
        <f t="shared" si="381"/>
        <v>0.28041908926374048</v>
      </c>
      <c r="AU148" s="207">
        <f t="shared" si="382"/>
        <v>2.6919308897333156</v>
      </c>
      <c r="AV148" s="144">
        <f t="shared" si="383"/>
        <v>15642.62111774199</v>
      </c>
      <c r="AW148" s="138">
        <f t="shared" si="384"/>
        <v>0.25</v>
      </c>
      <c r="AX148" s="116">
        <f t="shared" si="385"/>
        <v>2175570</v>
      </c>
      <c r="AY148" s="2">
        <f t="shared" si="386"/>
        <v>1.5748031496062995E-2</v>
      </c>
      <c r="AZ148" s="8">
        <f t="shared" si="387"/>
        <v>7.5984254399999998</v>
      </c>
      <c r="BA148" s="116">
        <f t="shared" si="388"/>
        <v>2610.6840000000002</v>
      </c>
      <c r="BB148" s="217">
        <f t="shared" si="389"/>
        <v>0.28041908926374048</v>
      </c>
      <c r="BC148" s="207">
        <f t="shared" si="390"/>
        <v>2.6919308897333156</v>
      </c>
      <c r="BD148" s="144">
        <f t="shared" si="391"/>
        <v>15642.62111774199</v>
      </c>
      <c r="BE148" s="138">
        <f t="shared" si="392"/>
        <v>0.25</v>
      </c>
      <c r="BF148" s="116">
        <f t="shared" si="393"/>
        <v>2175570</v>
      </c>
      <c r="BG148" s="2">
        <f t="shared" si="394"/>
        <v>1.5748031496062995E-2</v>
      </c>
      <c r="BH148" s="8">
        <f t="shared" si="395"/>
        <v>7.5984254399999998</v>
      </c>
      <c r="BI148" s="116">
        <f t="shared" si="396"/>
        <v>2610.6840000000002</v>
      </c>
      <c r="BJ148" s="217">
        <f t="shared" si="397"/>
        <v>0.28041908926374048</v>
      </c>
      <c r="BK148" s="207">
        <f t="shared" si="398"/>
        <v>2.6919308897333156</v>
      </c>
      <c r="BL148" s="144">
        <f t="shared" si="399"/>
        <v>15642.62111774199</v>
      </c>
      <c r="BM148" s="216">
        <f t="shared" si="400"/>
        <v>0.25</v>
      </c>
      <c r="BN148" s="216">
        <f t="shared" si="401"/>
        <v>2.3622047244094495E-2</v>
      </c>
      <c r="BO148" s="238">
        <f t="shared" si="402"/>
        <v>1.5748031496062995E-2</v>
      </c>
      <c r="BP148" s="216">
        <f t="shared" si="403"/>
        <v>0</v>
      </c>
      <c r="BQ148" s="138">
        <f t="shared" si="404"/>
        <v>0</v>
      </c>
      <c r="BR148" s="138">
        <f t="shared" si="405"/>
        <v>0</v>
      </c>
      <c r="BS148" s="238">
        <f t="shared" si="406"/>
        <v>0.25</v>
      </c>
      <c r="BT148" s="138">
        <f t="shared" si="407"/>
        <v>0</v>
      </c>
      <c r="BU148" s="138">
        <f t="shared" si="408"/>
        <v>0</v>
      </c>
      <c r="BV148" s="138">
        <f t="shared" si="409"/>
        <v>0</v>
      </c>
      <c r="BW148" s="238">
        <f t="shared" si="410"/>
        <v>0.25</v>
      </c>
      <c r="BX148" s="216">
        <f t="shared" si="411"/>
        <v>0</v>
      </c>
      <c r="BY148" s="138">
        <f t="shared" si="412"/>
        <v>0</v>
      </c>
      <c r="BZ148" s="138">
        <f t="shared" si="413"/>
        <v>0</v>
      </c>
      <c r="CA148" s="238">
        <f t="shared" si="414"/>
        <v>2.3622047244094495E-2</v>
      </c>
      <c r="CB148" s="138">
        <f t="shared" si="415"/>
        <v>0</v>
      </c>
      <c r="CC148" s="138">
        <f t="shared" si="416"/>
        <v>0</v>
      </c>
      <c r="CD148" s="138">
        <f t="shared" si="417"/>
        <v>0</v>
      </c>
      <c r="CE148" s="238">
        <f t="shared" si="418"/>
        <v>2.3622047244094495E-2</v>
      </c>
      <c r="CF148" s="216">
        <f t="shared" si="419"/>
        <v>0</v>
      </c>
      <c r="CG148" s="138">
        <f t="shared" si="420"/>
        <v>0</v>
      </c>
      <c r="CH148" s="138">
        <f t="shared" si="421"/>
        <v>0</v>
      </c>
      <c r="CI148" s="238">
        <f t="shared" si="422"/>
        <v>1.5748031496062995E-2</v>
      </c>
      <c r="CJ148" s="138">
        <f t="shared" si="423"/>
        <v>0</v>
      </c>
      <c r="CK148" s="138">
        <f t="shared" si="424"/>
        <v>0</v>
      </c>
      <c r="CL148" s="138">
        <f t="shared" si="425"/>
        <v>0</v>
      </c>
      <c r="CM148" s="238">
        <f t="shared" si="426"/>
        <v>1.5748031496062995E-2</v>
      </c>
      <c r="CN148" s="17">
        <f t="shared" si="427"/>
        <v>0.25</v>
      </c>
      <c r="CO148" s="17">
        <f t="shared" si="428"/>
        <v>2.3622047244094495E-2</v>
      </c>
      <c r="CP148" s="17">
        <f t="shared" si="429"/>
        <v>1.5748031496062995E-2</v>
      </c>
      <c r="CQ148" s="17">
        <f>$U148-IF('Inputs-Imperial'!$E$13,0,2)*($CO148+$CN148+$CP148)</f>
        <v>2.7354331583999998</v>
      </c>
      <c r="CR148" s="116">
        <f t="shared" si="430"/>
        <v>215.34051704307703</v>
      </c>
      <c r="CS148" s="8">
        <f t="shared" si="324"/>
        <v>5.5676921835073482E-3</v>
      </c>
      <c r="CT148" s="8">
        <f t="shared" si="431"/>
        <v>7.4616969809201905E-2</v>
      </c>
      <c r="CU148" s="8">
        <f t="shared" si="325"/>
        <v>5.5676921835073482E-3</v>
      </c>
      <c r="CV148" s="8">
        <f t="shared" si="432"/>
        <v>7.4616969809201905E-2</v>
      </c>
      <c r="CW148" s="216">
        <f t="shared" si="433"/>
        <v>2.6608161885907982</v>
      </c>
      <c r="CX148" s="116">
        <f t="shared" si="434"/>
        <v>221.37928699937794</v>
      </c>
      <c r="CY148" s="8">
        <f t="shared" si="435"/>
        <v>5.7238263506644276E-3</v>
      </c>
      <c r="CZ148" s="8">
        <f t="shared" si="436"/>
        <v>7.5655973661465939E-2</v>
      </c>
      <c r="DA148" s="8">
        <f t="shared" si="437"/>
        <v>5.7238263506644276E-3</v>
      </c>
      <c r="DB148" s="8">
        <f t="shared" si="438"/>
        <v>7.5655973661465939E-2</v>
      </c>
      <c r="DC148" s="216">
        <f t="shared" si="439"/>
        <v>2.6597771847385334</v>
      </c>
      <c r="DD148" s="116">
        <f t="shared" si="440"/>
        <v>221.46576564628256</v>
      </c>
      <c r="DE148" s="8">
        <f t="shared" si="441"/>
        <v>5.7260622814266577E-3</v>
      </c>
      <c r="DF148" s="8">
        <f t="shared" si="442"/>
        <v>7.5670749179763366E-2</v>
      </c>
      <c r="DG148" s="8">
        <f t="shared" si="443"/>
        <v>5.7260622814266577E-3</v>
      </c>
      <c r="DH148" s="8">
        <f t="shared" si="444"/>
        <v>7.5670749179763366E-2</v>
      </c>
      <c r="DI148" s="216">
        <f t="shared" si="445"/>
        <v>2.6597624092202365</v>
      </c>
      <c r="DJ148" s="116">
        <f t="shared" si="446"/>
        <v>221.46699593341688</v>
      </c>
      <c r="DK148" s="8">
        <f t="shared" si="447"/>
        <v>5.726094090861107E-3</v>
      </c>
      <c r="DL148" s="8">
        <f t="shared" si="448"/>
        <v>7.5670959362632018E-2</v>
      </c>
      <c r="DM148" s="8">
        <f t="shared" si="449"/>
        <v>5.726094090861107E-3</v>
      </c>
      <c r="DN148" s="8">
        <f t="shared" si="450"/>
        <v>7.5670959362632018E-2</v>
      </c>
      <c r="DO148" s="216">
        <f t="shared" si="451"/>
        <v>2.6597621990373681</v>
      </c>
      <c r="DP148" s="116">
        <f t="shared" si="452"/>
        <v>221.46701343444329</v>
      </c>
      <c r="DQ148" s="170">
        <f t="shared" si="453"/>
        <v>5.7260945433552741E-3</v>
      </c>
      <c r="DR148" s="8">
        <f t="shared" si="454"/>
        <v>7.5670962352511903E-2</v>
      </c>
      <c r="DS148" s="8">
        <f t="shared" si="455"/>
        <v>5.7260945433552741E-3</v>
      </c>
      <c r="DT148" s="134">
        <f t="shared" si="456"/>
        <v>7.5670962352511903E-2</v>
      </c>
      <c r="DU148" s="170">
        <f t="shared" si="563"/>
        <v>1.6272075519057922E-2</v>
      </c>
      <c r="DV148" s="170">
        <f t="shared" si="563"/>
        <v>0.12756204576227964</v>
      </c>
      <c r="DW148" s="170">
        <f t="shared" si="563"/>
        <v>1.6272075519057922E-2</v>
      </c>
      <c r="DX148" s="272">
        <f t="shared" si="563"/>
        <v>0.12756204576227964</v>
      </c>
      <c r="DY148" s="272">
        <f t="shared" si="457"/>
        <v>2.4803090668754408</v>
      </c>
      <c r="DZ148" s="22">
        <f t="shared" si="326"/>
        <v>30.348104887591109</v>
      </c>
      <c r="EA148" s="216">
        <f t="shared" si="327"/>
        <v>1.9882814677784104E-3</v>
      </c>
      <c r="EB148" s="12">
        <f t="shared" si="458"/>
        <v>1</v>
      </c>
      <c r="EC148" s="7">
        <f>ROUND(MAX(DV148,DX148)/'Inputs-Imperial'!$E$21,0)</f>
        <v>1</v>
      </c>
      <c r="ED148" s="12">
        <f t="shared" si="459"/>
        <v>1</v>
      </c>
      <c r="EE148" s="2">
        <f t="shared" si="460"/>
        <v>2</v>
      </c>
      <c r="EF148" s="127">
        <f t="shared" si="461"/>
        <v>2</v>
      </c>
      <c r="EG148" s="2">
        <f t="shared" si="462"/>
        <v>1.5748031496062995E-2</v>
      </c>
      <c r="EH148" s="8">
        <f t="shared" si="328"/>
        <v>2.0924243913726822E-2</v>
      </c>
      <c r="EI148" s="138">
        <f t="shared" si="463"/>
        <v>0.25</v>
      </c>
      <c r="EJ148" s="12">
        <f t="shared" si="329"/>
        <v>1734.3941943258317</v>
      </c>
      <c r="EK148" s="138">
        <f t="shared" si="464"/>
        <v>0.25</v>
      </c>
      <c r="EL148" s="116">
        <f t="shared" si="465"/>
        <v>2175570</v>
      </c>
      <c r="EM148" s="2">
        <f t="shared" si="330"/>
        <v>1.5748031496062995E-2</v>
      </c>
      <c r="EN148" s="8">
        <f t="shared" si="466"/>
        <v>2.7354331583999998</v>
      </c>
      <c r="EO148" s="116">
        <f t="shared" si="467"/>
        <v>2610.6840000000002</v>
      </c>
      <c r="EP148" s="217">
        <f t="shared" si="468"/>
        <v>2.1637275406152816</v>
      </c>
      <c r="EQ148" s="207">
        <f t="shared" si="469"/>
        <v>2</v>
      </c>
      <c r="ER148" s="144">
        <f t="shared" si="470"/>
        <v>89674.840821468169</v>
      </c>
      <c r="ES148" s="138">
        <f t="shared" si="331"/>
        <v>0.25</v>
      </c>
      <c r="ET148" s="116">
        <f t="shared" si="471"/>
        <v>2175570</v>
      </c>
      <c r="EU148" s="2">
        <f t="shared" si="332"/>
        <v>1.5748031496062995E-2</v>
      </c>
      <c r="EV148" s="8">
        <f t="shared" si="472"/>
        <v>2.7354331583999998</v>
      </c>
      <c r="EW148" s="116">
        <f t="shared" si="473"/>
        <v>2610.6840000000002</v>
      </c>
      <c r="EX148" s="217">
        <f t="shared" si="474"/>
        <v>2.1637275406152816</v>
      </c>
      <c r="EY148" s="207">
        <f t="shared" si="475"/>
        <v>2</v>
      </c>
      <c r="EZ148" s="144">
        <f t="shared" si="476"/>
        <v>89674.840821468169</v>
      </c>
      <c r="FA148" s="138">
        <f t="shared" si="333"/>
        <v>0.25</v>
      </c>
      <c r="FB148" s="116">
        <f t="shared" si="477"/>
        <v>2175570</v>
      </c>
      <c r="FC148" s="2">
        <f t="shared" si="334"/>
        <v>1.5748031496062995E-2</v>
      </c>
      <c r="FD148" s="8">
        <f t="shared" si="478"/>
        <v>2.7354331583999998</v>
      </c>
      <c r="FE148" s="116">
        <f t="shared" si="479"/>
        <v>2610.6840000000002</v>
      </c>
      <c r="FF148" s="217">
        <f t="shared" si="480"/>
        <v>2.1637275406152816</v>
      </c>
      <c r="FG148" s="207">
        <f t="shared" si="481"/>
        <v>2</v>
      </c>
      <c r="FH148" s="144">
        <f t="shared" si="482"/>
        <v>89674.840821468169</v>
      </c>
      <c r="FI148" s="128">
        <f t="shared" si="483"/>
        <v>0.25</v>
      </c>
      <c r="FJ148" s="2">
        <f t="shared" si="484"/>
        <v>1.5748031496062995E-2</v>
      </c>
      <c r="FK148" s="127">
        <f t="shared" si="485"/>
        <v>1.5748031496062995E-2</v>
      </c>
      <c r="FL148" s="216">
        <f t="shared" si="486"/>
        <v>0</v>
      </c>
      <c r="FM148" s="138">
        <f t="shared" si="487"/>
        <v>0</v>
      </c>
      <c r="FN148" s="138">
        <f t="shared" si="488"/>
        <v>0</v>
      </c>
      <c r="FO148" s="238">
        <f t="shared" si="489"/>
        <v>0.25</v>
      </c>
      <c r="FP148" s="216">
        <f t="shared" si="335"/>
        <v>0</v>
      </c>
      <c r="FQ148" s="138">
        <f t="shared" si="336"/>
        <v>0</v>
      </c>
      <c r="FR148" s="138">
        <f t="shared" si="337"/>
        <v>0</v>
      </c>
      <c r="FS148" s="238">
        <f t="shared" si="338"/>
        <v>0.25</v>
      </c>
      <c r="FT148" s="216">
        <f t="shared" si="490"/>
        <v>0</v>
      </c>
      <c r="FU148" s="138">
        <f t="shared" si="491"/>
        <v>0</v>
      </c>
      <c r="FV148" s="138">
        <f t="shared" si="492"/>
        <v>0</v>
      </c>
      <c r="FW148" s="238">
        <f t="shared" si="493"/>
        <v>1.5748031496062995E-2</v>
      </c>
      <c r="FX148" s="216">
        <f t="shared" si="339"/>
        <v>0</v>
      </c>
      <c r="FY148" s="138">
        <f t="shared" si="340"/>
        <v>0</v>
      </c>
      <c r="FZ148" s="138">
        <f t="shared" si="341"/>
        <v>0</v>
      </c>
      <c r="GA148" s="238">
        <f t="shared" si="342"/>
        <v>1.5748031496062995E-2</v>
      </c>
      <c r="GB148" s="216">
        <f t="shared" si="494"/>
        <v>0</v>
      </c>
      <c r="GC148" s="138">
        <f t="shared" si="495"/>
        <v>0</v>
      </c>
      <c r="GD148" s="138">
        <f t="shared" si="496"/>
        <v>0</v>
      </c>
      <c r="GE148" s="238">
        <f t="shared" si="497"/>
        <v>1.5748031496062995E-2</v>
      </c>
      <c r="GF148" s="216">
        <f t="shared" si="343"/>
        <v>0</v>
      </c>
      <c r="GG148" s="138">
        <f t="shared" si="344"/>
        <v>0</v>
      </c>
      <c r="GH148" s="138">
        <f t="shared" si="345"/>
        <v>0</v>
      </c>
      <c r="GI148" s="238">
        <f t="shared" si="346"/>
        <v>1.5748031496062995E-2</v>
      </c>
      <c r="GJ148" s="216">
        <f t="shared" si="498"/>
        <v>0.25</v>
      </c>
      <c r="GK148" s="216">
        <f t="shared" si="499"/>
        <v>1.5748031496062995E-2</v>
      </c>
      <c r="GL148" s="17">
        <f t="shared" si="500"/>
        <v>1.5748031496062995E-2</v>
      </c>
      <c r="GM148" s="216">
        <f t="shared" si="347"/>
        <v>9.1375348012183878E-4</v>
      </c>
      <c r="GN148" s="2">
        <f t="shared" si="501"/>
        <v>1</v>
      </c>
      <c r="GO148" s="2">
        <f t="shared" si="502"/>
        <v>2</v>
      </c>
      <c r="GP148" s="142">
        <f t="shared" si="503"/>
        <v>2</v>
      </c>
      <c r="GQ148" s="2">
        <f t="shared" si="504"/>
        <v>1.5748031496062995E-2</v>
      </c>
      <c r="GR148" s="8">
        <f t="shared" si="348"/>
        <v>9.6161438935751953E-3</v>
      </c>
      <c r="GS148" s="138">
        <f t="shared" si="505"/>
        <v>0.25</v>
      </c>
      <c r="GT148" s="12">
        <f t="shared" si="349"/>
        <v>797.07463789777921</v>
      </c>
      <c r="GU148" s="138">
        <f t="shared" si="506"/>
        <v>0.25</v>
      </c>
      <c r="GV148" s="116">
        <f t="shared" si="507"/>
        <v>2175570</v>
      </c>
      <c r="GW148" s="2">
        <f t="shared" si="350"/>
        <v>1.5748031496062995E-2</v>
      </c>
      <c r="GX148" s="8">
        <f t="shared" si="351"/>
        <v>1.3677165791999999</v>
      </c>
      <c r="GY148" s="116">
        <f t="shared" si="508"/>
        <v>2610.6840000000002</v>
      </c>
      <c r="GZ148" s="217">
        <f t="shared" si="509"/>
        <v>8.6549101624611264</v>
      </c>
      <c r="HA148" s="207">
        <f t="shared" si="510"/>
        <v>2</v>
      </c>
      <c r="HB148" s="144">
        <f t="shared" si="511"/>
        <v>358699.36328587268</v>
      </c>
      <c r="HC148" s="138">
        <f t="shared" si="352"/>
        <v>0.25</v>
      </c>
      <c r="HD148" s="116">
        <f t="shared" si="512"/>
        <v>2175570</v>
      </c>
      <c r="HE148" s="2">
        <f t="shared" si="353"/>
        <v>1.5748031496062995E-2</v>
      </c>
      <c r="HF148" s="8">
        <f t="shared" si="513"/>
        <v>1.3677165791999999</v>
      </c>
      <c r="HG148" s="116">
        <f t="shared" si="514"/>
        <v>2610.6840000000002</v>
      </c>
      <c r="HH148" s="217">
        <f t="shared" si="515"/>
        <v>8.6549101624611264</v>
      </c>
      <c r="HI148" s="207">
        <f t="shared" si="516"/>
        <v>2</v>
      </c>
      <c r="HJ148" s="144">
        <f t="shared" si="517"/>
        <v>358699.36328587268</v>
      </c>
      <c r="HK148" s="138">
        <f t="shared" si="354"/>
        <v>0.25</v>
      </c>
      <c r="HL148" s="116">
        <f t="shared" si="518"/>
        <v>2175570</v>
      </c>
      <c r="HM148" s="2">
        <f t="shared" si="355"/>
        <v>1.5748031496062995E-2</v>
      </c>
      <c r="HN148" s="8">
        <f t="shared" si="519"/>
        <v>1.3677165791999999</v>
      </c>
      <c r="HO148" s="116">
        <f t="shared" si="520"/>
        <v>2610.6840000000002</v>
      </c>
      <c r="HP148" s="217">
        <f t="shared" si="521"/>
        <v>8.6549101624611264</v>
      </c>
      <c r="HQ148" s="207">
        <f t="shared" si="522"/>
        <v>2</v>
      </c>
      <c r="HR148" s="144">
        <f t="shared" si="523"/>
        <v>358699.36328587268</v>
      </c>
      <c r="HS148" s="128">
        <f t="shared" si="524"/>
        <v>0.25</v>
      </c>
      <c r="HT148" s="2">
        <f t="shared" si="525"/>
        <v>1.5748031496062995E-2</v>
      </c>
      <c r="HU148" s="127">
        <f t="shared" si="526"/>
        <v>1.5748031496062995E-2</v>
      </c>
      <c r="HV148" s="216">
        <f t="shared" si="527"/>
        <v>0</v>
      </c>
      <c r="HW148" s="138">
        <f t="shared" si="528"/>
        <v>0</v>
      </c>
      <c r="HX148" s="138">
        <f t="shared" si="529"/>
        <v>0</v>
      </c>
      <c r="HY148" s="238">
        <f t="shared" si="530"/>
        <v>0.25</v>
      </c>
      <c r="HZ148" s="138">
        <f t="shared" si="531"/>
        <v>0</v>
      </c>
      <c r="IA148" s="138">
        <f t="shared" si="532"/>
        <v>0</v>
      </c>
      <c r="IB148" s="138">
        <f t="shared" si="533"/>
        <v>0</v>
      </c>
      <c r="IC148" s="138">
        <f t="shared" si="534"/>
        <v>0.25</v>
      </c>
      <c r="ID148" s="216">
        <f t="shared" si="535"/>
        <v>0</v>
      </c>
      <c r="IE148" s="138">
        <f t="shared" si="536"/>
        <v>0</v>
      </c>
      <c r="IF148" s="138">
        <f t="shared" si="537"/>
        <v>0</v>
      </c>
      <c r="IG148" s="238">
        <f t="shared" si="538"/>
        <v>1.5748031496062995E-2</v>
      </c>
      <c r="IH148" s="138">
        <f t="shared" si="539"/>
        <v>0</v>
      </c>
      <c r="II148" s="138">
        <f t="shared" si="540"/>
        <v>0</v>
      </c>
      <c r="IJ148" s="138">
        <f t="shared" si="541"/>
        <v>0</v>
      </c>
      <c r="IK148" s="138">
        <f t="shared" si="542"/>
        <v>1.5748031496062995E-2</v>
      </c>
      <c r="IL148" s="216">
        <f t="shared" si="543"/>
        <v>0</v>
      </c>
      <c r="IM148" s="138">
        <f t="shared" si="544"/>
        <v>0</v>
      </c>
      <c r="IN148" s="138">
        <f t="shared" si="545"/>
        <v>0</v>
      </c>
      <c r="IO148" s="238">
        <f t="shared" si="546"/>
        <v>1.5748031496062995E-2</v>
      </c>
      <c r="IP148" s="138">
        <f t="shared" si="547"/>
        <v>0</v>
      </c>
      <c r="IQ148" s="138">
        <f t="shared" si="548"/>
        <v>0</v>
      </c>
      <c r="IR148" s="138">
        <f t="shared" si="549"/>
        <v>0</v>
      </c>
      <c r="IS148" s="138">
        <f t="shared" si="550"/>
        <v>1.5748031496062995E-2</v>
      </c>
      <c r="IT148" s="17">
        <f t="shared" si="551"/>
        <v>0.25</v>
      </c>
      <c r="IU148" s="17">
        <f t="shared" si="552"/>
        <v>1.5748031496062995E-2</v>
      </c>
      <c r="IV148" s="17">
        <f t="shared" si="553"/>
        <v>1.5748031496062995E-2</v>
      </c>
      <c r="IW148" s="253">
        <f t="shared" si="554"/>
        <v>7.5984254399999998</v>
      </c>
      <c r="IX148" s="116">
        <f t="shared" si="356"/>
        <v>7.7522586135507723</v>
      </c>
      <c r="IY148" s="8">
        <f t="shared" si="357"/>
        <v>2.0043691860626453E-4</v>
      </c>
      <c r="IZ148" s="8">
        <f t="shared" si="555"/>
        <v>2.0043691860626453E-4</v>
      </c>
      <c r="JA148" s="8">
        <f t="shared" si="556"/>
        <v>1.0021845930313227E-4</v>
      </c>
      <c r="JB148" s="134">
        <f t="shared" si="557"/>
        <v>1.0010917006105497E-2</v>
      </c>
      <c r="JC148" s="170">
        <f t="shared" si="564"/>
        <v>2.8003815318914239E-4</v>
      </c>
      <c r="JD148" s="272">
        <f t="shared" si="565"/>
        <v>1.6734340536428149E-2</v>
      </c>
      <c r="JE148" s="8"/>
      <c r="JF148" s="8"/>
    </row>
    <row r="149" spans="1:266" x14ac:dyDescent="0.25">
      <c r="A149" s="186">
        <v>89</v>
      </c>
      <c r="B149" s="187">
        <f>A149/100*'Inputs-Imperial'!$E$5</f>
        <v>8.7598428000000013</v>
      </c>
      <c r="C149" s="188">
        <f>'Inputs-Imperial'!$E$10+('Inputs-Imperial'!$E$9-'Inputs-Imperial'!$E$10)*(100-A149)/100</f>
        <v>1.2565617199999999</v>
      </c>
      <c r="D149" s="187">
        <f t="shared" si="558"/>
        <v>9.8425200000001212E-2</v>
      </c>
      <c r="E149" s="188">
        <f t="shared" si="559"/>
        <v>0.12416171460309751</v>
      </c>
      <c r="F149" s="423">
        <f>Loads!P109</f>
        <v>7.4761749352439946</v>
      </c>
      <c r="G149" s="423">
        <f>Loads!M109</f>
        <v>74.761749352439949</v>
      </c>
      <c r="H149" s="423">
        <f>Loads!N109</f>
        <v>40.916677004968221</v>
      </c>
      <c r="I149" s="423">
        <f>Loads!V109</f>
        <v>-37.676199732695018</v>
      </c>
      <c r="J149" s="423">
        <f>Loads!Q109</f>
        <v>4.0916677004968216</v>
      </c>
      <c r="K149" s="2">
        <v>89</v>
      </c>
      <c r="L149" s="12">
        <f t="shared" si="358"/>
        <v>105.11811360000002</v>
      </c>
      <c r="M149" s="11">
        <f t="shared" si="359"/>
        <v>15.078740639999999</v>
      </c>
      <c r="N149" s="11">
        <f t="shared" si="360"/>
        <v>1.1811024000000145</v>
      </c>
      <c r="O149" s="152">
        <f t="shared" si="361"/>
        <v>17.87928690284604</v>
      </c>
      <c r="P149" s="151">
        <f t="shared" si="362"/>
        <v>7.4761749352439946</v>
      </c>
      <c r="Q149" s="12">
        <f t="shared" si="363"/>
        <v>74.761749352439949</v>
      </c>
      <c r="R149" s="12">
        <f t="shared" si="364"/>
        <v>491.00012405961866</v>
      </c>
      <c r="S149" s="12">
        <f t="shared" si="365"/>
        <v>-452.11439679234024</v>
      </c>
      <c r="T149" s="152">
        <f t="shared" si="366"/>
        <v>49.100012405961863</v>
      </c>
      <c r="U149" s="8">
        <f t="shared" si="313"/>
        <v>2.7141733151999996</v>
      </c>
      <c r="V149" s="8">
        <f t="shared" si="314"/>
        <v>2.7141733151999996</v>
      </c>
      <c r="W149" s="134">
        <f t="shared" si="315"/>
        <v>1.3570866575999998</v>
      </c>
      <c r="X149" s="311">
        <f t="shared" si="316"/>
        <v>3.7696851599999999</v>
      </c>
      <c r="Y149" s="11">
        <f t="shared" si="317"/>
        <v>11.30905548</v>
      </c>
      <c r="Z149" s="11">
        <f t="shared" si="318"/>
        <v>7.5393703199999997</v>
      </c>
      <c r="AA149" s="316">
        <f t="shared" si="367"/>
        <v>11.30905548</v>
      </c>
      <c r="AB149" s="170">
        <f t="shared" si="368"/>
        <v>2.0356299863999996</v>
      </c>
      <c r="AC149" s="11">
        <f t="shared" si="369"/>
        <v>11.30905548</v>
      </c>
      <c r="AD149" s="152">
        <f t="shared" si="370"/>
        <v>18.080692316022652</v>
      </c>
      <c r="AE149" s="151">
        <f t="shared" si="319"/>
        <v>0.66107863282354284</v>
      </c>
      <c r="AF149" s="12">
        <f t="shared" si="320"/>
        <v>12.502684877605265</v>
      </c>
      <c r="AG149" s="216">
        <f t="shared" si="321"/>
        <v>8.6243497348347214E-4</v>
      </c>
      <c r="AH149" s="2">
        <f t="shared" si="371"/>
        <v>1</v>
      </c>
      <c r="AI149" s="2">
        <f t="shared" si="372"/>
        <v>3</v>
      </c>
      <c r="AJ149" s="127">
        <f t="shared" si="373"/>
        <v>2</v>
      </c>
      <c r="AK149" s="2">
        <f t="shared" si="374"/>
        <v>1.5748031496062995E-2</v>
      </c>
      <c r="AL149" s="8">
        <f t="shared" si="322"/>
        <v>9.0760790347555863E-3</v>
      </c>
      <c r="AM149" s="138">
        <f t="shared" si="375"/>
        <v>0.25</v>
      </c>
      <c r="AN149" s="12">
        <f t="shared" si="323"/>
        <v>752.30908462100626</v>
      </c>
      <c r="AO149" s="138">
        <f t="shared" si="376"/>
        <v>0.25</v>
      </c>
      <c r="AP149" s="116">
        <f t="shared" si="377"/>
        <v>2175570</v>
      </c>
      <c r="AQ149" s="2">
        <f t="shared" si="378"/>
        <v>1.5748031496062995E-2</v>
      </c>
      <c r="AR149" s="8">
        <f t="shared" si="379"/>
        <v>7.5393703199999997</v>
      </c>
      <c r="AS149" s="116">
        <f t="shared" si="380"/>
        <v>2610.6840000000002</v>
      </c>
      <c r="AT149" s="217">
        <f t="shared" si="381"/>
        <v>0.28482928252248135</v>
      </c>
      <c r="AU149" s="207">
        <f t="shared" si="382"/>
        <v>2.6719588814285062</v>
      </c>
      <c r="AV149" s="144">
        <f t="shared" si="383"/>
        <v>15770.753811321545</v>
      </c>
      <c r="AW149" s="138">
        <f t="shared" si="384"/>
        <v>0.25</v>
      </c>
      <c r="AX149" s="116">
        <f t="shared" si="385"/>
        <v>2175570</v>
      </c>
      <c r="AY149" s="2">
        <f t="shared" si="386"/>
        <v>1.5748031496062995E-2</v>
      </c>
      <c r="AZ149" s="8">
        <f t="shared" si="387"/>
        <v>7.5393703199999997</v>
      </c>
      <c r="BA149" s="116">
        <f t="shared" si="388"/>
        <v>2610.6840000000002</v>
      </c>
      <c r="BB149" s="217">
        <f t="shared" si="389"/>
        <v>0.28482928252248135</v>
      </c>
      <c r="BC149" s="207">
        <f t="shared" si="390"/>
        <v>2.6719588814285062</v>
      </c>
      <c r="BD149" s="144">
        <f t="shared" si="391"/>
        <v>15770.753811321545</v>
      </c>
      <c r="BE149" s="138">
        <f t="shared" si="392"/>
        <v>0.25</v>
      </c>
      <c r="BF149" s="116">
        <f t="shared" si="393"/>
        <v>2175570</v>
      </c>
      <c r="BG149" s="2">
        <f t="shared" si="394"/>
        <v>1.5748031496062995E-2</v>
      </c>
      <c r="BH149" s="8">
        <f t="shared" si="395"/>
        <v>7.5393703199999997</v>
      </c>
      <c r="BI149" s="116">
        <f t="shared" si="396"/>
        <v>2610.6840000000002</v>
      </c>
      <c r="BJ149" s="217">
        <f t="shared" si="397"/>
        <v>0.28482928252248135</v>
      </c>
      <c r="BK149" s="207">
        <f t="shared" si="398"/>
        <v>2.6719588814285062</v>
      </c>
      <c r="BL149" s="144">
        <f t="shared" si="399"/>
        <v>15770.753811321545</v>
      </c>
      <c r="BM149" s="216">
        <f t="shared" si="400"/>
        <v>0.25</v>
      </c>
      <c r="BN149" s="216">
        <f t="shared" si="401"/>
        <v>2.3622047244094495E-2</v>
      </c>
      <c r="BO149" s="238">
        <f t="shared" si="402"/>
        <v>1.5748031496062995E-2</v>
      </c>
      <c r="BP149" s="216">
        <f t="shared" si="403"/>
        <v>0</v>
      </c>
      <c r="BQ149" s="138">
        <f t="shared" si="404"/>
        <v>0</v>
      </c>
      <c r="BR149" s="138">
        <f t="shared" si="405"/>
        <v>0</v>
      </c>
      <c r="BS149" s="238">
        <f t="shared" si="406"/>
        <v>0.25</v>
      </c>
      <c r="BT149" s="138">
        <f t="shared" si="407"/>
        <v>0</v>
      </c>
      <c r="BU149" s="138">
        <f t="shared" si="408"/>
        <v>0</v>
      </c>
      <c r="BV149" s="138">
        <f t="shared" si="409"/>
        <v>0</v>
      </c>
      <c r="BW149" s="238">
        <f t="shared" si="410"/>
        <v>0.25</v>
      </c>
      <c r="BX149" s="216">
        <f t="shared" si="411"/>
        <v>0</v>
      </c>
      <c r="BY149" s="138">
        <f t="shared" si="412"/>
        <v>0</v>
      </c>
      <c r="BZ149" s="138">
        <f t="shared" si="413"/>
        <v>0</v>
      </c>
      <c r="CA149" s="238">
        <f t="shared" si="414"/>
        <v>2.3622047244094495E-2</v>
      </c>
      <c r="CB149" s="138">
        <f t="shared" si="415"/>
        <v>0</v>
      </c>
      <c r="CC149" s="138">
        <f t="shared" si="416"/>
        <v>0</v>
      </c>
      <c r="CD149" s="138">
        <f t="shared" si="417"/>
        <v>0</v>
      </c>
      <c r="CE149" s="238">
        <f t="shared" si="418"/>
        <v>2.3622047244094495E-2</v>
      </c>
      <c r="CF149" s="216">
        <f t="shared" si="419"/>
        <v>0</v>
      </c>
      <c r="CG149" s="138">
        <f t="shared" si="420"/>
        <v>0</v>
      </c>
      <c r="CH149" s="138">
        <f t="shared" si="421"/>
        <v>0</v>
      </c>
      <c r="CI149" s="238">
        <f t="shared" si="422"/>
        <v>1.5748031496062995E-2</v>
      </c>
      <c r="CJ149" s="138">
        <f t="shared" si="423"/>
        <v>0</v>
      </c>
      <c r="CK149" s="138">
        <f t="shared" si="424"/>
        <v>0</v>
      </c>
      <c r="CL149" s="138">
        <f t="shared" si="425"/>
        <v>0</v>
      </c>
      <c r="CM149" s="238">
        <f t="shared" si="426"/>
        <v>1.5748031496062995E-2</v>
      </c>
      <c r="CN149" s="17">
        <f t="shared" si="427"/>
        <v>0.25</v>
      </c>
      <c r="CO149" s="17">
        <f t="shared" si="428"/>
        <v>2.3622047244094495E-2</v>
      </c>
      <c r="CP149" s="17">
        <f t="shared" si="429"/>
        <v>1.5748031496062995E-2</v>
      </c>
      <c r="CQ149" s="17">
        <f>$U149-IF('Inputs-Imperial'!$E$13,0,2)*($CO149+$CN149+$CP149)</f>
        <v>2.7141733151999996</v>
      </c>
      <c r="CR149" s="116">
        <f t="shared" si="430"/>
        <v>180.90227374571262</v>
      </c>
      <c r="CS149" s="8">
        <f t="shared" si="324"/>
        <v>4.677281309356322E-3</v>
      </c>
      <c r="CT149" s="8">
        <f t="shared" si="431"/>
        <v>6.8390652207420286E-2</v>
      </c>
      <c r="CU149" s="8">
        <f t="shared" si="325"/>
        <v>4.677281309356322E-3</v>
      </c>
      <c r="CV149" s="8">
        <f t="shared" si="432"/>
        <v>6.8390652207420286E-2</v>
      </c>
      <c r="CW149" s="216">
        <f t="shared" si="433"/>
        <v>2.6457826629925791</v>
      </c>
      <c r="CX149" s="116">
        <f t="shared" si="434"/>
        <v>185.57840404935627</v>
      </c>
      <c r="CY149" s="8">
        <f t="shared" si="435"/>
        <v>4.7981840289102575E-3</v>
      </c>
      <c r="CZ149" s="8">
        <f t="shared" si="436"/>
        <v>6.9268925420496147E-2</v>
      </c>
      <c r="DA149" s="8">
        <f t="shared" si="437"/>
        <v>4.7981840289102575E-3</v>
      </c>
      <c r="DB149" s="8">
        <f t="shared" si="438"/>
        <v>6.9268925420496147E-2</v>
      </c>
      <c r="DC149" s="216">
        <f t="shared" si="439"/>
        <v>2.6449043897795037</v>
      </c>
      <c r="DD149" s="116">
        <f t="shared" si="440"/>
        <v>185.64002765353328</v>
      </c>
      <c r="DE149" s="8">
        <f t="shared" si="441"/>
        <v>4.7997773252578613E-3</v>
      </c>
      <c r="DF149" s="8">
        <f t="shared" si="442"/>
        <v>6.9280425267588111E-2</v>
      </c>
      <c r="DG149" s="8">
        <f t="shared" si="443"/>
        <v>4.7997773252578613E-3</v>
      </c>
      <c r="DH149" s="8">
        <f t="shared" si="444"/>
        <v>6.9280425267588111E-2</v>
      </c>
      <c r="DI149" s="216">
        <f t="shared" si="445"/>
        <v>2.6448928899324113</v>
      </c>
      <c r="DJ149" s="116">
        <f t="shared" si="446"/>
        <v>185.64083480604234</v>
      </c>
      <c r="DK149" s="8">
        <f t="shared" si="447"/>
        <v>4.7997981944225563E-3</v>
      </c>
      <c r="DL149" s="8">
        <f t="shared" si="448"/>
        <v>6.9280575881141143E-2</v>
      </c>
      <c r="DM149" s="8">
        <f t="shared" si="449"/>
        <v>4.7997981944225563E-3</v>
      </c>
      <c r="DN149" s="8">
        <f t="shared" si="450"/>
        <v>6.9280575881141143E-2</v>
      </c>
      <c r="DO149" s="216">
        <f t="shared" si="451"/>
        <v>2.6448927393188586</v>
      </c>
      <c r="DP149" s="116">
        <f t="shared" si="452"/>
        <v>185.64084537736917</v>
      </c>
      <c r="DQ149" s="170">
        <f t="shared" si="453"/>
        <v>4.7997984677473097E-3</v>
      </c>
      <c r="DR149" s="8">
        <f t="shared" si="454"/>
        <v>6.9280577853734079E-2</v>
      </c>
      <c r="DS149" s="8">
        <f t="shared" si="455"/>
        <v>4.7997984677473097E-3</v>
      </c>
      <c r="DT149" s="134">
        <f t="shared" si="456"/>
        <v>6.9280577853734079E-2</v>
      </c>
      <c r="DU149" s="170">
        <f t="shared" si="563"/>
        <v>1.6272075519057922E-2</v>
      </c>
      <c r="DV149" s="170">
        <f t="shared" si="563"/>
        <v>0.12756204576227964</v>
      </c>
      <c r="DW149" s="170">
        <f t="shared" si="563"/>
        <v>1.6272075519057922E-2</v>
      </c>
      <c r="DX149" s="272">
        <f t="shared" si="563"/>
        <v>0.12756204576227964</v>
      </c>
      <c r="DY149" s="272">
        <f t="shared" si="457"/>
        <v>2.4590492236754407</v>
      </c>
      <c r="DZ149" s="22">
        <f t="shared" si="326"/>
        <v>27.54494303431429</v>
      </c>
      <c r="EA149" s="216">
        <f t="shared" si="327"/>
        <v>1.8046299750510144E-3</v>
      </c>
      <c r="EB149" s="12">
        <f t="shared" si="458"/>
        <v>1</v>
      </c>
      <c r="EC149" s="7">
        <f>ROUND(MAX(DV149,DX149)/'Inputs-Imperial'!$E$21,0)</f>
        <v>1</v>
      </c>
      <c r="ED149" s="12">
        <f t="shared" si="459"/>
        <v>1</v>
      </c>
      <c r="EE149" s="2">
        <f t="shared" si="460"/>
        <v>2</v>
      </c>
      <c r="EF149" s="127">
        <f t="shared" si="461"/>
        <v>2</v>
      </c>
      <c r="EG149" s="2">
        <f t="shared" si="462"/>
        <v>1.5748031496062995E-2</v>
      </c>
      <c r="EH149" s="8">
        <f t="shared" si="328"/>
        <v>1.8991535345436569E-2</v>
      </c>
      <c r="EI149" s="138">
        <f t="shared" si="463"/>
        <v>0.25</v>
      </c>
      <c r="EJ149" s="12">
        <f t="shared" si="329"/>
        <v>1574.1934944110615</v>
      </c>
      <c r="EK149" s="138">
        <f t="shared" si="464"/>
        <v>0.25</v>
      </c>
      <c r="EL149" s="116">
        <f t="shared" si="465"/>
        <v>2175570</v>
      </c>
      <c r="EM149" s="2">
        <f t="shared" si="330"/>
        <v>1.5748031496062995E-2</v>
      </c>
      <c r="EN149" s="8">
        <f t="shared" si="466"/>
        <v>2.7141733151999996</v>
      </c>
      <c r="EO149" s="116">
        <f t="shared" si="467"/>
        <v>2610.6840000000002</v>
      </c>
      <c r="EP149" s="217">
        <f t="shared" si="468"/>
        <v>2.1977568095870481</v>
      </c>
      <c r="EQ149" s="207">
        <f t="shared" si="469"/>
        <v>2</v>
      </c>
      <c r="ER149" s="144">
        <f t="shared" si="470"/>
        <v>91085.170551544245</v>
      </c>
      <c r="ES149" s="138">
        <f t="shared" si="331"/>
        <v>0.25</v>
      </c>
      <c r="ET149" s="116">
        <f t="shared" si="471"/>
        <v>2175570</v>
      </c>
      <c r="EU149" s="2">
        <f t="shared" si="332"/>
        <v>1.5748031496062995E-2</v>
      </c>
      <c r="EV149" s="8">
        <f t="shared" si="472"/>
        <v>2.7141733151999996</v>
      </c>
      <c r="EW149" s="116">
        <f t="shared" si="473"/>
        <v>2610.6840000000002</v>
      </c>
      <c r="EX149" s="217">
        <f t="shared" si="474"/>
        <v>2.1977568095870481</v>
      </c>
      <c r="EY149" s="207">
        <f t="shared" si="475"/>
        <v>2</v>
      </c>
      <c r="EZ149" s="144">
        <f t="shared" si="476"/>
        <v>91085.170551544245</v>
      </c>
      <c r="FA149" s="138">
        <f t="shared" si="333"/>
        <v>0.25</v>
      </c>
      <c r="FB149" s="116">
        <f t="shared" si="477"/>
        <v>2175570</v>
      </c>
      <c r="FC149" s="2">
        <f t="shared" si="334"/>
        <v>1.5748031496062995E-2</v>
      </c>
      <c r="FD149" s="8">
        <f t="shared" si="478"/>
        <v>2.7141733151999996</v>
      </c>
      <c r="FE149" s="116">
        <f t="shared" si="479"/>
        <v>2610.6840000000002</v>
      </c>
      <c r="FF149" s="217">
        <f t="shared" si="480"/>
        <v>2.1977568095870481</v>
      </c>
      <c r="FG149" s="207">
        <f t="shared" si="481"/>
        <v>2</v>
      </c>
      <c r="FH149" s="144">
        <f t="shared" si="482"/>
        <v>91085.170551544245</v>
      </c>
      <c r="FI149" s="128">
        <f t="shared" si="483"/>
        <v>0.25</v>
      </c>
      <c r="FJ149" s="2">
        <f t="shared" si="484"/>
        <v>1.5748031496062995E-2</v>
      </c>
      <c r="FK149" s="127">
        <f t="shared" si="485"/>
        <v>1.5748031496062995E-2</v>
      </c>
      <c r="FL149" s="216">
        <f t="shared" si="486"/>
        <v>0</v>
      </c>
      <c r="FM149" s="138">
        <f t="shared" si="487"/>
        <v>0</v>
      </c>
      <c r="FN149" s="138">
        <f t="shared" si="488"/>
        <v>0</v>
      </c>
      <c r="FO149" s="238">
        <f t="shared" si="489"/>
        <v>0.25</v>
      </c>
      <c r="FP149" s="216">
        <f t="shared" si="335"/>
        <v>0</v>
      </c>
      <c r="FQ149" s="138">
        <f t="shared" si="336"/>
        <v>0</v>
      </c>
      <c r="FR149" s="138">
        <f t="shared" si="337"/>
        <v>0</v>
      </c>
      <c r="FS149" s="238">
        <f t="shared" si="338"/>
        <v>0.25</v>
      </c>
      <c r="FT149" s="216">
        <f t="shared" si="490"/>
        <v>0</v>
      </c>
      <c r="FU149" s="138">
        <f t="shared" si="491"/>
        <v>0</v>
      </c>
      <c r="FV149" s="138">
        <f t="shared" si="492"/>
        <v>0</v>
      </c>
      <c r="FW149" s="238">
        <f t="shared" si="493"/>
        <v>1.5748031496062995E-2</v>
      </c>
      <c r="FX149" s="216">
        <f t="shared" si="339"/>
        <v>0</v>
      </c>
      <c r="FY149" s="138">
        <f t="shared" si="340"/>
        <v>0</v>
      </c>
      <c r="FZ149" s="138">
        <f t="shared" si="341"/>
        <v>0</v>
      </c>
      <c r="GA149" s="238">
        <f t="shared" si="342"/>
        <v>1.5748031496062995E-2</v>
      </c>
      <c r="GB149" s="216">
        <f t="shared" si="494"/>
        <v>0</v>
      </c>
      <c r="GC149" s="138">
        <f t="shared" si="495"/>
        <v>0</v>
      </c>
      <c r="GD149" s="138">
        <f t="shared" si="496"/>
        <v>0</v>
      </c>
      <c r="GE149" s="238">
        <f t="shared" si="497"/>
        <v>1.5748031496062995E-2</v>
      </c>
      <c r="GF149" s="216">
        <f t="shared" si="343"/>
        <v>0</v>
      </c>
      <c r="GG149" s="138">
        <f t="shared" si="344"/>
        <v>0</v>
      </c>
      <c r="GH149" s="138">
        <f t="shared" si="345"/>
        <v>0</v>
      </c>
      <c r="GI149" s="238">
        <f t="shared" si="346"/>
        <v>1.5748031496062995E-2</v>
      </c>
      <c r="GJ149" s="216">
        <f t="shared" si="498"/>
        <v>0.25</v>
      </c>
      <c r="GK149" s="216">
        <f t="shared" si="499"/>
        <v>1.5748031496062995E-2</v>
      </c>
      <c r="GL149" s="17">
        <f t="shared" si="500"/>
        <v>1.5748031496062995E-2</v>
      </c>
      <c r="GM149" s="216">
        <f t="shared" si="347"/>
        <v>8.1912385408224779E-4</v>
      </c>
      <c r="GN149" s="2">
        <f t="shared" si="501"/>
        <v>1</v>
      </c>
      <c r="GO149" s="2">
        <f t="shared" si="502"/>
        <v>2</v>
      </c>
      <c r="GP149" s="142">
        <f t="shared" si="503"/>
        <v>2</v>
      </c>
      <c r="GQ149" s="2">
        <f t="shared" si="504"/>
        <v>1.5748031496062995E-2</v>
      </c>
      <c r="GR149" s="8">
        <f t="shared" si="348"/>
        <v>8.6202821864651089E-3</v>
      </c>
      <c r="GS149" s="138">
        <f t="shared" si="505"/>
        <v>0.25</v>
      </c>
      <c r="GT149" s="12">
        <f t="shared" si="349"/>
        <v>714.52844075514088</v>
      </c>
      <c r="GU149" s="138">
        <f t="shared" si="506"/>
        <v>0.25</v>
      </c>
      <c r="GV149" s="116">
        <f t="shared" si="507"/>
        <v>2175570</v>
      </c>
      <c r="GW149" s="2">
        <f t="shared" si="350"/>
        <v>1.5748031496062995E-2</v>
      </c>
      <c r="GX149" s="8">
        <f t="shared" si="351"/>
        <v>1.3570866575999998</v>
      </c>
      <c r="GY149" s="116">
        <f t="shared" si="508"/>
        <v>2610.6840000000002</v>
      </c>
      <c r="GZ149" s="217">
        <f t="shared" si="509"/>
        <v>8.7910272383481924</v>
      </c>
      <c r="HA149" s="207">
        <f t="shared" si="510"/>
        <v>2</v>
      </c>
      <c r="HB149" s="144">
        <f t="shared" si="511"/>
        <v>364340.68220617698</v>
      </c>
      <c r="HC149" s="138">
        <f t="shared" si="352"/>
        <v>0.25</v>
      </c>
      <c r="HD149" s="116">
        <f t="shared" si="512"/>
        <v>2175570</v>
      </c>
      <c r="HE149" s="2">
        <f t="shared" si="353"/>
        <v>1.5748031496062995E-2</v>
      </c>
      <c r="HF149" s="8">
        <f t="shared" si="513"/>
        <v>1.3570866575999998</v>
      </c>
      <c r="HG149" s="116">
        <f t="shared" si="514"/>
        <v>2610.6840000000002</v>
      </c>
      <c r="HH149" s="217">
        <f t="shared" si="515"/>
        <v>8.7910272383481924</v>
      </c>
      <c r="HI149" s="207">
        <f t="shared" si="516"/>
        <v>2</v>
      </c>
      <c r="HJ149" s="144">
        <f t="shared" si="517"/>
        <v>364340.68220617698</v>
      </c>
      <c r="HK149" s="138">
        <f t="shared" si="354"/>
        <v>0.25</v>
      </c>
      <c r="HL149" s="116">
        <f t="shared" si="518"/>
        <v>2175570</v>
      </c>
      <c r="HM149" s="2">
        <f t="shared" si="355"/>
        <v>1.5748031496062995E-2</v>
      </c>
      <c r="HN149" s="8">
        <f t="shared" si="519"/>
        <v>1.3570866575999998</v>
      </c>
      <c r="HO149" s="116">
        <f t="shared" si="520"/>
        <v>2610.6840000000002</v>
      </c>
      <c r="HP149" s="217">
        <f t="shared" si="521"/>
        <v>8.7910272383481924</v>
      </c>
      <c r="HQ149" s="207">
        <f t="shared" si="522"/>
        <v>2</v>
      </c>
      <c r="HR149" s="144">
        <f t="shared" si="523"/>
        <v>364340.68220617698</v>
      </c>
      <c r="HS149" s="128">
        <f t="shared" si="524"/>
        <v>0.25</v>
      </c>
      <c r="HT149" s="2">
        <f t="shared" si="525"/>
        <v>1.5748031496062995E-2</v>
      </c>
      <c r="HU149" s="127">
        <f t="shared" si="526"/>
        <v>1.5748031496062995E-2</v>
      </c>
      <c r="HV149" s="216">
        <f t="shared" si="527"/>
        <v>0</v>
      </c>
      <c r="HW149" s="138">
        <f t="shared" si="528"/>
        <v>0</v>
      </c>
      <c r="HX149" s="138">
        <f t="shared" si="529"/>
        <v>0</v>
      </c>
      <c r="HY149" s="238">
        <f t="shared" si="530"/>
        <v>0.25</v>
      </c>
      <c r="HZ149" s="138">
        <f t="shared" si="531"/>
        <v>0</v>
      </c>
      <c r="IA149" s="138">
        <f t="shared" si="532"/>
        <v>0</v>
      </c>
      <c r="IB149" s="138">
        <f t="shared" si="533"/>
        <v>0</v>
      </c>
      <c r="IC149" s="138">
        <f t="shared" si="534"/>
        <v>0.25</v>
      </c>
      <c r="ID149" s="216">
        <f t="shared" si="535"/>
        <v>0</v>
      </c>
      <c r="IE149" s="138">
        <f t="shared" si="536"/>
        <v>0</v>
      </c>
      <c r="IF149" s="138">
        <f t="shared" si="537"/>
        <v>0</v>
      </c>
      <c r="IG149" s="238">
        <f t="shared" si="538"/>
        <v>1.5748031496062995E-2</v>
      </c>
      <c r="IH149" s="138">
        <f t="shared" si="539"/>
        <v>0</v>
      </c>
      <c r="II149" s="138">
        <f t="shared" si="540"/>
        <v>0</v>
      </c>
      <c r="IJ149" s="138">
        <f t="shared" si="541"/>
        <v>0</v>
      </c>
      <c r="IK149" s="138">
        <f t="shared" si="542"/>
        <v>1.5748031496062995E-2</v>
      </c>
      <c r="IL149" s="216">
        <f t="shared" si="543"/>
        <v>0</v>
      </c>
      <c r="IM149" s="138">
        <f t="shared" si="544"/>
        <v>0</v>
      </c>
      <c r="IN149" s="138">
        <f t="shared" si="545"/>
        <v>0</v>
      </c>
      <c r="IO149" s="238">
        <f t="shared" si="546"/>
        <v>1.5748031496062995E-2</v>
      </c>
      <c r="IP149" s="138">
        <f t="shared" si="547"/>
        <v>0</v>
      </c>
      <c r="IQ149" s="138">
        <f t="shared" si="548"/>
        <v>0</v>
      </c>
      <c r="IR149" s="138">
        <f t="shared" si="549"/>
        <v>0</v>
      </c>
      <c r="IS149" s="138">
        <f t="shared" si="550"/>
        <v>1.5748031496062995E-2</v>
      </c>
      <c r="IT149" s="17">
        <f t="shared" si="551"/>
        <v>0.25</v>
      </c>
      <c r="IU149" s="17">
        <f t="shared" si="552"/>
        <v>1.5748031496062995E-2</v>
      </c>
      <c r="IV149" s="17">
        <f t="shared" si="553"/>
        <v>1.5748031496062995E-2</v>
      </c>
      <c r="IW149" s="253">
        <f t="shared" si="554"/>
        <v>7.5393703199999997</v>
      </c>
      <c r="IX149" s="116">
        <f t="shared" si="356"/>
        <v>6.5124818548456531</v>
      </c>
      <c r="IY149" s="8">
        <f t="shared" si="357"/>
        <v>1.6838212713682758E-4</v>
      </c>
      <c r="IZ149" s="8">
        <f t="shared" si="555"/>
        <v>1.6838212713682758E-4</v>
      </c>
      <c r="JA149" s="8">
        <f t="shared" si="556"/>
        <v>8.4191063568413792E-5</v>
      </c>
      <c r="JB149" s="134">
        <f t="shared" si="557"/>
        <v>9.1755688416802691E-3</v>
      </c>
      <c r="JC149" s="170">
        <f t="shared" si="564"/>
        <v>2.8003815318914239E-4</v>
      </c>
      <c r="JD149" s="272">
        <f t="shared" si="565"/>
        <v>1.6734340536428149E-2</v>
      </c>
      <c r="JE149" s="8"/>
      <c r="JF149" s="8"/>
    </row>
    <row r="150" spans="1:266" x14ac:dyDescent="0.25">
      <c r="A150" s="186">
        <v>90</v>
      </c>
      <c r="B150" s="187">
        <f>A150/100*'Inputs-Imperial'!$E$5</f>
        <v>8.8582680000000007</v>
      </c>
      <c r="C150" s="188">
        <f>'Inputs-Imperial'!$E$10+('Inputs-Imperial'!$E$9-'Inputs-Imperial'!$E$10)*(100-A150)/100</f>
        <v>1.2467192</v>
      </c>
      <c r="D150" s="187">
        <f t="shared" si="558"/>
        <v>9.8425199999999435E-2</v>
      </c>
      <c r="E150" s="188">
        <f t="shared" si="559"/>
        <v>0.12319296260359129</v>
      </c>
      <c r="F150" s="423">
        <f>Loads!P110</f>
        <v>6.6695470390419782</v>
      </c>
      <c r="G150" s="423">
        <f>Loads!M110</f>
        <v>66.695470390419786</v>
      </c>
      <c r="H150" s="423">
        <f>Loads!N110</f>
        <v>33.558236872604489</v>
      </c>
      <c r="I150" s="423">
        <f>Loads!V110</f>
        <v>-32.891175072015713</v>
      </c>
      <c r="J150" s="423">
        <f>Loads!Q110</f>
        <v>3.355823687260449</v>
      </c>
      <c r="K150" s="2">
        <v>90</v>
      </c>
      <c r="L150" s="12">
        <f t="shared" si="358"/>
        <v>106.299216</v>
      </c>
      <c r="M150" s="11">
        <f t="shared" si="359"/>
        <v>14.960630399999999</v>
      </c>
      <c r="N150" s="11">
        <f t="shared" si="360"/>
        <v>1.1811023999999932</v>
      </c>
      <c r="O150" s="152">
        <f t="shared" si="361"/>
        <v>17.739786614917143</v>
      </c>
      <c r="P150" s="151">
        <f t="shared" si="362"/>
        <v>6.6695470390419782</v>
      </c>
      <c r="Q150" s="12">
        <f t="shared" si="363"/>
        <v>66.695470390419786</v>
      </c>
      <c r="R150" s="12">
        <f t="shared" si="364"/>
        <v>402.6988424712539</v>
      </c>
      <c r="S150" s="12">
        <f t="shared" si="365"/>
        <v>-394.69410086418856</v>
      </c>
      <c r="T150" s="152">
        <f t="shared" si="366"/>
        <v>40.26988424712539</v>
      </c>
      <c r="U150" s="8">
        <f t="shared" si="313"/>
        <v>2.6929134719999999</v>
      </c>
      <c r="V150" s="8">
        <f t="shared" si="314"/>
        <v>2.6929134719999999</v>
      </c>
      <c r="W150" s="134">
        <f t="shared" si="315"/>
        <v>1.3464567359999999</v>
      </c>
      <c r="X150" s="311">
        <f t="shared" si="316"/>
        <v>3.7401575999999999</v>
      </c>
      <c r="Y150" s="11">
        <f t="shared" si="317"/>
        <v>11.2204728</v>
      </c>
      <c r="Z150" s="11">
        <f t="shared" si="318"/>
        <v>7.4803151999999997</v>
      </c>
      <c r="AA150" s="316">
        <f t="shared" si="367"/>
        <v>11.2204728</v>
      </c>
      <c r="AB150" s="170">
        <f t="shared" si="368"/>
        <v>2.0196851039999997</v>
      </c>
      <c r="AC150" s="11">
        <f t="shared" si="369"/>
        <v>11.2204728</v>
      </c>
      <c r="AD150" s="152">
        <f t="shared" si="370"/>
        <v>17.798553200537679</v>
      </c>
      <c r="AE150" s="151">
        <f t="shared" si="319"/>
        <v>0.59440873463388977</v>
      </c>
      <c r="AF150" s="12">
        <f t="shared" si="320"/>
        <v>11.087814172790887</v>
      </c>
      <c r="AG150" s="216">
        <f t="shared" si="321"/>
        <v>7.6537060206307976E-4</v>
      </c>
      <c r="AH150" s="2">
        <f t="shared" si="371"/>
        <v>1</v>
      </c>
      <c r="AI150" s="2">
        <f t="shared" si="372"/>
        <v>3</v>
      </c>
      <c r="AJ150" s="127">
        <f t="shared" si="373"/>
        <v>2</v>
      </c>
      <c r="AK150" s="2">
        <f t="shared" si="374"/>
        <v>1.5748031496062995E-2</v>
      </c>
      <c r="AL150" s="8">
        <f t="shared" si="322"/>
        <v>8.0545945941234553E-3</v>
      </c>
      <c r="AM150" s="138">
        <f t="shared" si="375"/>
        <v>0.25</v>
      </c>
      <c r="AN150" s="12">
        <f t="shared" si="323"/>
        <v>667.63903915932588</v>
      </c>
      <c r="AO150" s="138">
        <f t="shared" si="376"/>
        <v>0.25</v>
      </c>
      <c r="AP150" s="116">
        <f t="shared" si="377"/>
        <v>2175570</v>
      </c>
      <c r="AQ150" s="2">
        <f t="shared" si="378"/>
        <v>1.5748031496062995E-2</v>
      </c>
      <c r="AR150" s="8">
        <f t="shared" si="379"/>
        <v>7.4803151999999997</v>
      </c>
      <c r="AS150" s="116">
        <f t="shared" si="380"/>
        <v>2610.6840000000002</v>
      </c>
      <c r="AT150" s="217">
        <f t="shared" si="381"/>
        <v>0.28934433950097138</v>
      </c>
      <c r="AU150" s="207">
        <f t="shared" si="382"/>
        <v>2.6515919804706747</v>
      </c>
      <c r="AV150" s="144">
        <f t="shared" si="383"/>
        <v>15898.631131960055</v>
      </c>
      <c r="AW150" s="138">
        <f t="shared" si="384"/>
        <v>0.25</v>
      </c>
      <c r="AX150" s="116">
        <f t="shared" si="385"/>
        <v>2175570</v>
      </c>
      <c r="AY150" s="2">
        <f t="shared" si="386"/>
        <v>1.5748031496062995E-2</v>
      </c>
      <c r="AZ150" s="8">
        <f t="shared" si="387"/>
        <v>7.4803151999999997</v>
      </c>
      <c r="BA150" s="116">
        <f t="shared" si="388"/>
        <v>2610.6840000000002</v>
      </c>
      <c r="BB150" s="217">
        <f t="shared" si="389"/>
        <v>0.28934433950097138</v>
      </c>
      <c r="BC150" s="207">
        <f t="shared" si="390"/>
        <v>2.6515919804706747</v>
      </c>
      <c r="BD150" s="144">
        <f t="shared" si="391"/>
        <v>15898.631131960055</v>
      </c>
      <c r="BE150" s="138">
        <f t="shared" si="392"/>
        <v>0.25</v>
      </c>
      <c r="BF150" s="116">
        <f t="shared" si="393"/>
        <v>2175570</v>
      </c>
      <c r="BG150" s="2">
        <f t="shared" si="394"/>
        <v>1.5748031496062995E-2</v>
      </c>
      <c r="BH150" s="8">
        <f t="shared" si="395"/>
        <v>7.4803151999999997</v>
      </c>
      <c r="BI150" s="116">
        <f t="shared" si="396"/>
        <v>2610.6840000000002</v>
      </c>
      <c r="BJ150" s="217">
        <f t="shared" si="397"/>
        <v>0.28934433950097138</v>
      </c>
      <c r="BK150" s="207">
        <f t="shared" si="398"/>
        <v>2.6515919804706747</v>
      </c>
      <c r="BL150" s="144">
        <f t="shared" si="399"/>
        <v>15898.631131960055</v>
      </c>
      <c r="BM150" s="216">
        <f t="shared" si="400"/>
        <v>0.25</v>
      </c>
      <c r="BN150" s="216">
        <f t="shared" si="401"/>
        <v>2.3622047244094495E-2</v>
      </c>
      <c r="BO150" s="238">
        <f t="shared" si="402"/>
        <v>1.5748031496062995E-2</v>
      </c>
      <c r="BP150" s="216">
        <f t="shared" si="403"/>
        <v>0</v>
      </c>
      <c r="BQ150" s="138">
        <f t="shared" si="404"/>
        <v>0</v>
      </c>
      <c r="BR150" s="138">
        <f t="shared" si="405"/>
        <v>0</v>
      </c>
      <c r="BS150" s="238">
        <f t="shared" si="406"/>
        <v>0.25</v>
      </c>
      <c r="BT150" s="138">
        <f t="shared" si="407"/>
        <v>0</v>
      </c>
      <c r="BU150" s="138">
        <f t="shared" si="408"/>
        <v>0</v>
      </c>
      <c r="BV150" s="138">
        <f t="shared" si="409"/>
        <v>0</v>
      </c>
      <c r="BW150" s="238">
        <f t="shared" si="410"/>
        <v>0.25</v>
      </c>
      <c r="BX150" s="216">
        <f t="shared" si="411"/>
        <v>0</v>
      </c>
      <c r="BY150" s="138">
        <f t="shared" si="412"/>
        <v>0</v>
      </c>
      <c r="BZ150" s="138">
        <f t="shared" si="413"/>
        <v>0</v>
      </c>
      <c r="CA150" s="238">
        <f t="shared" si="414"/>
        <v>2.3622047244094495E-2</v>
      </c>
      <c r="CB150" s="138">
        <f t="shared" si="415"/>
        <v>0</v>
      </c>
      <c r="CC150" s="138">
        <f t="shared" si="416"/>
        <v>0</v>
      </c>
      <c r="CD150" s="138">
        <f t="shared" si="417"/>
        <v>0</v>
      </c>
      <c r="CE150" s="238">
        <f t="shared" si="418"/>
        <v>2.3622047244094495E-2</v>
      </c>
      <c r="CF150" s="216">
        <f t="shared" si="419"/>
        <v>0</v>
      </c>
      <c r="CG150" s="138">
        <f t="shared" si="420"/>
        <v>0</v>
      </c>
      <c r="CH150" s="138">
        <f t="shared" si="421"/>
        <v>0</v>
      </c>
      <c r="CI150" s="238">
        <f t="shared" si="422"/>
        <v>1.5748031496062995E-2</v>
      </c>
      <c r="CJ150" s="138">
        <f t="shared" si="423"/>
        <v>0</v>
      </c>
      <c r="CK150" s="138">
        <f t="shared" si="424"/>
        <v>0</v>
      </c>
      <c r="CL150" s="138">
        <f t="shared" si="425"/>
        <v>0</v>
      </c>
      <c r="CM150" s="238">
        <f t="shared" si="426"/>
        <v>1.5748031496062995E-2</v>
      </c>
      <c r="CN150" s="17">
        <f t="shared" si="427"/>
        <v>0.25</v>
      </c>
      <c r="CO150" s="17">
        <f t="shared" si="428"/>
        <v>2.3622047244094495E-2</v>
      </c>
      <c r="CP150" s="17">
        <f t="shared" si="429"/>
        <v>1.5748031496062995E-2</v>
      </c>
      <c r="CQ150" s="17">
        <f>$U150-IF('Inputs-Imperial'!$E$13,0,2)*($CO150+$CN150+$CP150)</f>
        <v>2.6929134719999999</v>
      </c>
      <c r="CR150" s="116">
        <f t="shared" si="430"/>
        <v>149.54020864702107</v>
      </c>
      <c r="CS150" s="8">
        <f t="shared" si="324"/>
        <v>3.8664059241462858E-3</v>
      </c>
      <c r="CT150" s="8">
        <f t="shared" si="431"/>
        <v>6.2180430395312368E-2</v>
      </c>
      <c r="CU150" s="8">
        <f t="shared" si="325"/>
        <v>3.8664059241462858E-3</v>
      </c>
      <c r="CV150" s="8">
        <f t="shared" si="432"/>
        <v>6.2180430395312368E-2</v>
      </c>
      <c r="CW150" s="216">
        <f t="shared" si="433"/>
        <v>2.6307330416046879</v>
      </c>
      <c r="CX150" s="116">
        <f t="shared" si="434"/>
        <v>153.07476513299756</v>
      </c>
      <c r="CY150" s="8">
        <f t="shared" si="435"/>
        <v>3.9577929180541708E-3</v>
      </c>
      <c r="CZ150" s="8">
        <f t="shared" si="436"/>
        <v>6.2910992028851129E-2</v>
      </c>
      <c r="DA150" s="8">
        <f t="shared" si="437"/>
        <v>3.9577929180541708E-3</v>
      </c>
      <c r="DB150" s="8">
        <f t="shared" si="438"/>
        <v>6.2910992028851129E-2</v>
      </c>
      <c r="DC150" s="216">
        <f t="shared" si="439"/>
        <v>2.6300024799711483</v>
      </c>
      <c r="DD150" s="116">
        <f t="shared" si="440"/>
        <v>153.11728621475353</v>
      </c>
      <c r="DE150" s="8">
        <f t="shared" si="441"/>
        <v>3.9588923130857131E-3</v>
      </c>
      <c r="DF150" s="8">
        <f t="shared" si="442"/>
        <v>6.2919729124382859E-2</v>
      </c>
      <c r="DG150" s="8">
        <f t="shared" si="443"/>
        <v>3.9588923130857131E-3</v>
      </c>
      <c r="DH150" s="8">
        <f t="shared" si="444"/>
        <v>6.2919729124382859E-2</v>
      </c>
      <c r="DI150" s="216">
        <f t="shared" si="445"/>
        <v>2.6299937428756168</v>
      </c>
      <c r="DJ150" s="116">
        <f t="shared" si="446"/>
        <v>153.11779488530107</v>
      </c>
      <c r="DK150" s="8">
        <f t="shared" si="447"/>
        <v>3.9589054649118091E-3</v>
      </c>
      <c r="DL150" s="8">
        <f t="shared" si="448"/>
        <v>6.2919833637032199E-2</v>
      </c>
      <c r="DM150" s="8">
        <f t="shared" si="449"/>
        <v>3.9589054649118091E-3</v>
      </c>
      <c r="DN150" s="8">
        <f t="shared" si="450"/>
        <v>6.2919833637032199E-2</v>
      </c>
      <c r="DO150" s="216">
        <f t="shared" si="451"/>
        <v>2.6299936383629676</v>
      </c>
      <c r="DP150" s="116">
        <f t="shared" si="452"/>
        <v>153.11780097001022</v>
      </c>
      <c r="DQ150" s="170">
        <f t="shared" si="453"/>
        <v>3.9589056222337476E-3</v>
      </c>
      <c r="DR150" s="8">
        <f t="shared" si="454"/>
        <v>6.2919834887209827E-2</v>
      </c>
      <c r="DS150" s="8">
        <f t="shared" si="455"/>
        <v>3.9589056222337476E-3</v>
      </c>
      <c r="DT150" s="134">
        <f t="shared" si="456"/>
        <v>6.2919834887209827E-2</v>
      </c>
      <c r="DU150" s="170">
        <f>MAX(DQ$150:DQ$160)</f>
        <v>3.9589056222337476E-3</v>
      </c>
      <c r="DV150" s="170">
        <f>MAX(DR$150:DR$160)</f>
        <v>6.2919834887209827E-2</v>
      </c>
      <c r="DW150" s="170">
        <f>MAX(DS$150:DS$160)</f>
        <v>3.9589056222337476E-3</v>
      </c>
      <c r="DX150" s="272">
        <f>MAX(DT$150:DT$160)</f>
        <v>6.2919834887209827E-2</v>
      </c>
      <c r="DY150" s="272">
        <f t="shared" si="457"/>
        <v>2.5670738022255799</v>
      </c>
      <c r="DZ150" s="22">
        <f t="shared" si="326"/>
        <v>24.767030609745412</v>
      </c>
      <c r="EA150" s="216">
        <f t="shared" si="327"/>
        <v>1.6226327197581452E-3</v>
      </c>
      <c r="EB150" s="12">
        <f t="shared" si="458"/>
        <v>1</v>
      </c>
      <c r="EC150" s="7">
        <f>ROUND(MAX(DV150,DX150)/'Inputs-Imperial'!$E$21,0)</f>
        <v>1</v>
      </c>
      <c r="ED150" s="12">
        <f t="shared" si="459"/>
        <v>1</v>
      </c>
      <c r="EE150" s="2">
        <f t="shared" si="460"/>
        <v>2</v>
      </c>
      <c r="EF150" s="127">
        <f t="shared" si="461"/>
        <v>2</v>
      </c>
      <c r="EG150" s="2">
        <f t="shared" si="462"/>
        <v>1.5748031496062995E-2</v>
      </c>
      <c r="EH150" s="8">
        <f t="shared" si="328"/>
        <v>1.7076235613939388E-2</v>
      </c>
      <c r="EI150" s="138">
        <f t="shared" si="463"/>
        <v>0.25</v>
      </c>
      <c r="EJ150" s="12">
        <f t="shared" si="329"/>
        <v>1415.43579934695</v>
      </c>
      <c r="EK150" s="138">
        <f t="shared" si="464"/>
        <v>0.25</v>
      </c>
      <c r="EL150" s="116">
        <f t="shared" si="465"/>
        <v>2175570</v>
      </c>
      <c r="EM150" s="2">
        <f t="shared" si="330"/>
        <v>1.5748031496062995E-2</v>
      </c>
      <c r="EN150" s="8">
        <f t="shared" si="466"/>
        <v>2.6929134719999999</v>
      </c>
      <c r="EO150" s="116">
        <f t="shared" si="467"/>
        <v>2610.6840000000002</v>
      </c>
      <c r="EP150" s="217">
        <f t="shared" si="468"/>
        <v>2.2325952121988539</v>
      </c>
      <c r="EQ150" s="207">
        <f t="shared" si="469"/>
        <v>2</v>
      </c>
      <c r="ER150" s="144">
        <f t="shared" si="470"/>
        <v>92529.034508555895</v>
      </c>
      <c r="ES150" s="138">
        <f t="shared" si="331"/>
        <v>0.25</v>
      </c>
      <c r="ET150" s="116">
        <f t="shared" si="471"/>
        <v>2175570</v>
      </c>
      <c r="EU150" s="2">
        <f t="shared" si="332"/>
        <v>1.5748031496062995E-2</v>
      </c>
      <c r="EV150" s="8">
        <f t="shared" si="472"/>
        <v>2.6929134719999999</v>
      </c>
      <c r="EW150" s="116">
        <f t="shared" si="473"/>
        <v>2610.6840000000002</v>
      </c>
      <c r="EX150" s="217">
        <f t="shared" si="474"/>
        <v>2.2325952121988539</v>
      </c>
      <c r="EY150" s="207">
        <f t="shared" si="475"/>
        <v>2</v>
      </c>
      <c r="EZ150" s="144">
        <f t="shared" si="476"/>
        <v>92529.034508555895</v>
      </c>
      <c r="FA150" s="138">
        <f t="shared" si="333"/>
        <v>0.25</v>
      </c>
      <c r="FB150" s="116">
        <f t="shared" si="477"/>
        <v>2175570</v>
      </c>
      <c r="FC150" s="2">
        <f t="shared" si="334"/>
        <v>1.5748031496062995E-2</v>
      </c>
      <c r="FD150" s="8">
        <f t="shared" si="478"/>
        <v>2.6929134719999999</v>
      </c>
      <c r="FE150" s="116">
        <f t="shared" si="479"/>
        <v>2610.6840000000002</v>
      </c>
      <c r="FF150" s="217">
        <f t="shared" si="480"/>
        <v>2.2325952121988539</v>
      </c>
      <c r="FG150" s="207">
        <f t="shared" si="481"/>
        <v>2</v>
      </c>
      <c r="FH150" s="144">
        <f t="shared" si="482"/>
        <v>92529.034508555895</v>
      </c>
      <c r="FI150" s="128">
        <f t="shared" si="483"/>
        <v>0.25</v>
      </c>
      <c r="FJ150" s="2">
        <f t="shared" si="484"/>
        <v>1.5748031496062995E-2</v>
      </c>
      <c r="FK150" s="127">
        <f t="shared" si="485"/>
        <v>1.5748031496062995E-2</v>
      </c>
      <c r="FL150" s="216">
        <f t="shared" si="486"/>
        <v>0</v>
      </c>
      <c r="FM150" s="138">
        <f t="shared" si="487"/>
        <v>0</v>
      </c>
      <c r="FN150" s="138">
        <f t="shared" si="488"/>
        <v>0</v>
      </c>
      <c r="FO150" s="238">
        <f t="shared" si="489"/>
        <v>0.25</v>
      </c>
      <c r="FP150" s="216">
        <f t="shared" si="335"/>
        <v>0</v>
      </c>
      <c r="FQ150" s="138">
        <f t="shared" si="336"/>
        <v>0</v>
      </c>
      <c r="FR150" s="138">
        <f t="shared" si="337"/>
        <v>0</v>
      </c>
      <c r="FS150" s="238">
        <f t="shared" si="338"/>
        <v>0.25</v>
      </c>
      <c r="FT150" s="216">
        <f t="shared" si="490"/>
        <v>0</v>
      </c>
      <c r="FU150" s="138">
        <f t="shared" si="491"/>
        <v>0</v>
      </c>
      <c r="FV150" s="138">
        <f t="shared" si="492"/>
        <v>0</v>
      </c>
      <c r="FW150" s="238">
        <f t="shared" si="493"/>
        <v>1.5748031496062995E-2</v>
      </c>
      <c r="FX150" s="216">
        <f t="shared" si="339"/>
        <v>0</v>
      </c>
      <c r="FY150" s="138">
        <f t="shared" si="340"/>
        <v>0</v>
      </c>
      <c r="FZ150" s="138">
        <f t="shared" si="341"/>
        <v>0</v>
      </c>
      <c r="GA150" s="238">
        <f t="shared" si="342"/>
        <v>1.5748031496062995E-2</v>
      </c>
      <c r="GB150" s="216">
        <f t="shared" si="494"/>
        <v>0</v>
      </c>
      <c r="GC150" s="138">
        <f t="shared" si="495"/>
        <v>0</v>
      </c>
      <c r="GD150" s="138">
        <f t="shared" si="496"/>
        <v>0</v>
      </c>
      <c r="GE150" s="238">
        <f t="shared" si="497"/>
        <v>1.5748031496062995E-2</v>
      </c>
      <c r="GF150" s="216">
        <f t="shared" si="343"/>
        <v>0</v>
      </c>
      <c r="GG150" s="138">
        <f t="shared" si="344"/>
        <v>0</v>
      </c>
      <c r="GH150" s="138">
        <f t="shared" si="345"/>
        <v>0</v>
      </c>
      <c r="GI150" s="238">
        <f t="shared" si="346"/>
        <v>1.5748031496062995E-2</v>
      </c>
      <c r="GJ150" s="216">
        <f t="shared" si="498"/>
        <v>0.25</v>
      </c>
      <c r="GK150" s="216">
        <f t="shared" si="499"/>
        <v>1.5748031496062995E-2</v>
      </c>
      <c r="GL150" s="17">
        <f t="shared" si="500"/>
        <v>1.5748031496062995E-2</v>
      </c>
      <c r="GM150" s="216">
        <f t="shared" si="347"/>
        <v>7.2642741678888431E-4</v>
      </c>
      <c r="GN150" s="2">
        <f t="shared" si="501"/>
        <v>1</v>
      </c>
      <c r="GO150" s="2">
        <f t="shared" si="502"/>
        <v>2</v>
      </c>
      <c r="GP150" s="142">
        <f t="shared" si="503"/>
        <v>2</v>
      </c>
      <c r="GQ150" s="2">
        <f t="shared" si="504"/>
        <v>1.5748031496062995E-2</v>
      </c>
      <c r="GR150" s="8">
        <f t="shared" si="348"/>
        <v>7.6447649393889096E-3</v>
      </c>
      <c r="GS150" s="138">
        <f t="shared" si="505"/>
        <v>0.25</v>
      </c>
      <c r="GT150" s="12">
        <f t="shared" si="349"/>
        <v>633.66857997499915</v>
      </c>
      <c r="GU150" s="138">
        <f t="shared" si="506"/>
        <v>0.25</v>
      </c>
      <c r="GV150" s="116">
        <f t="shared" si="507"/>
        <v>2175570</v>
      </c>
      <c r="GW150" s="2">
        <f t="shared" si="350"/>
        <v>1.5748031496062995E-2</v>
      </c>
      <c r="GX150" s="8">
        <f t="shared" si="351"/>
        <v>1.3464567359999999</v>
      </c>
      <c r="GY150" s="116">
        <f t="shared" si="508"/>
        <v>2610.6840000000002</v>
      </c>
      <c r="GZ150" s="217">
        <f t="shared" si="509"/>
        <v>8.9303808487954157</v>
      </c>
      <c r="HA150" s="207">
        <f t="shared" si="510"/>
        <v>2</v>
      </c>
      <c r="HB150" s="144">
        <f t="shared" si="511"/>
        <v>370116.13803422358</v>
      </c>
      <c r="HC150" s="138">
        <f t="shared" si="352"/>
        <v>0.25</v>
      </c>
      <c r="HD150" s="116">
        <f t="shared" si="512"/>
        <v>2175570</v>
      </c>
      <c r="HE150" s="2">
        <f t="shared" si="353"/>
        <v>1.5748031496062995E-2</v>
      </c>
      <c r="HF150" s="8">
        <f t="shared" si="513"/>
        <v>1.3464567359999999</v>
      </c>
      <c r="HG150" s="116">
        <f t="shared" si="514"/>
        <v>2610.6840000000002</v>
      </c>
      <c r="HH150" s="217">
        <f t="shared" si="515"/>
        <v>8.9303808487954157</v>
      </c>
      <c r="HI150" s="207">
        <f t="shared" si="516"/>
        <v>2</v>
      </c>
      <c r="HJ150" s="144">
        <f t="shared" si="517"/>
        <v>370116.13803422358</v>
      </c>
      <c r="HK150" s="138">
        <f t="shared" si="354"/>
        <v>0.25</v>
      </c>
      <c r="HL150" s="116">
        <f t="shared" si="518"/>
        <v>2175570</v>
      </c>
      <c r="HM150" s="2">
        <f t="shared" si="355"/>
        <v>1.5748031496062995E-2</v>
      </c>
      <c r="HN150" s="8">
        <f t="shared" si="519"/>
        <v>1.3464567359999999</v>
      </c>
      <c r="HO150" s="116">
        <f t="shared" si="520"/>
        <v>2610.6840000000002</v>
      </c>
      <c r="HP150" s="217">
        <f t="shared" si="521"/>
        <v>8.9303808487954157</v>
      </c>
      <c r="HQ150" s="207">
        <f t="shared" si="522"/>
        <v>2</v>
      </c>
      <c r="HR150" s="144">
        <f t="shared" si="523"/>
        <v>370116.13803422358</v>
      </c>
      <c r="HS150" s="128">
        <f t="shared" si="524"/>
        <v>0.25</v>
      </c>
      <c r="HT150" s="2">
        <f t="shared" si="525"/>
        <v>1.5748031496062995E-2</v>
      </c>
      <c r="HU150" s="127">
        <f t="shared" si="526"/>
        <v>1.5748031496062995E-2</v>
      </c>
      <c r="HV150" s="216">
        <f t="shared" si="527"/>
        <v>0</v>
      </c>
      <c r="HW150" s="138">
        <f t="shared" si="528"/>
        <v>0</v>
      </c>
      <c r="HX150" s="138">
        <f t="shared" si="529"/>
        <v>0</v>
      </c>
      <c r="HY150" s="238">
        <f t="shared" si="530"/>
        <v>0.25</v>
      </c>
      <c r="HZ150" s="138">
        <f t="shared" si="531"/>
        <v>0</v>
      </c>
      <c r="IA150" s="138">
        <f t="shared" si="532"/>
        <v>0</v>
      </c>
      <c r="IB150" s="138">
        <f t="shared" si="533"/>
        <v>0</v>
      </c>
      <c r="IC150" s="138">
        <f t="shared" si="534"/>
        <v>0.25</v>
      </c>
      <c r="ID150" s="216">
        <f t="shared" si="535"/>
        <v>0</v>
      </c>
      <c r="IE150" s="138">
        <f t="shared" si="536"/>
        <v>0</v>
      </c>
      <c r="IF150" s="138">
        <f t="shared" si="537"/>
        <v>0</v>
      </c>
      <c r="IG150" s="238">
        <f t="shared" si="538"/>
        <v>1.5748031496062995E-2</v>
      </c>
      <c r="IH150" s="138">
        <f t="shared" si="539"/>
        <v>0</v>
      </c>
      <c r="II150" s="138">
        <f t="shared" si="540"/>
        <v>0</v>
      </c>
      <c r="IJ150" s="138">
        <f t="shared" si="541"/>
        <v>0</v>
      </c>
      <c r="IK150" s="138">
        <f t="shared" si="542"/>
        <v>1.5748031496062995E-2</v>
      </c>
      <c r="IL150" s="216">
        <f t="shared" si="543"/>
        <v>0</v>
      </c>
      <c r="IM150" s="138">
        <f t="shared" si="544"/>
        <v>0</v>
      </c>
      <c r="IN150" s="138">
        <f t="shared" si="545"/>
        <v>0</v>
      </c>
      <c r="IO150" s="238">
        <f t="shared" si="546"/>
        <v>1.5748031496062995E-2</v>
      </c>
      <c r="IP150" s="138">
        <f t="shared" si="547"/>
        <v>0</v>
      </c>
      <c r="IQ150" s="138">
        <f t="shared" si="548"/>
        <v>0</v>
      </c>
      <c r="IR150" s="138">
        <f t="shared" si="549"/>
        <v>0</v>
      </c>
      <c r="IS150" s="138">
        <f t="shared" si="550"/>
        <v>1.5748031496062995E-2</v>
      </c>
      <c r="IT150" s="17">
        <f t="shared" si="551"/>
        <v>0.25</v>
      </c>
      <c r="IU150" s="17">
        <f t="shared" si="552"/>
        <v>1.5748031496062995E-2</v>
      </c>
      <c r="IV150" s="17">
        <f t="shared" si="553"/>
        <v>1.5748031496062995E-2</v>
      </c>
      <c r="IW150" s="253">
        <f t="shared" si="554"/>
        <v>7.4803151999999997</v>
      </c>
      <c r="IX150" s="116">
        <f t="shared" si="356"/>
        <v>5.3834475112927587</v>
      </c>
      <c r="IY150" s="8">
        <f t="shared" si="357"/>
        <v>1.3919061326926629E-4</v>
      </c>
      <c r="IZ150" s="8">
        <f t="shared" si="555"/>
        <v>1.3919061326926629E-4</v>
      </c>
      <c r="JA150" s="8">
        <f t="shared" si="556"/>
        <v>6.9595306634633145E-5</v>
      </c>
      <c r="JB150" s="134">
        <f t="shared" si="557"/>
        <v>8.3423801540467545E-3</v>
      </c>
      <c r="JC150" s="170">
        <f>MAX(JA$150:JA$160)</f>
        <v>6.9595306634633145E-5</v>
      </c>
      <c r="JD150" s="272">
        <f>MAX(JB$150:JB$160)</f>
        <v>8.3423801540467545E-3</v>
      </c>
      <c r="JE150" s="8"/>
      <c r="JF150" s="8"/>
    </row>
    <row r="151" spans="1:266" x14ac:dyDescent="0.25">
      <c r="A151" s="186">
        <v>91</v>
      </c>
      <c r="B151" s="187">
        <f>A151/100*'Inputs-Imperial'!$E$5</f>
        <v>8.9566932000000001</v>
      </c>
      <c r="C151" s="188">
        <f>'Inputs-Imperial'!$E$10+('Inputs-Imperial'!$E$9-'Inputs-Imperial'!$E$10)*(100-A151)/100</f>
        <v>1.23687668</v>
      </c>
      <c r="D151" s="187">
        <f t="shared" si="558"/>
        <v>9.8425199999999435E-2</v>
      </c>
      <c r="E151" s="188">
        <f t="shared" si="559"/>
        <v>0.12222421060408731</v>
      </c>
      <c r="F151" s="423">
        <f>Loads!P111</f>
        <v>5.8825129118367974</v>
      </c>
      <c r="G151" s="423">
        <f>Loads!M111</f>
        <v>58.825129118367968</v>
      </c>
      <c r="H151" s="423">
        <f>Loads!N111</f>
        <v>26.99372186033338</v>
      </c>
      <c r="I151" s="423">
        <f>Loads!V111</f>
        <v>-28.33989064669283</v>
      </c>
      <c r="J151" s="423">
        <f>Loads!Q111</f>
        <v>2.6993721860333384</v>
      </c>
      <c r="K151" s="2">
        <v>91</v>
      </c>
      <c r="L151" s="12">
        <f t="shared" si="358"/>
        <v>107.4803184</v>
      </c>
      <c r="M151" s="11">
        <f t="shared" si="359"/>
        <v>14.842520159999999</v>
      </c>
      <c r="N151" s="11">
        <f t="shared" si="360"/>
        <v>1.1811023999999932</v>
      </c>
      <c r="O151" s="152">
        <f t="shared" si="361"/>
        <v>17.600286326988574</v>
      </c>
      <c r="P151" s="151">
        <f t="shared" si="362"/>
        <v>5.8825129118367974</v>
      </c>
      <c r="Q151" s="12">
        <f t="shared" si="363"/>
        <v>58.825129118367968</v>
      </c>
      <c r="R151" s="12">
        <f t="shared" si="364"/>
        <v>323.92466232400056</v>
      </c>
      <c r="S151" s="12">
        <f t="shared" si="365"/>
        <v>-340.07868776031398</v>
      </c>
      <c r="T151" s="152">
        <f t="shared" si="366"/>
        <v>32.392466232400061</v>
      </c>
      <c r="U151" s="8">
        <f t="shared" si="313"/>
        <v>2.6716536287999997</v>
      </c>
      <c r="V151" s="8">
        <f t="shared" si="314"/>
        <v>2.6716536287999997</v>
      </c>
      <c r="W151" s="134">
        <f t="shared" si="315"/>
        <v>1.3358268143999998</v>
      </c>
      <c r="X151" s="311">
        <f t="shared" si="316"/>
        <v>3.7106300399999999</v>
      </c>
      <c r="Y151" s="11">
        <f t="shared" si="317"/>
        <v>11.13189012</v>
      </c>
      <c r="Z151" s="11">
        <f t="shared" si="318"/>
        <v>7.4212600799999997</v>
      </c>
      <c r="AA151" s="316">
        <f t="shared" si="367"/>
        <v>11.13189012</v>
      </c>
      <c r="AB151" s="170">
        <f t="shared" si="368"/>
        <v>2.0037402215999998</v>
      </c>
      <c r="AC151" s="11">
        <f t="shared" si="369"/>
        <v>11.13189012</v>
      </c>
      <c r="AD151" s="152">
        <f t="shared" si="370"/>
        <v>17.518632741268835</v>
      </c>
      <c r="AE151" s="151">
        <f t="shared" si="319"/>
        <v>0.5284379245953964</v>
      </c>
      <c r="AF151" s="12">
        <f t="shared" si="320"/>
        <v>9.7061994729527861</v>
      </c>
      <c r="AG151" s="216">
        <f t="shared" si="321"/>
        <v>6.7053082696104198E-4</v>
      </c>
      <c r="AH151" s="2">
        <f t="shared" si="371"/>
        <v>1</v>
      </c>
      <c r="AI151" s="2">
        <f t="shared" si="372"/>
        <v>3</v>
      </c>
      <c r="AJ151" s="127">
        <f t="shared" si="373"/>
        <v>2</v>
      </c>
      <c r="AK151" s="2">
        <f t="shared" si="374"/>
        <v>1.5748031496062995E-2</v>
      </c>
      <c r="AL151" s="8">
        <f t="shared" si="322"/>
        <v>7.0565213237552783E-3</v>
      </c>
      <c r="AM151" s="138">
        <f t="shared" si="375"/>
        <v>0.25</v>
      </c>
      <c r="AN151" s="12">
        <f t="shared" si="323"/>
        <v>584.90952726987848</v>
      </c>
      <c r="AO151" s="138">
        <f t="shared" si="376"/>
        <v>0.25</v>
      </c>
      <c r="AP151" s="116">
        <f t="shared" si="377"/>
        <v>2175570</v>
      </c>
      <c r="AQ151" s="2">
        <f t="shared" si="378"/>
        <v>1.5748031496062995E-2</v>
      </c>
      <c r="AR151" s="8">
        <f t="shared" si="379"/>
        <v>7.4212600799999997</v>
      </c>
      <c r="AS151" s="116">
        <f t="shared" si="380"/>
        <v>2610.6840000000002</v>
      </c>
      <c r="AT151" s="217">
        <f t="shared" si="381"/>
        <v>0.29396761128228777</v>
      </c>
      <c r="AU151" s="207">
        <f t="shared" si="382"/>
        <v>2.6307916110252023</v>
      </c>
      <c r="AV151" s="144">
        <f t="shared" si="383"/>
        <v>16025.957164097919</v>
      </c>
      <c r="AW151" s="138">
        <f t="shared" si="384"/>
        <v>0.25</v>
      </c>
      <c r="AX151" s="116">
        <f t="shared" si="385"/>
        <v>2175570</v>
      </c>
      <c r="AY151" s="2">
        <f t="shared" si="386"/>
        <v>1.5748031496062995E-2</v>
      </c>
      <c r="AZ151" s="8">
        <f t="shared" si="387"/>
        <v>7.4212600799999997</v>
      </c>
      <c r="BA151" s="116">
        <f t="shared" si="388"/>
        <v>2610.6840000000002</v>
      </c>
      <c r="BB151" s="217">
        <f t="shared" si="389"/>
        <v>0.29396761128228777</v>
      </c>
      <c r="BC151" s="207">
        <f t="shared" si="390"/>
        <v>2.6307916110252023</v>
      </c>
      <c r="BD151" s="144">
        <f t="shared" si="391"/>
        <v>16025.957164097919</v>
      </c>
      <c r="BE151" s="138">
        <f t="shared" si="392"/>
        <v>0.25</v>
      </c>
      <c r="BF151" s="116">
        <f t="shared" si="393"/>
        <v>2175570</v>
      </c>
      <c r="BG151" s="2">
        <f t="shared" si="394"/>
        <v>1.5748031496062995E-2</v>
      </c>
      <c r="BH151" s="8">
        <f t="shared" si="395"/>
        <v>7.4212600799999997</v>
      </c>
      <c r="BI151" s="116">
        <f t="shared" si="396"/>
        <v>2610.6840000000002</v>
      </c>
      <c r="BJ151" s="217">
        <f t="shared" si="397"/>
        <v>0.29396761128228777</v>
      </c>
      <c r="BK151" s="207">
        <f t="shared" si="398"/>
        <v>2.6307916110252023</v>
      </c>
      <c r="BL151" s="144">
        <f t="shared" si="399"/>
        <v>16025.957164097919</v>
      </c>
      <c r="BM151" s="216">
        <f t="shared" si="400"/>
        <v>0.25</v>
      </c>
      <c r="BN151" s="216">
        <f t="shared" si="401"/>
        <v>2.3622047244094495E-2</v>
      </c>
      <c r="BO151" s="238">
        <f t="shared" si="402"/>
        <v>1.5748031496062995E-2</v>
      </c>
      <c r="BP151" s="216">
        <f t="shared" si="403"/>
        <v>0</v>
      </c>
      <c r="BQ151" s="138">
        <f t="shared" si="404"/>
        <v>0</v>
      </c>
      <c r="BR151" s="138">
        <f t="shared" si="405"/>
        <v>0</v>
      </c>
      <c r="BS151" s="238">
        <f t="shared" si="406"/>
        <v>0.25</v>
      </c>
      <c r="BT151" s="138">
        <f t="shared" si="407"/>
        <v>0</v>
      </c>
      <c r="BU151" s="138">
        <f t="shared" si="408"/>
        <v>0</v>
      </c>
      <c r="BV151" s="138">
        <f t="shared" si="409"/>
        <v>0</v>
      </c>
      <c r="BW151" s="238">
        <f t="shared" si="410"/>
        <v>0.25</v>
      </c>
      <c r="BX151" s="216">
        <f t="shared" si="411"/>
        <v>0</v>
      </c>
      <c r="BY151" s="138">
        <f t="shared" si="412"/>
        <v>0</v>
      </c>
      <c r="BZ151" s="138">
        <f t="shared" si="413"/>
        <v>0</v>
      </c>
      <c r="CA151" s="238">
        <f t="shared" si="414"/>
        <v>2.3622047244094495E-2</v>
      </c>
      <c r="CB151" s="138">
        <f t="shared" si="415"/>
        <v>0</v>
      </c>
      <c r="CC151" s="138">
        <f t="shared" si="416"/>
        <v>0</v>
      </c>
      <c r="CD151" s="138">
        <f t="shared" si="417"/>
        <v>0</v>
      </c>
      <c r="CE151" s="238">
        <f t="shared" si="418"/>
        <v>2.3622047244094495E-2</v>
      </c>
      <c r="CF151" s="216">
        <f t="shared" si="419"/>
        <v>0</v>
      </c>
      <c r="CG151" s="138">
        <f t="shared" si="420"/>
        <v>0</v>
      </c>
      <c r="CH151" s="138">
        <f t="shared" si="421"/>
        <v>0</v>
      </c>
      <c r="CI151" s="238">
        <f t="shared" si="422"/>
        <v>1.5748031496062995E-2</v>
      </c>
      <c r="CJ151" s="138">
        <f t="shared" si="423"/>
        <v>0</v>
      </c>
      <c r="CK151" s="138">
        <f t="shared" si="424"/>
        <v>0</v>
      </c>
      <c r="CL151" s="138">
        <f t="shared" si="425"/>
        <v>0</v>
      </c>
      <c r="CM151" s="238">
        <f t="shared" si="426"/>
        <v>1.5748031496062995E-2</v>
      </c>
      <c r="CN151" s="17">
        <f t="shared" si="427"/>
        <v>0.25</v>
      </c>
      <c r="CO151" s="17">
        <f t="shared" si="428"/>
        <v>2.3622047244094495E-2</v>
      </c>
      <c r="CP151" s="17">
        <f t="shared" si="429"/>
        <v>1.5748031496062995E-2</v>
      </c>
      <c r="CQ151" s="17">
        <f>$U151-IF('Inputs-Imperial'!$E$13,0,2)*($CO151+$CN151+$CP151)</f>
        <v>2.6716536287999997</v>
      </c>
      <c r="CR151" s="116">
        <f t="shared" si="430"/>
        <v>121.24500677488444</v>
      </c>
      <c r="CS151" s="8">
        <f t="shared" si="324"/>
        <v>3.1348251865429516E-3</v>
      </c>
      <c r="CT151" s="8">
        <f t="shared" si="431"/>
        <v>5.5989509611559837E-2</v>
      </c>
      <c r="CU151" s="8">
        <f t="shared" si="325"/>
        <v>3.1348251865429516E-3</v>
      </c>
      <c r="CV151" s="8">
        <f t="shared" si="432"/>
        <v>5.5989509611559837E-2</v>
      </c>
      <c r="CW151" s="216">
        <f t="shared" si="433"/>
        <v>2.6156641191884402</v>
      </c>
      <c r="CX151" s="116">
        <f t="shared" si="434"/>
        <v>123.84031265623828</v>
      </c>
      <c r="CY151" s="8">
        <f t="shared" si="435"/>
        <v>3.2019275807780964E-3</v>
      </c>
      <c r="CZ151" s="8">
        <f t="shared" si="436"/>
        <v>5.6585577497964057E-2</v>
      </c>
      <c r="DA151" s="8">
        <f t="shared" si="437"/>
        <v>3.2019275807780964E-3</v>
      </c>
      <c r="DB151" s="8">
        <f t="shared" si="438"/>
        <v>5.6585577497964057E-2</v>
      </c>
      <c r="DC151" s="216">
        <f t="shared" si="439"/>
        <v>2.6150680513020355</v>
      </c>
      <c r="DD151" s="116">
        <f t="shared" si="440"/>
        <v>123.86854030919743</v>
      </c>
      <c r="DE151" s="8">
        <f t="shared" si="441"/>
        <v>3.2026574150187557E-3</v>
      </c>
      <c r="DF151" s="8">
        <f t="shared" si="442"/>
        <v>5.659202607274947E-2</v>
      </c>
      <c r="DG151" s="8">
        <f t="shared" si="443"/>
        <v>3.2026574150187557E-3</v>
      </c>
      <c r="DH151" s="8">
        <f t="shared" si="444"/>
        <v>5.659202607274947E-2</v>
      </c>
      <c r="DI151" s="216">
        <f t="shared" si="445"/>
        <v>2.6150616027272502</v>
      </c>
      <c r="DJ151" s="116">
        <f t="shared" si="446"/>
        <v>123.86884576110147</v>
      </c>
      <c r="DK151" s="8">
        <f t="shared" si="447"/>
        <v>3.2026653125672615E-3</v>
      </c>
      <c r="DL151" s="8">
        <f t="shared" si="448"/>
        <v>5.6592095848866222E-2</v>
      </c>
      <c r="DM151" s="8">
        <f t="shared" si="449"/>
        <v>3.2026653125672615E-3</v>
      </c>
      <c r="DN151" s="8">
        <f t="shared" si="450"/>
        <v>5.6592095848866222E-2</v>
      </c>
      <c r="DO151" s="216">
        <f t="shared" si="451"/>
        <v>2.6150615329511337</v>
      </c>
      <c r="DP151" s="116">
        <f t="shared" si="452"/>
        <v>123.8688490662195</v>
      </c>
      <c r="DQ151" s="170">
        <f t="shared" si="453"/>
        <v>3.2026653980220567E-3</v>
      </c>
      <c r="DR151" s="8">
        <f t="shared" si="454"/>
        <v>5.6592096603872669E-2</v>
      </c>
      <c r="DS151" s="8">
        <f t="shared" si="455"/>
        <v>3.2026653980220567E-3</v>
      </c>
      <c r="DT151" s="134">
        <f t="shared" si="456"/>
        <v>5.6592096603872669E-2</v>
      </c>
      <c r="DU151" s="170">
        <f t="shared" ref="DU151:DX160" si="566">MAX(DQ$150:DQ$160)</f>
        <v>3.9589056222337476E-3</v>
      </c>
      <c r="DV151" s="170">
        <f t="shared" si="566"/>
        <v>6.2919834887209827E-2</v>
      </c>
      <c r="DW151" s="170">
        <f t="shared" si="566"/>
        <v>3.9589056222337476E-3</v>
      </c>
      <c r="DX151" s="272">
        <f t="shared" si="566"/>
        <v>6.2919834887209827E-2</v>
      </c>
      <c r="DY151" s="272">
        <f t="shared" si="457"/>
        <v>2.5458139590255797</v>
      </c>
      <c r="DZ151" s="22">
        <f t="shared" si="326"/>
        <v>22.018246858141513</v>
      </c>
      <c r="EA151" s="216">
        <f t="shared" si="327"/>
        <v>1.4425438538309965E-3</v>
      </c>
      <c r="EB151" s="12">
        <f t="shared" si="458"/>
        <v>1</v>
      </c>
      <c r="EC151" s="7">
        <f>ROUND(MAX(DV151,DX151)/'Inputs-Imperial'!$E$21,0)</f>
        <v>1</v>
      </c>
      <c r="ED151" s="12">
        <f t="shared" si="459"/>
        <v>1</v>
      </c>
      <c r="EE151" s="2">
        <f t="shared" si="460"/>
        <v>2</v>
      </c>
      <c r="EF151" s="127">
        <f t="shared" si="461"/>
        <v>2</v>
      </c>
      <c r="EG151" s="2">
        <f t="shared" si="462"/>
        <v>1.5748031496062995E-2</v>
      </c>
      <c r="EH151" s="8">
        <f t="shared" si="328"/>
        <v>1.5181019359162089E-2</v>
      </c>
      <c r="EI151" s="138">
        <f t="shared" si="463"/>
        <v>0.25</v>
      </c>
      <c r="EJ151" s="12">
        <f t="shared" si="329"/>
        <v>1258.3428079427872</v>
      </c>
      <c r="EK151" s="138">
        <f t="shared" si="464"/>
        <v>0.25</v>
      </c>
      <c r="EL151" s="116">
        <f t="shared" si="465"/>
        <v>2175570</v>
      </c>
      <c r="EM151" s="2">
        <f t="shared" si="330"/>
        <v>1.5748031496062995E-2</v>
      </c>
      <c r="EN151" s="8">
        <f t="shared" si="466"/>
        <v>2.6716536287999997</v>
      </c>
      <c r="EO151" s="116">
        <f t="shared" si="467"/>
        <v>2610.6840000000002</v>
      </c>
      <c r="EP151" s="217">
        <f t="shared" si="468"/>
        <v>2.2682686055732084</v>
      </c>
      <c r="EQ151" s="207">
        <f t="shared" si="469"/>
        <v>2</v>
      </c>
      <c r="ER151" s="144">
        <f t="shared" si="470"/>
        <v>94007.504330822514</v>
      </c>
      <c r="ES151" s="138">
        <f t="shared" si="331"/>
        <v>0.25</v>
      </c>
      <c r="ET151" s="116">
        <f t="shared" si="471"/>
        <v>2175570</v>
      </c>
      <c r="EU151" s="2">
        <f t="shared" si="332"/>
        <v>1.5748031496062995E-2</v>
      </c>
      <c r="EV151" s="8">
        <f t="shared" si="472"/>
        <v>2.6716536287999997</v>
      </c>
      <c r="EW151" s="116">
        <f t="shared" si="473"/>
        <v>2610.6840000000002</v>
      </c>
      <c r="EX151" s="217">
        <f t="shared" si="474"/>
        <v>2.2682686055732084</v>
      </c>
      <c r="EY151" s="207">
        <f t="shared" si="475"/>
        <v>2</v>
      </c>
      <c r="EZ151" s="144">
        <f t="shared" si="476"/>
        <v>94007.504330822514</v>
      </c>
      <c r="FA151" s="138">
        <f t="shared" si="333"/>
        <v>0.25</v>
      </c>
      <c r="FB151" s="116">
        <f t="shared" si="477"/>
        <v>2175570</v>
      </c>
      <c r="FC151" s="2">
        <f t="shared" si="334"/>
        <v>1.5748031496062995E-2</v>
      </c>
      <c r="FD151" s="8">
        <f t="shared" si="478"/>
        <v>2.6716536287999997</v>
      </c>
      <c r="FE151" s="116">
        <f t="shared" si="479"/>
        <v>2610.6840000000002</v>
      </c>
      <c r="FF151" s="217">
        <f t="shared" si="480"/>
        <v>2.2682686055732084</v>
      </c>
      <c r="FG151" s="207">
        <f t="shared" si="481"/>
        <v>2</v>
      </c>
      <c r="FH151" s="144">
        <f t="shared" si="482"/>
        <v>94007.504330822514</v>
      </c>
      <c r="FI151" s="128">
        <f t="shared" si="483"/>
        <v>0.25</v>
      </c>
      <c r="FJ151" s="2">
        <f t="shared" si="484"/>
        <v>1.5748031496062995E-2</v>
      </c>
      <c r="FK151" s="127">
        <f t="shared" si="485"/>
        <v>1.5748031496062995E-2</v>
      </c>
      <c r="FL151" s="216">
        <f t="shared" si="486"/>
        <v>0</v>
      </c>
      <c r="FM151" s="138">
        <f t="shared" si="487"/>
        <v>0</v>
      </c>
      <c r="FN151" s="138">
        <f t="shared" si="488"/>
        <v>0</v>
      </c>
      <c r="FO151" s="238">
        <f t="shared" si="489"/>
        <v>0.25</v>
      </c>
      <c r="FP151" s="216">
        <f t="shared" si="335"/>
        <v>0</v>
      </c>
      <c r="FQ151" s="138">
        <f t="shared" si="336"/>
        <v>0</v>
      </c>
      <c r="FR151" s="138">
        <f t="shared" si="337"/>
        <v>0</v>
      </c>
      <c r="FS151" s="238">
        <f t="shared" si="338"/>
        <v>0.25</v>
      </c>
      <c r="FT151" s="216">
        <f t="shared" si="490"/>
        <v>0</v>
      </c>
      <c r="FU151" s="138">
        <f t="shared" si="491"/>
        <v>0</v>
      </c>
      <c r="FV151" s="138">
        <f t="shared" si="492"/>
        <v>0</v>
      </c>
      <c r="FW151" s="238">
        <f t="shared" si="493"/>
        <v>1.5748031496062995E-2</v>
      </c>
      <c r="FX151" s="216">
        <f t="shared" si="339"/>
        <v>0</v>
      </c>
      <c r="FY151" s="138">
        <f t="shared" si="340"/>
        <v>0</v>
      </c>
      <c r="FZ151" s="138">
        <f t="shared" si="341"/>
        <v>0</v>
      </c>
      <c r="GA151" s="238">
        <f t="shared" si="342"/>
        <v>1.5748031496062995E-2</v>
      </c>
      <c r="GB151" s="216">
        <f t="shared" si="494"/>
        <v>0</v>
      </c>
      <c r="GC151" s="138">
        <f t="shared" si="495"/>
        <v>0</v>
      </c>
      <c r="GD151" s="138">
        <f t="shared" si="496"/>
        <v>0</v>
      </c>
      <c r="GE151" s="238">
        <f t="shared" si="497"/>
        <v>1.5748031496062995E-2</v>
      </c>
      <c r="GF151" s="216">
        <f t="shared" si="343"/>
        <v>0</v>
      </c>
      <c r="GG151" s="138">
        <f t="shared" si="344"/>
        <v>0</v>
      </c>
      <c r="GH151" s="138">
        <f t="shared" si="345"/>
        <v>0</v>
      </c>
      <c r="GI151" s="238">
        <f t="shared" si="346"/>
        <v>1.5748031496062995E-2</v>
      </c>
      <c r="GJ151" s="216">
        <f t="shared" si="498"/>
        <v>0.25</v>
      </c>
      <c r="GK151" s="216">
        <f t="shared" si="499"/>
        <v>1.5748031496062995E-2</v>
      </c>
      <c r="GL151" s="17">
        <f t="shared" si="500"/>
        <v>1.5748031496062995E-2</v>
      </c>
      <c r="GM151" s="216">
        <f t="shared" si="347"/>
        <v>6.3590977446909816E-4</v>
      </c>
      <c r="GN151" s="2">
        <f t="shared" si="501"/>
        <v>1</v>
      </c>
      <c r="GO151" s="2">
        <f t="shared" si="502"/>
        <v>2</v>
      </c>
      <c r="GP151" s="142">
        <f t="shared" si="503"/>
        <v>2</v>
      </c>
      <c r="GQ151" s="2">
        <f t="shared" si="504"/>
        <v>1.5748031496062995E-2</v>
      </c>
      <c r="GR151" s="8">
        <f t="shared" si="348"/>
        <v>6.6921768591353898E-3</v>
      </c>
      <c r="GS151" s="138">
        <f t="shared" si="505"/>
        <v>0.25</v>
      </c>
      <c r="GT151" s="12">
        <f t="shared" si="349"/>
        <v>554.7092998792516</v>
      </c>
      <c r="GU151" s="138">
        <f t="shared" si="506"/>
        <v>0.25</v>
      </c>
      <c r="GV151" s="116">
        <f t="shared" si="507"/>
        <v>2175570</v>
      </c>
      <c r="GW151" s="2">
        <f t="shared" si="350"/>
        <v>1.5748031496062995E-2</v>
      </c>
      <c r="GX151" s="8">
        <f t="shared" si="351"/>
        <v>1.3358268143999998</v>
      </c>
      <c r="GY151" s="116">
        <f t="shared" si="508"/>
        <v>2610.6840000000002</v>
      </c>
      <c r="GZ151" s="217">
        <f t="shared" si="509"/>
        <v>9.0730744222928337</v>
      </c>
      <c r="HA151" s="207">
        <f t="shared" si="510"/>
        <v>2</v>
      </c>
      <c r="HB151" s="144">
        <f t="shared" si="511"/>
        <v>376030.01732329006</v>
      </c>
      <c r="HC151" s="138">
        <f t="shared" si="352"/>
        <v>0.25</v>
      </c>
      <c r="HD151" s="116">
        <f t="shared" si="512"/>
        <v>2175570</v>
      </c>
      <c r="HE151" s="2">
        <f t="shared" si="353"/>
        <v>1.5748031496062995E-2</v>
      </c>
      <c r="HF151" s="8">
        <f t="shared" si="513"/>
        <v>1.3358268143999998</v>
      </c>
      <c r="HG151" s="116">
        <f t="shared" si="514"/>
        <v>2610.6840000000002</v>
      </c>
      <c r="HH151" s="217">
        <f t="shared" si="515"/>
        <v>9.0730744222928337</v>
      </c>
      <c r="HI151" s="207">
        <f t="shared" si="516"/>
        <v>2</v>
      </c>
      <c r="HJ151" s="144">
        <f t="shared" si="517"/>
        <v>376030.01732329006</v>
      </c>
      <c r="HK151" s="138">
        <f t="shared" si="354"/>
        <v>0.25</v>
      </c>
      <c r="HL151" s="116">
        <f t="shared" si="518"/>
        <v>2175570</v>
      </c>
      <c r="HM151" s="2">
        <f t="shared" si="355"/>
        <v>1.5748031496062995E-2</v>
      </c>
      <c r="HN151" s="8">
        <f t="shared" si="519"/>
        <v>1.3358268143999998</v>
      </c>
      <c r="HO151" s="116">
        <f t="shared" si="520"/>
        <v>2610.6840000000002</v>
      </c>
      <c r="HP151" s="217">
        <f t="shared" si="521"/>
        <v>9.0730744222928337</v>
      </c>
      <c r="HQ151" s="207">
        <f t="shared" si="522"/>
        <v>2</v>
      </c>
      <c r="HR151" s="144">
        <f t="shared" si="523"/>
        <v>376030.01732329006</v>
      </c>
      <c r="HS151" s="128">
        <f t="shared" si="524"/>
        <v>0.25</v>
      </c>
      <c r="HT151" s="2">
        <f t="shared" si="525"/>
        <v>1.5748031496062995E-2</v>
      </c>
      <c r="HU151" s="127">
        <f t="shared" si="526"/>
        <v>1.5748031496062995E-2</v>
      </c>
      <c r="HV151" s="216">
        <f t="shared" si="527"/>
        <v>0</v>
      </c>
      <c r="HW151" s="138">
        <f t="shared" si="528"/>
        <v>0</v>
      </c>
      <c r="HX151" s="138">
        <f t="shared" si="529"/>
        <v>0</v>
      </c>
      <c r="HY151" s="238">
        <f t="shared" si="530"/>
        <v>0.25</v>
      </c>
      <c r="HZ151" s="138">
        <f t="shared" si="531"/>
        <v>0</v>
      </c>
      <c r="IA151" s="138">
        <f t="shared" si="532"/>
        <v>0</v>
      </c>
      <c r="IB151" s="138">
        <f t="shared" si="533"/>
        <v>0</v>
      </c>
      <c r="IC151" s="138">
        <f t="shared" si="534"/>
        <v>0.25</v>
      </c>
      <c r="ID151" s="216">
        <f t="shared" si="535"/>
        <v>0</v>
      </c>
      <c r="IE151" s="138">
        <f t="shared" si="536"/>
        <v>0</v>
      </c>
      <c r="IF151" s="138">
        <f t="shared" si="537"/>
        <v>0</v>
      </c>
      <c r="IG151" s="238">
        <f t="shared" si="538"/>
        <v>1.5748031496062995E-2</v>
      </c>
      <c r="IH151" s="138">
        <f t="shared" si="539"/>
        <v>0</v>
      </c>
      <c r="II151" s="138">
        <f t="shared" si="540"/>
        <v>0</v>
      </c>
      <c r="IJ151" s="138">
        <f t="shared" si="541"/>
        <v>0</v>
      </c>
      <c r="IK151" s="138">
        <f t="shared" si="542"/>
        <v>1.5748031496062995E-2</v>
      </c>
      <c r="IL151" s="216">
        <f t="shared" si="543"/>
        <v>0</v>
      </c>
      <c r="IM151" s="138">
        <f t="shared" si="544"/>
        <v>0</v>
      </c>
      <c r="IN151" s="138">
        <f t="shared" si="545"/>
        <v>0</v>
      </c>
      <c r="IO151" s="238">
        <f t="shared" si="546"/>
        <v>1.5748031496062995E-2</v>
      </c>
      <c r="IP151" s="138">
        <f t="shared" si="547"/>
        <v>0</v>
      </c>
      <c r="IQ151" s="138">
        <f t="shared" si="548"/>
        <v>0</v>
      </c>
      <c r="IR151" s="138">
        <f t="shared" si="549"/>
        <v>0</v>
      </c>
      <c r="IS151" s="138">
        <f t="shared" si="550"/>
        <v>1.5748031496062995E-2</v>
      </c>
      <c r="IT151" s="17">
        <f t="shared" si="551"/>
        <v>0.25</v>
      </c>
      <c r="IU151" s="17">
        <f t="shared" si="552"/>
        <v>1.5748031496062995E-2</v>
      </c>
      <c r="IV151" s="17">
        <f t="shared" si="553"/>
        <v>1.5748031496062995E-2</v>
      </c>
      <c r="IW151" s="253">
        <f t="shared" si="554"/>
        <v>7.4212600799999997</v>
      </c>
      <c r="IX151" s="116">
        <f t="shared" si="356"/>
        <v>4.3648202438958403</v>
      </c>
      <c r="IY151" s="8">
        <f t="shared" si="357"/>
        <v>1.1285370671554627E-4</v>
      </c>
      <c r="IZ151" s="8">
        <f t="shared" si="555"/>
        <v>1.1285370671554627E-4</v>
      </c>
      <c r="JA151" s="8">
        <f t="shared" si="556"/>
        <v>5.6426853357773135E-5</v>
      </c>
      <c r="JB151" s="134">
        <f t="shared" si="557"/>
        <v>7.5117809710995393E-3</v>
      </c>
      <c r="JC151" s="170">
        <f t="shared" ref="JC151:JC160" si="567">MAX(JA$150:JA$160)</f>
        <v>6.9595306634633145E-5</v>
      </c>
      <c r="JD151" s="272">
        <f t="shared" ref="JD151:JD160" si="568">MAX(JB$150:JB$160)</f>
        <v>8.3423801540467545E-3</v>
      </c>
      <c r="JE151" s="8"/>
      <c r="JF151" s="8"/>
    </row>
    <row r="152" spans="1:266" x14ac:dyDescent="0.25">
      <c r="A152" s="186">
        <v>92</v>
      </c>
      <c r="B152" s="187">
        <f>A152/100*'Inputs-Imperial'!$E$5</f>
        <v>9.0551184000000013</v>
      </c>
      <c r="C152" s="188">
        <f>'Inputs-Imperial'!$E$10+('Inputs-Imperial'!$E$9-'Inputs-Imperial'!$E$10)*(100-A152)/100</f>
        <v>1.2270341599999999</v>
      </c>
      <c r="D152" s="187">
        <f t="shared" si="558"/>
        <v>9.8425200000001212E-2</v>
      </c>
      <c r="E152" s="188">
        <f t="shared" si="559"/>
        <v>0.12125545860458548</v>
      </c>
      <c r="F152" s="423">
        <f>Loads!P112</f>
        <v>5.11608326942227</v>
      </c>
      <c r="G152" s="423">
        <f>Loads!M112</f>
        <v>51.160832694222698</v>
      </c>
      <c r="H152" s="423">
        <f>Loads!N112</f>
        <v>21.203846761832118</v>
      </c>
      <c r="I152" s="423">
        <f>Loads!V112</f>
        <v>-24.028388871857111</v>
      </c>
      <c r="J152" s="423">
        <f>Loads!Q112</f>
        <v>2.1203846761832121</v>
      </c>
      <c r="K152" s="2">
        <v>92</v>
      </c>
      <c r="L152" s="12">
        <f t="shared" si="358"/>
        <v>108.66142080000002</v>
      </c>
      <c r="M152" s="11">
        <f t="shared" si="359"/>
        <v>14.724409919999999</v>
      </c>
      <c r="N152" s="11">
        <f t="shared" si="360"/>
        <v>1.1811024000000145</v>
      </c>
      <c r="O152" s="152">
        <f t="shared" si="361"/>
        <v>17.460786039060309</v>
      </c>
      <c r="P152" s="151">
        <f t="shared" si="362"/>
        <v>5.11608326942227</v>
      </c>
      <c r="Q152" s="12">
        <f t="shared" si="363"/>
        <v>51.160832694222698</v>
      </c>
      <c r="R152" s="12">
        <f t="shared" si="364"/>
        <v>254.44616114198541</v>
      </c>
      <c r="S152" s="12">
        <f t="shared" si="365"/>
        <v>-288.3406664622853</v>
      </c>
      <c r="T152" s="152">
        <f t="shared" si="366"/>
        <v>25.444616114198546</v>
      </c>
      <c r="U152" s="8">
        <f t="shared" si="313"/>
        <v>2.6503937855999999</v>
      </c>
      <c r="V152" s="8">
        <f t="shared" si="314"/>
        <v>2.6503937855999999</v>
      </c>
      <c r="W152" s="134">
        <f t="shared" si="315"/>
        <v>1.3251968928</v>
      </c>
      <c r="X152" s="311">
        <f t="shared" si="316"/>
        <v>3.6811024799999998</v>
      </c>
      <c r="Y152" s="11">
        <f t="shared" si="317"/>
        <v>11.04330744</v>
      </c>
      <c r="Z152" s="11">
        <f t="shared" si="318"/>
        <v>7.3622049599999997</v>
      </c>
      <c r="AA152" s="316">
        <f t="shared" si="367"/>
        <v>11.04330744</v>
      </c>
      <c r="AB152" s="170">
        <f t="shared" si="368"/>
        <v>1.9877953391999998</v>
      </c>
      <c r="AC152" s="11">
        <f t="shared" si="369"/>
        <v>11.04330744</v>
      </c>
      <c r="AD152" s="152">
        <f t="shared" si="370"/>
        <v>17.240930938216128</v>
      </c>
      <c r="AE152" s="151">
        <f t="shared" si="319"/>
        <v>0.46327454860953055</v>
      </c>
      <c r="AF152" s="12">
        <f t="shared" si="320"/>
        <v>8.3620967886122486</v>
      </c>
      <c r="AG152" s="216">
        <f t="shared" si="321"/>
        <v>5.7820158263772418E-4</v>
      </c>
      <c r="AH152" s="2">
        <f t="shared" si="371"/>
        <v>1</v>
      </c>
      <c r="AI152" s="2">
        <f t="shared" si="372"/>
        <v>3</v>
      </c>
      <c r="AJ152" s="127">
        <f t="shared" si="373"/>
        <v>2</v>
      </c>
      <c r="AK152" s="2">
        <f t="shared" si="374"/>
        <v>1.5748031496062995E-2</v>
      </c>
      <c r="AL152" s="8">
        <f t="shared" si="322"/>
        <v>6.0848683360373006E-3</v>
      </c>
      <c r="AM152" s="138">
        <f t="shared" si="375"/>
        <v>0.25</v>
      </c>
      <c r="AN152" s="12">
        <f t="shared" si="323"/>
        <v>504.36997192222464</v>
      </c>
      <c r="AO152" s="138">
        <f t="shared" si="376"/>
        <v>0.25</v>
      </c>
      <c r="AP152" s="116">
        <f t="shared" si="377"/>
        <v>2175570</v>
      </c>
      <c r="AQ152" s="2">
        <f t="shared" si="378"/>
        <v>1.5748031496062995E-2</v>
      </c>
      <c r="AR152" s="8">
        <f t="shared" si="379"/>
        <v>7.3622049599999997</v>
      </c>
      <c r="AS152" s="116">
        <f t="shared" si="380"/>
        <v>2610.6840000000002</v>
      </c>
      <c r="AT152" s="217">
        <f t="shared" si="381"/>
        <v>0.29870258388816007</v>
      </c>
      <c r="AU152" s="207">
        <f t="shared" si="382"/>
        <v>2.6095146889533893</v>
      </c>
      <c r="AV152" s="144">
        <f t="shared" si="383"/>
        <v>16152.389218431508</v>
      </c>
      <c r="AW152" s="138">
        <f t="shared" si="384"/>
        <v>0.25</v>
      </c>
      <c r="AX152" s="116">
        <f t="shared" si="385"/>
        <v>2175570</v>
      </c>
      <c r="AY152" s="2">
        <f t="shared" si="386"/>
        <v>1.5748031496062995E-2</v>
      </c>
      <c r="AZ152" s="8">
        <f t="shared" si="387"/>
        <v>7.3622049599999997</v>
      </c>
      <c r="BA152" s="116">
        <f t="shared" si="388"/>
        <v>2610.6840000000002</v>
      </c>
      <c r="BB152" s="217">
        <f t="shared" si="389"/>
        <v>0.29870258388816007</v>
      </c>
      <c r="BC152" s="207">
        <f t="shared" si="390"/>
        <v>2.6095146889533893</v>
      </c>
      <c r="BD152" s="144">
        <f t="shared" si="391"/>
        <v>16152.389218431508</v>
      </c>
      <c r="BE152" s="138">
        <f t="shared" si="392"/>
        <v>0.25</v>
      </c>
      <c r="BF152" s="116">
        <f t="shared" si="393"/>
        <v>2175570</v>
      </c>
      <c r="BG152" s="2">
        <f t="shared" si="394"/>
        <v>1.5748031496062995E-2</v>
      </c>
      <c r="BH152" s="8">
        <f t="shared" si="395"/>
        <v>7.3622049599999997</v>
      </c>
      <c r="BI152" s="116">
        <f t="shared" si="396"/>
        <v>2610.6840000000002</v>
      </c>
      <c r="BJ152" s="217">
        <f t="shared" si="397"/>
        <v>0.29870258388816007</v>
      </c>
      <c r="BK152" s="207">
        <f t="shared" si="398"/>
        <v>2.6095146889533893</v>
      </c>
      <c r="BL152" s="144">
        <f t="shared" si="399"/>
        <v>16152.389218431508</v>
      </c>
      <c r="BM152" s="216">
        <f t="shared" si="400"/>
        <v>0.25</v>
      </c>
      <c r="BN152" s="216">
        <f t="shared" si="401"/>
        <v>2.3622047244094495E-2</v>
      </c>
      <c r="BO152" s="238">
        <f t="shared" si="402"/>
        <v>1.5748031496062995E-2</v>
      </c>
      <c r="BP152" s="216">
        <f t="shared" si="403"/>
        <v>0</v>
      </c>
      <c r="BQ152" s="138">
        <f t="shared" si="404"/>
        <v>0</v>
      </c>
      <c r="BR152" s="138">
        <f t="shared" si="405"/>
        <v>0</v>
      </c>
      <c r="BS152" s="238">
        <f t="shared" si="406"/>
        <v>0.25</v>
      </c>
      <c r="BT152" s="138">
        <f t="shared" si="407"/>
        <v>0</v>
      </c>
      <c r="BU152" s="138">
        <f t="shared" si="408"/>
        <v>0</v>
      </c>
      <c r="BV152" s="138">
        <f t="shared" si="409"/>
        <v>0</v>
      </c>
      <c r="BW152" s="238">
        <f t="shared" si="410"/>
        <v>0.25</v>
      </c>
      <c r="BX152" s="216">
        <f t="shared" si="411"/>
        <v>0</v>
      </c>
      <c r="BY152" s="138">
        <f t="shared" si="412"/>
        <v>0</v>
      </c>
      <c r="BZ152" s="138">
        <f t="shared" si="413"/>
        <v>0</v>
      </c>
      <c r="CA152" s="238">
        <f t="shared" si="414"/>
        <v>2.3622047244094495E-2</v>
      </c>
      <c r="CB152" s="138">
        <f t="shared" si="415"/>
        <v>0</v>
      </c>
      <c r="CC152" s="138">
        <f t="shared" si="416"/>
        <v>0</v>
      </c>
      <c r="CD152" s="138">
        <f t="shared" si="417"/>
        <v>0</v>
      </c>
      <c r="CE152" s="238">
        <f t="shared" si="418"/>
        <v>2.3622047244094495E-2</v>
      </c>
      <c r="CF152" s="216">
        <f t="shared" si="419"/>
        <v>0</v>
      </c>
      <c r="CG152" s="138">
        <f t="shared" si="420"/>
        <v>0</v>
      </c>
      <c r="CH152" s="138">
        <f t="shared" si="421"/>
        <v>0</v>
      </c>
      <c r="CI152" s="238">
        <f t="shared" si="422"/>
        <v>1.5748031496062995E-2</v>
      </c>
      <c r="CJ152" s="138">
        <f t="shared" si="423"/>
        <v>0</v>
      </c>
      <c r="CK152" s="138">
        <f t="shared" si="424"/>
        <v>0</v>
      </c>
      <c r="CL152" s="138">
        <f t="shared" si="425"/>
        <v>0</v>
      </c>
      <c r="CM152" s="238">
        <f t="shared" si="426"/>
        <v>1.5748031496062995E-2</v>
      </c>
      <c r="CN152" s="17">
        <f t="shared" si="427"/>
        <v>0.25</v>
      </c>
      <c r="CO152" s="17">
        <f t="shared" si="428"/>
        <v>2.3622047244094495E-2</v>
      </c>
      <c r="CP152" s="17">
        <f t="shared" si="429"/>
        <v>1.5748031496062995E-2</v>
      </c>
      <c r="CQ152" s="17">
        <f>$U152-IF('Inputs-Imperial'!$E$13,0,2)*($CO152+$CN152+$CP152)</f>
        <v>2.6503937855999999</v>
      </c>
      <c r="CR152" s="116">
        <f t="shared" si="430"/>
        <v>96.003153389670175</v>
      </c>
      <c r="CS152" s="8">
        <f t="shared" si="324"/>
        <v>2.4821896689920099E-3</v>
      </c>
      <c r="CT152" s="8">
        <f t="shared" si="431"/>
        <v>4.9821578347057714E-2</v>
      </c>
      <c r="CU152" s="8">
        <f t="shared" si="325"/>
        <v>2.4821896689920099E-3</v>
      </c>
      <c r="CV152" s="8">
        <f t="shared" si="432"/>
        <v>4.9821578347057714E-2</v>
      </c>
      <c r="CW152" s="216">
        <f t="shared" si="433"/>
        <v>2.600572207252942</v>
      </c>
      <c r="CX152" s="116">
        <f t="shared" si="434"/>
        <v>97.842375009753752</v>
      </c>
      <c r="CY152" s="8">
        <f t="shared" si="435"/>
        <v>2.5297432830470399E-3</v>
      </c>
      <c r="CZ152" s="8">
        <f t="shared" si="436"/>
        <v>5.0296553391331295E-2</v>
      </c>
      <c r="DA152" s="8">
        <f t="shared" si="437"/>
        <v>2.5297432830470399E-3</v>
      </c>
      <c r="DB152" s="8">
        <f t="shared" si="438"/>
        <v>5.0296553391331295E-2</v>
      </c>
      <c r="DC152" s="216">
        <f t="shared" si="439"/>
        <v>2.6000972322086686</v>
      </c>
      <c r="DD152" s="116">
        <f t="shared" si="440"/>
        <v>97.860248451495238</v>
      </c>
      <c r="DE152" s="8">
        <f t="shared" si="441"/>
        <v>2.5302054061218928E-3</v>
      </c>
      <c r="DF152" s="8">
        <f t="shared" si="442"/>
        <v>5.0301147165068637E-2</v>
      </c>
      <c r="DG152" s="8">
        <f t="shared" si="443"/>
        <v>2.5302054061218928E-3</v>
      </c>
      <c r="DH152" s="8">
        <f t="shared" si="444"/>
        <v>5.0301147165068637E-2</v>
      </c>
      <c r="DI152" s="216">
        <f t="shared" si="445"/>
        <v>2.6000926384349312</v>
      </c>
      <c r="DJ152" s="116">
        <f t="shared" si="446"/>
        <v>97.860421348350002</v>
      </c>
      <c r="DK152" s="8">
        <f t="shared" si="447"/>
        <v>2.5302098764207483E-3</v>
      </c>
      <c r="DL152" s="8">
        <f t="shared" si="448"/>
        <v>5.0301191600405935E-2</v>
      </c>
      <c r="DM152" s="8">
        <f t="shared" si="449"/>
        <v>2.5302098764207483E-3</v>
      </c>
      <c r="DN152" s="8">
        <f t="shared" si="450"/>
        <v>5.0301191600405935E-2</v>
      </c>
      <c r="DO152" s="216">
        <f t="shared" si="451"/>
        <v>2.600092593999594</v>
      </c>
      <c r="DP152" s="116">
        <f t="shared" si="452"/>
        <v>97.860423020775372</v>
      </c>
      <c r="DQ152" s="170">
        <f t="shared" si="453"/>
        <v>2.5302099196617962E-3</v>
      </c>
      <c r="DR152" s="8">
        <f t="shared" si="454"/>
        <v>5.0301192030227239E-2</v>
      </c>
      <c r="DS152" s="8">
        <f t="shared" si="455"/>
        <v>2.5302099196617962E-3</v>
      </c>
      <c r="DT152" s="134">
        <f t="shared" si="456"/>
        <v>5.0301192030227239E-2</v>
      </c>
      <c r="DU152" s="170">
        <f t="shared" si="566"/>
        <v>3.9589056222337476E-3</v>
      </c>
      <c r="DV152" s="170">
        <f t="shared" si="566"/>
        <v>6.2919834887209827E-2</v>
      </c>
      <c r="DW152" s="170">
        <f t="shared" si="566"/>
        <v>3.9589056222337476E-3</v>
      </c>
      <c r="DX152" s="272">
        <f t="shared" si="566"/>
        <v>6.2919834887209827E-2</v>
      </c>
      <c r="DY152" s="272">
        <f t="shared" si="457"/>
        <v>2.52455411582558</v>
      </c>
      <c r="DZ152" s="22">
        <f t="shared" si="326"/>
        <v>19.303106192063773</v>
      </c>
      <c r="EA152" s="216">
        <f t="shared" si="327"/>
        <v>1.264659142783314E-3</v>
      </c>
      <c r="EB152" s="12">
        <f t="shared" si="458"/>
        <v>1</v>
      </c>
      <c r="EC152" s="7">
        <f>ROUND(MAX(DV152,DX152)/'Inputs-Imperial'!$E$21,0)</f>
        <v>1</v>
      </c>
      <c r="ED152" s="12">
        <f t="shared" si="459"/>
        <v>1</v>
      </c>
      <c r="EE152" s="2">
        <f t="shared" si="460"/>
        <v>2</v>
      </c>
      <c r="EF152" s="127">
        <f t="shared" si="461"/>
        <v>2</v>
      </c>
      <c r="EG152" s="2">
        <f t="shared" si="462"/>
        <v>1.5748031496062995E-2</v>
      </c>
      <c r="EH152" s="8">
        <f t="shared" si="328"/>
        <v>1.3308999153369304E-2</v>
      </c>
      <c r="EI152" s="138">
        <f t="shared" si="463"/>
        <v>0.25</v>
      </c>
      <c r="EJ152" s="12">
        <f t="shared" si="329"/>
        <v>1103.1725188764444</v>
      </c>
      <c r="EK152" s="138">
        <f t="shared" si="464"/>
        <v>0.25</v>
      </c>
      <c r="EL152" s="116">
        <f t="shared" si="465"/>
        <v>2175570</v>
      </c>
      <c r="EM152" s="2">
        <f t="shared" si="330"/>
        <v>1.5748031496062995E-2</v>
      </c>
      <c r="EN152" s="8">
        <f t="shared" si="466"/>
        <v>2.6503937855999999</v>
      </c>
      <c r="EO152" s="116">
        <f t="shared" si="467"/>
        <v>2610.6840000000002</v>
      </c>
      <c r="EP152" s="217">
        <f t="shared" si="468"/>
        <v>2.3048038880259263</v>
      </c>
      <c r="EQ152" s="207">
        <f t="shared" si="469"/>
        <v>2</v>
      </c>
      <c r="ER152" s="144">
        <f t="shared" si="470"/>
        <v>95521.694808512329</v>
      </c>
      <c r="ES152" s="138">
        <f t="shared" si="331"/>
        <v>0.25</v>
      </c>
      <c r="ET152" s="116">
        <f t="shared" si="471"/>
        <v>2175570</v>
      </c>
      <c r="EU152" s="2">
        <f t="shared" si="332"/>
        <v>1.5748031496062995E-2</v>
      </c>
      <c r="EV152" s="8">
        <f t="shared" si="472"/>
        <v>2.6503937855999999</v>
      </c>
      <c r="EW152" s="116">
        <f t="shared" si="473"/>
        <v>2610.6840000000002</v>
      </c>
      <c r="EX152" s="217">
        <f t="shared" si="474"/>
        <v>2.3048038880259263</v>
      </c>
      <c r="EY152" s="207">
        <f t="shared" si="475"/>
        <v>2</v>
      </c>
      <c r="EZ152" s="144">
        <f t="shared" si="476"/>
        <v>95521.694808512329</v>
      </c>
      <c r="FA152" s="138">
        <f t="shared" si="333"/>
        <v>0.25</v>
      </c>
      <c r="FB152" s="116">
        <f t="shared" si="477"/>
        <v>2175570</v>
      </c>
      <c r="FC152" s="2">
        <f t="shared" si="334"/>
        <v>1.5748031496062995E-2</v>
      </c>
      <c r="FD152" s="8">
        <f t="shared" si="478"/>
        <v>2.6503937855999999</v>
      </c>
      <c r="FE152" s="116">
        <f t="shared" si="479"/>
        <v>2610.6840000000002</v>
      </c>
      <c r="FF152" s="217">
        <f t="shared" si="480"/>
        <v>2.3048038880259263</v>
      </c>
      <c r="FG152" s="207">
        <f t="shared" si="481"/>
        <v>2</v>
      </c>
      <c r="FH152" s="144">
        <f t="shared" si="482"/>
        <v>95521.694808512329</v>
      </c>
      <c r="FI152" s="128">
        <f t="shared" si="483"/>
        <v>0.25</v>
      </c>
      <c r="FJ152" s="2">
        <f t="shared" si="484"/>
        <v>1.5748031496062995E-2</v>
      </c>
      <c r="FK152" s="127">
        <f t="shared" si="485"/>
        <v>1.5748031496062995E-2</v>
      </c>
      <c r="FL152" s="216">
        <f t="shared" si="486"/>
        <v>0</v>
      </c>
      <c r="FM152" s="138">
        <f t="shared" si="487"/>
        <v>0</v>
      </c>
      <c r="FN152" s="138">
        <f t="shared" si="488"/>
        <v>0</v>
      </c>
      <c r="FO152" s="238">
        <f t="shared" si="489"/>
        <v>0.25</v>
      </c>
      <c r="FP152" s="216">
        <f t="shared" si="335"/>
        <v>0</v>
      </c>
      <c r="FQ152" s="138">
        <f t="shared" si="336"/>
        <v>0</v>
      </c>
      <c r="FR152" s="138">
        <f t="shared" si="337"/>
        <v>0</v>
      </c>
      <c r="FS152" s="238">
        <f t="shared" si="338"/>
        <v>0.25</v>
      </c>
      <c r="FT152" s="216">
        <f t="shared" si="490"/>
        <v>0</v>
      </c>
      <c r="FU152" s="138">
        <f t="shared" si="491"/>
        <v>0</v>
      </c>
      <c r="FV152" s="138">
        <f t="shared" si="492"/>
        <v>0</v>
      </c>
      <c r="FW152" s="238">
        <f t="shared" si="493"/>
        <v>1.5748031496062995E-2</v>
      </c>
      <c r="FX152" s="216">
        <f t="shared" si="339"/>
        <v>0</v>
      </c>
      <c r="FY152" s="138">
        <f t="shared" si="340"/>
        <v>0</v>
      </c>
      <c r="FZ152" s="138">
        <f t="shared" si="341"/>
        <v>0</v>
      </c>
      <c r="GA152" s="238">
        <f t="shared" si="342"/>
        <v>1.5748031496062995E-2</v>
      </c>
      <c r="GB152" s="216">
        <f t="shared" si="494"/>
        <v>0</v>
      </c>
      <c r="GC152" s="138">
        <f t="shared" si="495"/>
        <v>0</v>
      </c>
      <c r="GD152" s="138">
        <f t="shared" si="496"/>
        <v>0</v>
      </c>
      <c r="GE152" s="238">
        <f t="shared" si="497"/>
        <v>1.5748031496062995E-2</v>
      </c>
      <c r="GF152" s="216">
        <f t="shared" si="343"/>
        <v>0</v>
      </c>
      <c r="GG152" s="138">
        <f t="shared" si="344"/>
        <v>0</v>
      </c>
      <c r="GH152" s="138">
        <f t="shared" si="345"/>
        <v>0</v>
      </c>
      <c r="GI152" s="238">
        <f t="shared" si="346"/>
        <v>1.5748031496062995E-2</v>
      </c>
      <c r="GJ152" s="216">
        <f t="shared" si="498"/>
        <v>0.25</v>
      </c>
      <c r="GK152" s="216">
        <f t="shared" si="499"/>
        <v>1.5748031496062995E-2</v>
      </c>
      <c r="GL152" s="17">
        <f t="shared" si="500"/>
        <v>1.5748031496062995E-2</v>
      </c>
      <c r="GM152" s="216">
        <f t="shared" si="347"/>
        <v>5.4784976321092457E-4</v>
      </c>
      <c r="GN152" s="2">
        <f t="shared" si="501"/>
        <v>1</v>
      </c>
      <c r="GO152" s="2">
        <f t="shared" si="502"/>
        <v>2</v>
      </c>
      <c r="GP152" s="142">
        <f t="shared" si="503"/>
        <v>2</v>
      </c>
      <c r="GQ152" s="2">
        <f t="shared" si="504"/>
        <v>1.5748031496062995E-2</v>
      </c>
      <c r="GR152" s="8">
        <f t="shared" si="348"/>
        <v>5.7654523563564365E-3</v>
      </c>
      <c r="GS152" s="138">
        <f t="shared" si="505"/>
        <v>0.25</v>
      </c>
      <c r="GT152" s="12">
        <f t="shared" si="349"/>
        <v>477.89383146918993</v>
      </c>
      <c r="GU152" s="138">
        <f t="shared" si="506"/>
        <v>0.25</v>
      </c>
      <c r="GV152" s="116">
        <f t="shared" si="507"/>
        <v>2175570</v>
      </c>
      <c r="GW152" s="2">
        <f t="shared" si="350"/>
        <v>1.5748031496062995E-2</v>
      </c>
      <c r="GX152" s="8">
        <f t="shared" si="351"/>
        <v>1.3251968928</v>
      </c>
      <c r="GY152" s="116">
        <f t="shared" si="508"/>
        <v>2610.6840000000002</v>
      </c>
      <c r="GZ152" s="217">
        <f t="shared" si="509"/>
        <v>9.2192155521037051</v>
      </c>
      <c r="HA152" s="207">
        <f t="shared" si="510"/>
        <v>2</v>
      </c>
      <c r="HB152" s="144">
        <f t="shared" si="511"/>
        <v>382086.77923404932</v>
      </c>
      <c r="HC152" s="138">
        <f t="shared" si="352"/>
        <v>0.25</v>
      </c>
      <c r="HD152" s="116">
        <f t="shared" si="512"/>
        <v>2175570</v>
      </c>
      <c r="HE152" s="2">
        <f t="shared" si="353"/>
        <v>1.5748031496062995E-2</v>
      </c>
      <c r="HF152" s="8">
        <f t="shared" si="513"/>
        <v>1.3251968928</v>
      </c>
      <c r="HG152" s="116">
        <f t="shared" si="514"/>
        <v>2610.6840000000002</v>
      </c>
      <c r="HH152" s="217">
        <f t="shared" si="515"/>
        <v>9.2192155521037051</v>
      </c>
      <c r="HI152" s="207">
        <f t="shared" si="516"/>
        <v>2</v>
      </c>
      <c r="HJ152" s="144">
        <f t="shared" si="517"/>
        <v>382086.77923404932</v>
      </c>
      <c r="HK152" s="138">
        <f t="shared" si="354"/>
        <v>0.25</v>
      </c>
      <c r="HL152" s="116">
        <f t="shared" si="518"/>
        <v>2175570</v>
      </c>
      <c r="HM152" s="2">
        <f t="shared" si="355"/>
        <v>1.5748031496062995E-2</v>
      </c>
      <c r="HN152" s="8">
        <f t="shared" si="519"/>
        <v>1.3251968928</v>
      </c>
      <c r="HO152" s="116">
        <f t="shared" si="520"/>
        <v>2610.6840000000002</v>
      </c>
      <c r="HP152" s="217">
        <f t="shared" si="521"/>
        <v>9.2192155521037051</v>
      </c>
      <c r="HQ152" s="207">
        <f t="shared" si="522"/>
        <v>2</v>
      </c>
      <c r="HR152" s="144">
        <f t="shared" si="523"/>
        <v>382086.77923404932</v>
      </c>
      <c r="HS152" s="128">
        <f t="shared" si="524"/>
        <v>0.25</v>
      </c>
      <c r="HT152" s="2">
        <f t="shared" si="525"/>
        <v>1.5748031496062995E-2</v>
      </c>
      <c r="HU152" s="127">
        <f t="shared" si="526"/>
        <v>1.5748031496062995E-2</v>
      </c>
      <c r="HV152" s="216">
        <f t="shared" si="527"/>
        <v>0</v>
      </c>
      <c r="HW152" s="138">
        <f t="shared" si="528"/>
        <v>0</v>
      </c>
      <c r="HX152" s="138">
        <f t="shared" si="529"/>
        <v>0</v>
      </c>
      <c r="HY152" s="238">
        <f t="shared" si="530"/>
        <v>0.25</v>
      </c>
      <c r="HZ152" s="138">
        <f t="shared" si="531"/>
        <v>0</v>
      </c>
      <c r="IA152" s="138">
        <f t="shared" si="532"/>
        <v>0</v>
      </c>
      <c r="IB152" s="138">
        <f t="shared" si="533"/>
        <v>0</v>
      </c>
      <c r="IC152" s="138">
        <f t="shared" si="534"/>
        <v>0.25</v>
      </c>
      <c r="ID152" s="216">
        <f t="shared" si="535"/>
        <v>0</v>
      </c>
      <c r="IE152" s="138">
        <f t="shared" si="536"/>
        <v>0</v>
      </c>
      <c r="IF152" s="138">
        <f t="shared" si="537"/>
        <v>0</v>
      </c>
      <c r="IG152" s="238">
        <f t="shared" si="538"/>
        <v>1.5748031496062995E-2</v>
      </c>
      <c r="IH152" s="138">
        <f t="shared" si="539"/>
        <v>0</v>
      </c>
      <c r="II152" s="138">
        <f t="shared" si="540"/>
        <v>0</v>
      </c>
      <c r="IJ152" s="138">
        <f t="shared" si="541"/>
        <v>0</v>
      </c>
      <c r="IK152" s="138">
        <f t="shared" si="542"/>
        <v>1.5748031496062995E-2</v>
      </c>
      <c r="IL152" s="216">
        <f t="shared" si="543"/>
        <v>0</v>
      </c>
      <c r="IM152" s="138">
        <f t="shared" si="544"/>
        <v>0</v>
      </c>
      <c r="IN152" s="138">
        <f t="shared" si="545"/>
        <v>0</v>
      </c>
      <c r="IO152" s="238">
        <f t="shared" si="546"/>
        <v>1.5748031496062995E-2</v>
      </c>
      <c r="IP152" s="138">
        <f t="shared" si="547"/>
        <v>0</v>
      </c>
      <c r="IQ152" s="138">
        <f t="shared" si="548"/>
        <v>0</v>
      </c>
      <c r="IR152" s="138">
        <f t="shared" si="549"/>
        <v>0</v>
      </c>
      <c r="IS152" s="138">
        <f t="shared" si="550"/>
        <v>1.5748031496062995E-2</v>
      </c>
      <c r="IT152" s="17">
        <f t="shared" si="551"/>
        <v>0.25</v>
      </c>
      <c r="IU152" s="17">
        <f t="shared" si="552"/>
        <v>1.5748031496062995E-2</v>
      </c>
      <c r="IV152" s="17">
        <f t="shared" si="553"/>
        <v>1.5748031496062995E-2</v>
      </c>
      <c r="IW152" s="253">
        <f t="shared" si="554"/>
        <v>7.3622049599999997</v>
      </c>
      <c r="IX152" s="116">
        <f t="shared" si="356"/>
        <v>3.4561135220281272</v>
      </c>
      <c r="IY152" s="8">
        <f t="shared" si="357"/>
        <v>8.935882808371238E-5</v>
      </c>
      <c r="IZ152" s="8">
        <f t="shared" si="555"/>
        <v>8.935882808371238E-5</v>
      </c>
      <c r="JA152" s="8">
        <f t="shared" si="556"/>
        <v>4.467941404185619E-5</v>
      </c>
      <c r="JB152" s="134">
        <f t="shared" si="557"/>
        <v>6.6842661558211601E-3</v>
      </c>
      <c r="JC152" s="170">
        <f t="shared" si="567"/>
        <v>6.9595306634633145E-5</v>
      </c>
      <c r="JD152" s="272">
        <f t="shared" si="568"/>
        <v>8.3423801540467545E-3</v>
      </c>
      <c r="JE152" s="8"/>
      <c r="JF152" s="8"/>
    </row>
    <row r="153" spans="1:266" x14ac:dyDescent="0.25">
      <c r="A153" s="186">
        <v>93</v>
      </c>
      <c r="B153" s="187">
        <f>A153/100*'Inputs-Imperial'!$E$5</f>
        <v>9.1535436000000008</v>
      </c>
      <c r="C153" s="188">
        <f>'Inputs-Imperial'!$E$10+('Inputs-Imperial'!$E$9-'Inputs-Imperial'!$E$10)*(100-A153)/100</f>
        <v>1.21719164</v>
      </c>
      <c r="D153" s="187">
        <f t="shared" si="558"/>
        <v>9.8425199999999435E-2</v>
      </c>
      <c r="E153" s="188">
        <f t="shared" si="559"/>
        <v>0.1202867066050793</v>
      </c>
      <c r="F153" s="423">
        <f>Loads!P113</f>
        <v>4.3714455346696566</v>
      </c>
      <c r="G153" s="423">
        <f>Loads!M113</f>
        <v>43.71445534669656</v>
      </c>
      <c r="H153" s="423">
        <f>Loads!N113</f>
        <v>16.16833157173674</v>
      </c>
      <c r="I153" s="423">
        <f>Loads!V113</f>
        <v>-19.963814796789094</v>
      </c>
      <c r="J153" s="423">
        <f>Loads!Q113</f>
        <v>1.6168331571736743</v>
      </c>
      <c r="K153" s="2">
        <v>93</v>
      </c>
      <c r="L153" s="12">
        <f t="shared" si="358"/>
        <v>109.84252320000002</v>
      </c>
      <c r="M153" s="11">
        <f t="shared" si="359"/>
        <v>14.606299679999999</v>
      </c>
      <c r="N153" s="11">
        <f t="shared" si="360"/>
        <v>1.1811023999999932</v>
      </c>
      <c r="O153" s="152">
        <f t="shared" si="361"/>
        <v>17.32128575113142</v>
      </c>
      <c r="P153" s="151">
        <f t="shared" si="362"/>
        <v>4.3714455346696566</v>
      </c>
      <c r="Q153" s="12">
        <f t="shared" si="363"/>
        <v>43.71445534669656</v>
      </c>
      <c r="R153" s="12">
        <f t="shared" si="364"/>
        <v>194.01997886084087</v>
      </c>
      <c r="S153" s="12">
        <f t="shared" si="365"/>
        <v>-239.56577756146913</v>
      </c>
      <c r="T153" s="152">
        <f t="shared" si="366"/>
        <v>19.401997886084089</v>
      </c>
      <c r="U153" s="8">
        <f t="shared" si="313"/>
        <v>2.6291339423999998</v>
      </c>
      <c r="V153" s="8">
        <f t="shared" si="314"/>
        <v>2.6291339423999998</v>
      </c>
      <c r="W153" s="134">
        <f t="shared" si="315"/>
        <v>1.3145669711999999</v>
      </c>
      <c r="X153" s="311">
        <f t="shared" si="316"/>
        <v>3.6515749199999998</v>
      </c>
      <c r="Y153" s="11">
        <f t="shared" si="317"/>
        <v>10.95472476</v>
      </c>
      <c r="Z153" s="11">
        <f t="shared" si="318"/>
        <v>7.3031498399999997</v>
      </c>
      <c r="AA153" s="316">
        <f t="shared" si="367"/>
        <v>10.95472476</v>
      </c>
      <c r="AB153" s="170">
        <f t="shared" si="368"/>
        <v>1.9718504567999999</v>
      </c>
      <c r="AC153" s="11">
        <f t="shared" si="369"/>
        <v>10.95472476</v>
      </c>
      <c r="AD153" s="152">
        <f t="shared" si="370"/>
        <v>16.96544779137955</v>
      </c>
      <c r="AE153" s="151">
        <f t="shared" si="319"/>
        <v>0.39904658769990464</v>
      </c>
      <c r="AF153" s="12">
        <f t="shared" si="320"/>
        <v>7.0604024281397635</v>
      </c>
      <c r="AG153" s="216">
        <f t="shared" si="321"/>
        <v>4.8871203961392291E-4</v>
      </c>
      <c r="AH153" s="2">
        <f t="shared" si="371"/>
        <v>1</v>
      </c>
      <c r="AI153" s="2">
        <f t="shared" si="372"/>
        <v>3</v>
      </c>
      <c r="AJ153" s="127">
        <f t="shared" si="373"/>
        <v>2</v>
      </c>
      <c r="AK153" s="2">
        <f t="shared" si="374"/>
        <v>1.5748031496062995E-2</v>
      </c>
      <c r="AL153" s="8">
        <f t="shared" si="322"/>
        <v>5.143099750299693E-3</v>
      </c>
      <c r="AM153" s="138">
        <f t="shared" si="375"/>
        <v>0.25</v>
      </c>
      <c r="AN153" s="12">
        <f t="shared" si="323"/>
        <v>426.30751125523699</v>
      </c>
      <c r="AO153" s="138">
        <f t="shared" si="376"/>
        <v>0.25</v>
      </c>
      <c r="AP153" s="116">
        <f t="shared" si="377"/>
        <v>2175570</v>
      </c>
      <c r="AQ153" s="2">
        <f t="shared" si="378"/>
        <v>1.5748031496062995E-2</v>
      </c>
      <c r="AR153" s="8">
        <f t="shared" si="379"/>
        <v>7.3031498399999997</v>
      </c>
      <c r="AS153" s="116">
        <f t="shared" si="380"/>
        <v>2610.6840000000002</v>
      </c>
      <c r="AT153" s="217">
        <f t="shared" si="381"/>
        <v>0.30355288485218995</v>
      </c>
      <c r="AU153" s="207">
        <f t="shared" si="382"/>
        <v>2.5877131200600778</v>
      </c>
      <c r="AV153" s="144">
        <f t="shared" si="383"/>
        <v>16277.531265180536</v>
      </c>
      <c r="AW153" s="138">
        <f t="shared" si="384"/>
        <v>0.25</v>
      </c>
      <c r="AX153" s="116">
        <f t="shared" si="385"/>
        <v>2175570</v>
      </c>
      <c r="AY153" s="2">
        <f t="shared" si="386"/>
        <v>1.5748031496062995E-2</v>
      </c>
      <c r="AZ153" s="8">
        <f t="shared" si="387"/>
        <v>7.3031498399999997</v>
      </c>
      <c r="BA153" s="116">
        <f t="shared" si="388"/>
        <v>2610.6840000000002</v>
      </c>
      <c r="BB153" s="217">
        <f t="shared" si="389"/>
        <v>0.30355288485218995</v>
      </c>
      <c r="BC153" s="207">
        <f t="shared" si="390"/>
        <v>2.5877131200600778</v>
      </c>
      <c r="BD153" s="144">
        <f t="shared" si="391"/>
        <v>16277.531265180536</v>
      </c>
      <c r="BE153" s="138">
        <f t="shared" si="392"/>
        <v>0.25</v>
      </c>
      <c r="BF153" s="116">
        <f t="shared" si="393"/>
        <v>2175570</v>
      </c>
      <c r="BG153" s="2">
        <f t="shared" si="394"/>
        <v>1.5748031496062995E-2</v>
      </c>
      <c r="BH153" s="8">
        <f t="shared" si="395"/>
        <v>7.3031498399999997</v>
      </c>
      <c r="BI153" s="116">
        <f t="shared" si="396"/>
        <v>2610.6840000000002</v>
      </c>
      <c r="BJ153" s="217">
        <f t="shared" si="397"/>
        <v>0.30355288485218995</v>
      </c>
      <c r="BK153" s="207">
        <f t="shared" si="398"/>
        <v>2.5877131200600778</v>
      </c>
      <c r="BL153" s="144">
        <f t="shared" si="399"/>
        <v>16277.531265180536</v>
      </c>
      <c r="BM153" s="216">
        <f t="shared" si="400"/>
        <v>0.25</v>
      </c>
      <c r="BN153" s="216">
        <f t="shared" si="401"/>
        <v>2.3622047244094495E-2</v>
      </c>
      <c r="BO153" s="238">
        <f t="shared" si="402"/>
        <v>1.5748031496062995E-2</v>
      </c>
      <c r="BP153" s="216">
        <f t="shared" si="403"/>
        <v>0</v>
      </c>
      <c r="BQ153" s="138">
        <f t="shared" si="404"/>
        <v>0</v>
      </c>
      <c r="BR153" s="138">
        <f t="shared" si="405"/>
        <v>0</v>
      </c>
      <c r="BS153" s="238">
        <f t="shared" si="406"/>
        <v>0.25</v>
      </c>
      <c r="BT153" s="138">
        <f t="shared" si="407"/>
        <v>0</v>
      </c>
      <c r="BU153" s="138">
        <f t="shared" si="408"/>
        <v>0</v>
      </c>
      <c r="BV153" s="138">
        <f t="shared" si="409"/>
        <v>0</v>
      </c>
      <c r="BW153" s="238">
        <f t="shared" si="410"/>
        <v>0.25</v>
      </c>
      <c r="BX153" s="216">
        <f t="shared" si="411"/>
        <v>0</v>
      </c>
      <c r="BY153" s="138">
        <f t="shared" si="412"/>
        <v>0</v>
      </c>
      <c r="BZ153" s="138">
        <f t="shared" si="413"/>
        <v>0</v>
      </c>
      <c r="CA153" s="238">
        <f t="shared" si="414"/>
        <v>2.3622047244094495E-2</v>
      </c>
      <c r="CB153" s="138">
        <f t="shared" si="415"/>
        <v>0</v>
      </c>
      <c r="CC153" s="138">
        <f t="shared" si="416"/>
        <v>0</v>
      </c>
      <c r="CD153" s="138">
        <f t="shared" si="417"/>
        <v>0</v>
      </c>
      <c r="CE153" s="238">
        <f t="shared" si="418"/>
        <v>2.3622047244094495E-2</v>
      </c>
      <c r="CF153" s="216">
        <f t="shared" si="419"/>
        <v>0</v>
      </c>
      <c r="CG153" s="138">
        <f t="shared" si="420"/>
        <v>0</v>
      </c>
      <c r="CH153" s="138">
        <f t="shared" si="421"/>
        <v>0</v>
      </c>
      <c r="CI153" s="238">
        <f t="shared" si="422"/>
        <v>1.5748031496062995E-2</v>
      </c>
      <c r="CJ153" s="138">
        <f t="shared" si="423"/>
        <v>0</v>
      </c>
      <c r="CK153" s="138">
        <f t="shared" si="424"/>
        <v>0</v>
      </c>
      <c r="CL153" s="138">
        <f t="shared" si="425"/>
        <v>0</v>
      </c>
      <c r="CM153" s="238">
        <f t="shared" si="426"/>
        <v>1.5748031496062995E-2</v>
      </c>
      <c r="CN153" s="17">
        <f t="shared" si="427"/>
        <v>0.25</v>
      </c>
      <c r="CO153" s="17">
        <f t="shared" si="428"/>
        <v>2.3622047244094495E-2</v>
      </c>
      <c r="CP153" s="17">
        <f t="shared" si="429"/>
        <v>1.5748031496062995E-2</v>
      </c>
      <c r="CQ153" s="17">
        <f>$U153-IF('Inputs-Imperial'!$E$13,0,2)*($CO153+$CN153+$CP153)</f>
        <v>2.6291339423999998</v>
      </c>
      <c r="CR153" s="116">
        <f t="shared" si="430"/>
        <v>73.796156115093211</v>
      </c>
      <c r="CS153" s="8">
        <f t="shared" si="324"/>
        <v>1.908021245684576E-3</v>
      </c>
      <c r="CT153" s="8">
        <f t="shared" si="431"/>
        <v>4.3680902528274022E-2</v>
      </c>
      <c r="CU153" s="8">
        <f t="shared" si="325"/>
        <v>1.908021245684576E-3</v>
      </c>
      <c r="CV153" s="8">
        <f t="shared" si="432"/>
        <v>4.3680902528274022E-2</v>
      </c>
      <c r="CW153" s="216">
        <f t="shared" si="433"/>
        <v>2.5854530398717261</v>
      </c>
      <c r="CX153" s="116">
        <f t="shared" si="434"/>
        <v>75.042932851128839</v>
      </c>
      <c r="CY153" s="8">
        <f t="shared" si="435"/>
        <v>1.9402570236195557E-3</v>
      </c>
      <c r="CZ153" s="8">
        <f t="shared" si="436"/>
        <v>4.4048348704798866E-2</v>
      </c>
      <c r="DA153" s="8">
        <f t="shared" si="437"/>
        <v>1.9402570236195557E-3</v>
      </c>
      <c r="DB153" s="8">
        <f t="shared" si="438"/>
        <v>4.4048348704798866E-2</v>
      </c>
      <c r="DC153" s="216">
        <f t="shared" si="439"/>
        <v>2.5850855936952013</v>
      </c>
      <c r="DD153" s="116">
        <f t="shared" si="440"/>
        <v>75.053599514862753</v>
      </c>
      <c r="DE153" s="8">
        <f t="shared" si="441"/>
        <v>1.9405328133367482E-3</v>
      </c>
      <c r="DF153" s="8">
        <f t="shared" si="442"/>
        <v>4.4051479127683653E-2</v>
      </c>
      <c r="DG153" s="8">
        <f t="shared" si="443"/>
        <v>1.9405328133367482E-3</v>
      </c>
      <c r="DH153" s="8">
        <f t="shared" si="444"/>
        <v>4.4051479127683653E-2</v>
      </c>
      <c r="DI153" s="216">
        <f t="shared" si="445"/>
        <v>2.5850824632723159</v>
      </c>
      <c r="DJ153" s="116">
        <f t="shared" si="446"/>
        <v>75.053690401520683</v>
      </c>
      <c r="DK153" s="8">
        <f t="shared" si="447"/>
        <v>1.9405351632379275E-3</v>
      </c>
      <c r="DL153" s="8">
        <f t="shared" si="448"/>
        <v>4.4051505799892102E-2</v>
      </c>
      <c r="DM153" s="8">
        <f t="shared" si="449"/>
        <v>1.9405351632379275E-3</v>
      </c>
      <c r="DN153" s="8">
        <f t="shared" si="450"/>
        <v>4.4051505799892102E-2</v>
      </c>
      <c r="DO153" s="216">
        <f t="shared" si="451"/>
        <v>2.5850824366001075</v>
      </c>
      <c r="DP153" s="116">
        <f t="shared" si="452"/>
        <v>75.053691175905143</v>
      </c>
      <c r="DQ153" s="170">
        <f t="shared" si="453"/>
        <v>1.9405351832598647E-3</v>
      </c>
      <c r="DR153" s="8">
        <f t="shared" si="454"/>
        <v>4.4051506027148093E-2</v>
      </c>
      <c r="DS153" s="8">
        <f t="shared" si="455"/>
        <v>1.9405351832598647E-3</v>
      </c>
      <c r="DT153" s="134">
        <f t="shared" si="456"/>
        <v>4.4051506027148093E-2</v>
      </c>
      <c r="DU153" s="170">
        <f t="shared" si="566"/>
        <v>3.9589056222337476E-3</v>
      </c>
      <c r="DV153" s="170">
        <f t="shared" si="566"/>
        <v>6.2919834887209827E-2</v>
      </c>
      <c r="DW153" s="170">
        <f t="shared" si="566"/>
        <v>3.9589056222337476E-3</v>
      </c>
      <c r="DX153" s="272">
        <f t="shared" si="566"/>
        <v>6.2919834887209827E-2</v>
      </c>
      <c r="DY153" s="272">
        <f t="shared" si="457"/>
        <v>2.5032942726255798</v>
      </c>
      <c r="DZ153" s="22">
        <f t="shared" si="326"/>
        <v>16.626941154162694</v>
      </c>
      <c r="EA153" s="216">
        <f t="shared" si="327"/>
        <v>1.0893279526057393E-3</v>
      </c>
      <c r="EB153" s="12">
        <f t="shared" si="458"/>
        <v>1</v>
      </c>
      <c r="EC153" s="7">
        <f>ROUND(MAX(DV153,DX153)/'Inputs-Imperial'!$E$21,0)</f>
        <v>1</v>
      </c>
      <c r="ED153" s="12">
        <f t="shared" si="459"/>
        <v>1</v>
      </c>
      <c r="EE153" s="2">
        <f t="shared" si="460"/>
        <v>2</v>
      </c>
      <c r="EF153" s="127">
        <f t="shared" si="461"/>
        <v>2</v>
      </c>
      <c r="EG153" s="2">
        <f t="shared" si="462"/>
        <v>1.5748031496062995E-2</v>
      </c>
      <c r="EH153" s="8">
        <f t="shared" si="328"/>
        <v>1.146385164864566E-2</v>
      </c>
      <c r="EI153" s="138">
        <f t="shared" si="463"/>
        <v>0.25</v>
      </c>
      <c r="EJ153" s="12">
        <f t="shared" si="329"/>
        <v>950.22968696039777</v>
      </c>
      <c r="EK153" s="138">
        <f t="shared" si="464"/>
        <v>0.25</v>
      </c>
      <c r="EL153" s="116">
        <f t="shared" si="465"/>
        <v>2175570</v>
      </c>
      <c r="EM153" s="2">
        <f t="shared" si="330"/>
        <v>1.5748031496062995E-2</v>
      </c>
      <c r="EN153" s="8">
        <f t="shared" si="466"/>
        <v>2.6291339423999998</v>
      </c>
      <c r="EO153" s="116">
        <f t="shared" si="467"/>
        <v>2610.6840000000002</v>
      </c>
      <c r="EP153" s="217">
        <f t="shared" si="468"/>
        <v>2.3422290497854164</v>
      </c>
      <c r="EQ153" s="207">
        <f t="shared" si="469"/>
        <v>2</v>
      </c>
      <c r="ER153" s="144">
        <f t="shared" si="470"/>
        <v>97072.765985683567</v>
      </c>
      <c r="ES153" s="138">
        <f t="shared" si="331"/>
        <v>0.25</v>
      </c>
      <c r="ET153" s="116">
        <f t="shared" si="471"/>
        <v>2175570</v>
      </c>
      <c r="EU153" s="2">
        <f t="shared" si="332"/>
        <v>1.5748031496062995E-2</v>
      </c>
      <c r="EV153" s="8">
        <f t="shared" si="472"/>
        <v>2.6291339423999998</v>
      </c>
      <c r="EW153" s="116">
        <f t="shared" si="473"/>
        <v>2610.6840000000002</v>
      </c>
      <c r="EX153" s="217">
        <f t="shared" si="474"/>
        <v>2.3422290497854164</v>
      </c>
      <c r="EY153" s="207">
        <f t="shared" si="475"/>
        <v>2</v>
      </c>
      <c r="EZ153" s="144">
        <f t="shared" si="476"/>
        <v>97072.765985683567</v>
      </c>
      <c r="FA153" s="138">
        <f t="shared" si="333"/>
        <v>0.25</v>
      </c>
      <c r="FB153" s="116">
        <f t="shared" si="477"/>
        <v>2175570</v>
      </c>
      <c r="FC153" s="2">
        <f t="shared" si="334"/>
        <v>1.5748031496062995E-2</v>
      </c>
      <c r="FD153" s="8">
        <f t="shared" si="478"/>
        <v>2.6291339423999998</v>
      </c>
      <c r="FE153" s="116">
        <f t="shared" si="479"/>
        <v>2610.6840000000002</v>
      </c>
      <c r="FF153" s="217">
        <f t="shared" si="480"/>
        <v>2.3422290497854164</v>
      </c>
      <c r="FG153" s="207">
        <f t="shared" si="481"/>
        <v>2</v>
      </c>
      <c r="FH153" s="144">
        <f t="shared" si="482"/>
        <v>97072.765985683567</v>
      </c>
      <c r="FI153" s="128">
        <f t="shared" si="483"/>
        <v>0.25</v>
      </c>
      <c r="FJ153" s="2">
        <f t="shared" si="484"/>
        <v>1.5748031496062995E-2</v>
      </c>
      <c r="FK153" s="127">
        <f t="shared" si="485"/>
        <v>1.5748031496062995E-2</v>
      </c>
      <c r="FL153" s="216">
        <f t="shared" si="486"/>
        <v>0</v>
      </c>
      <c r="FM153" s="138">
        <f t="shared" si="487"/>
        <v>0</v>
      </c>
      <c r="FN153" s="138">
        <f t="shared" si="488"/>
        <v>0</v>
      </c>
      <c r="FO153" s="238">
        <f t="shared" si="489"/>
        <v>0.25</v>
      </c>
      <c r="FP153" s="216">
        <f t="shared" si="335"/>
        <v>0</v>
      </c>
      <c r="FQ153" s="138">
        <f t="shared" si="336"/>
        <v>0</v>
      </c>
      <c r="FR153" s="138">
        <f t="shared" si="337"/>
        <v>0</v>
      </c>
      <c r="FS153" s="238">
        <f t="shared" si="338"/>
        <v>0.25</v>
      </c>
      <c r="FT153" s="216">
        <f t="shared" si="490"/>
        <v>0</v>
      </c>
      <c r="FU153" s="138">
        <f t="shared" si="491"/>
        <v>0</v>
      </c>
      <c r="FV153" s="138">
        <f t="shared" si="492"/>
        <v>0</v>
      </c>
      <c r="FW153" s="238">
        <f t="shared" si="493"/>
        <v>1.5748031496062995E-2</v>
      </c>
      <c r="FX153" s="216">
        <f t="shared" si="339"/>
        <v>0</v>
      </c>
      <c r="FY153" s="138">
        <f t="shared" si="340"/>
        <v>0</v>
      </c>
      <c r="FZ153" s="138">
        <f t="shared" si="341"/>
        <v>0</v>
      </c>
      <c r="GA153" s="238">
        <f t="shared" si="342"/>
        <v>1.5748031496062995E-2</v>
      </c>
      <c r="GB153" s="216">
        <f t="shared" si="494"/>
        <v>0</v>
      </c>
      <c r="GC153" s="138">
        <f t="shared" si="495"/>
        <v>0</v>
      </c>
      <c r="GD153" s="138">
        <f t="shared" si="496"/>
        <v>0</v>
      </c>
      <c r="GE153" s="238">
        <f t="shared" si="497"/>
        <v>1.5748031496062995E-2</v>
      </c>
      <c r="GF153" s="216">
        <f t="shared" si="343"/>
        <v>0</v>
      </c>
      <c r="GG153" s="138">
        <f t="shared" si="344"/>
        <v>0</v>
      </c>
      <c r="GH153" s="138">
        <f t="shared" si="345"/>
        <v>0</v>
      </c>
      <c r="GI153" s="238">
        <f t="shared" si="346"/>
        <v>1.5748031496062995E-2</v>
      </c>
      <c r="GJ153" s="216">
        <f t="shared" si="498"/>
        <v>0.25</v>
      </c>
      <c r="GK153" s="216">
        <f t="shared" si="499"/>
        <v>1.5748031496062995E-2</v>
      </c>
      <c r="GL153" s="17">
        <f t="shared" si="500"/>
        <v>1.5748031496062995E-2</v>
      </c>
      <c r="GM153" s="216">
        <f t="shared" si="347"/>
        <v>4.6256816875138516E-4</v>
      </c>
      <c r="GN153" s="2">
        <f t="shared" si="501"/>
        <v>1</v>
      </c>
      <c r="GO153" s="2">
        <f t="shared" si="502"/>
        <v>2</v>
      </c>
      <c r="GP153" s="142">
        <f t="shared" si="503"/>
        <v>2</v>
      </c>
      <c r="GQ153" s="2">
        <f t="shared" si="504"/>
        <v>1.5748031496062995E-2</v>
      </c>
      <c r="GR153" s="8">
        <f t="shared" si="348"/>
        <v>4.8679673107321969E-3</v>
      </c>
      <c r="GS153" s="138">
        <f t="shared" si="505"/>
        <v>0.25</v>
      </c>
      <c r="GT153" s="12">
        <f t="shared" si="349"/>
        <v>403.50199876818743</v>
      </c>
      <c r="GU153" s="138">
        <f t="shared" si="506"/>
        <v>0.25</v>
      </c>
      <c r="GV153" s="116">
        <f t="shared" si="507"/>
        <v>2175570</v>
      </c>
      <c r="GW153" s="2">
        <f t="shared" si="350"/>
        <v>1.5748031496062995E-2</v>
      </c>
      <c r="GX153" s="8">
        <f t="shared" si="351"/>
        <v>1.3145669711999999</v>
      </c>
      <c r="GY153" s="116">
        <f t="shared" si="508"/>
        <v>2610.6840000000002</v>
      </c>
      <c r="GZ153" s="217">
        <f t="shared" si="509"/>
        <v>9.3689161991416654</v>
      </c>
      <c r="HA153" s="207">
        <f t="shared" si="510"/>
        <v>2</v>
      </c>
      <c r="HB153" s="144">
        <f t="shared" si="511"/>
        <v>388291.06394273427</v>
      </c>
      <c r="HC153" s="138">
        <f t="shared" si="352"/>
        <v>0.25</v>
      </c>
      <c r="HD153" s="116">
        <f t="shared" si="512"/>
        <v>2175570</v>
      </c>
      <c r="HE153" s="2">
        <f t="shared" si="353"/>
        <v>1.5748031496062995E-2</v>
      </c>
      <c r="HF153" s="8">
        <f t="shared" si="513"/>
        <v>1.3145669711999999</v>
      </c>
      <c r="HG153" s="116">
        <f t="shared" si="514"/>
        <v>2610.6840000000002</v>
      </c>
      <c r="HH153" s="217">
        <f t="shared" si="515"/>
        <v>9.3689161991416654</v>
      </c>
      <c r="HI153" s="207">
        <f t="shared" si="516"/>
        <v>2</v>
      </c>
      <c r="HJ153" s="144">
        <f t="shared" si="517"/>
        <v>388291.06394273427</v>
      </c>
      <c r="HK153" s="138">
        <f t="shared" si="354"/>
        <v>0.25</v>
      </c>
      <c r="HL153" s="116">
        <f t="shared" si="518"/>
        <v>2175570</v>
      </c>
      <c r="HM153" s="2">
        <f t="shared" si="355"/>
        <v>1.5748031496062995E-2</v>
      </c>
      <c r="HN153" s="8">
        <f t="shared" si="519"/>
        <v>1.3145669711999999</v>
      </c>
      <c r="HO153" s="116">
        <f t="shared" si="520"/>
        <v>2610.6840000000002</v>
      </c>
      <c r="HP153" s="217">
        <f t="shared" si="521"/>
        <v>9.3689161991416654</v>
      </c>
      <c r="HQ153" s="207">
        <f t="shared" si="522"/>
        <v>2</v>
      </c>
      <c r="HR153" s="144">
        <f t="shared" si="523"/>
        <v>388291.06394273427</v>
      </c>
      <c r="HS153" s="128">
        <f t="shared" si="524"/>
        <v>0.25</v>
      </c>
      <c r="HT153" s="2">
        <f t="shared" si="525"/>
        <v>1.5748031496062995E-2</v>
      </c>
      <c r="HU153" s="127">
        <f t="shared" si="526"/>
        <v>1.5748031496062995E-2</v>
      </c>
      <c r="HV153" s="216">
        <f t="shared" si="527"/>
        <v>0</v>
      </c>
      <c r="HW153" s="138">
        <f t="shared" si="528"/>
        <v>0</v>
      </c>
      <c r="HX153" s="138">
        <f t="shared" si="529"/>
        <v>0</v>
      </c>
      <c r="HY153" s="238">
        <f t="shared" si="530"/>
        <v>0.25</v>
      </c>
      <c r="HZ153" s="138">
        <f t="shared" si="531"/>
        <v>0</v>
      </c>
      <c r="IA153" s="138">
        <f t="shared" si="532"/>
        <v>0</v>
      </c>
      <c r="IB153" s="138">
        <f t="shared" si="533"/>
        <v>0</v>
      </c>
      <c r="IC153" s="138">
        <f t="shared" si="534"/>
        <v>0.25</v>
      </c>
      <c r="ID153" s="216">
        <f t="shared" si="535"/>
        <v>0</v>
      </c>
      <c r="IE153" s="138">
        <f t="shared" si="536"/>
        <v>0</v>
      </c>
      <c r="IF153" s="138">
        <f t="shared" si="537"/>
        <v>0</v>
      </c>
      <c r="IG153" s="238">
        <f t="shared" si="538"/>
        <v>1.5748031496062995E-2</v>
      </c>
      <c r="IH153" s="138">
        <f t="shared" si="539"/>
        <v>0</v>
      </c>
      <c r="II153" s="138">
        <f t="shared" si="540"/>
        <v>0</v>
      </c>
      <c r="IJ153" s="138">
        <f t="shared" si="541"/>
        <v>0</v>
      </c>
      <c r="IK153" s="138">
        <f t="shared" si="542"/>
        <v>1.5748031496062995E-2</v>
      </c>
      <c r="IL153" s="216">
        <f t="shared" si="543"/>
        <v>0</v>
      </c>
      <c r="IM153" s="138">
        <f t="shared" si="544"/>
        <v>0</v>
      </c>
      <c r="IN153" s="138">
        <f t="shared" si="545"/>
        <v>0</v>
      </c>
      <c r="IO153" s="238">
        <f t="shared" si="546"/>
        <v>1.5748031496062995E-2</v>
      </c>
      <c r="IP153" s="138">
        <f t="shared" si="547"/>
        <v>0</v>
      </c>
      <c r="IQ153" s="138">
        <f t="shared" si="548"/>
        <v>0</v>
      </c>
      <c r="IR153" s="138">
        <f t="shared" si="549"/>
        <v>0</v>
      </c>
      <c r="IS153" s="138">
        <f t="shared" si="550"/>
        <v>1.5748031496062995E-2</v>
      </c>
      <c r="IT153" s="17">
        <f t="shared" si="551"/>
        <v>0.25</v>
      </c>
      <c r="IU153" s="17">
        <f t="shared" si="552"/>
        <v>1.5748031496062995E-2</v>
      </c>
      <c r="IV153" s="17">
        <f t="shared" si="553"/>
        <v>1.5748031496062995E-2</v>
      </c>
      <c r="IW153" s="253">
        <f t="shared" si="554"/>
        <v>7.3031498399999997</v>
      </c>
      <c r="IX153" s="116">
        <f t="shared" si="356"/>
        <v>2.6566616201433559</v>
      </c>
      <c r="IY153" s="8">
        <f t="shared" si="357"/>
        <v>6.8688764844644748E-5</v>
      </c>
      <c r="IZ153" s="8">
        <f t="shared" si="555"/>
        <v>6.8688764844644748E-5</v>
      </c>
      <c r="JA153" s="8">
        <f t="shared" si="556"/>
        <v>3.4344382422322374E-5</v>
      </c>
      <c r="JB153" s="134">
        <f t="shared" si="557"/>
        <v>5.8604080423057892E-3</v>
      </c>
      <c r="JC153" s="170">
        <f t="shared" si="567"/>
        <v>6.9595306634633145E-5</v>
      </c>
      <c r="JD153" s="272">
        <f t="shared" si="568"/>
        <v>8.3423801540467545E-3</v>
      </c>
      <c r="JE153" s="8"/>
      <c r="JF153" s="8"/>
    </row>
    <row r="154" spans="1:266" x14ac:dyDescent="0.25">
      <c r="A154" s="186">
        <v>94</v>
      </c>
      <c r="B154" s="187">
        <f>A154/100*'Inputs-Imperial'!$E$5</f>
        <v>9.2519688000000002</v>
      </c>
      <c r="C154" s="188">
        <f>'Inputs-Imperial'!$E$10+('Inputs-Imperial'!$E$9-'Inputs-Imperial'!$E$10)*(100-A154)/100</f>
        <v>1.2073491199999999</v>
      </c>
      <c r="D154" s="187">
        <f t="shared" si="558"/>
        <v>9.8425199999999435E-2</v>
      </c>
      <c r="E154" s="188">
        <f t="shared" si="559"/>
        <v>0.11931795460557533</v>
      </c>
      <c r="F154" s="423">
        <f>Loads!P114</f>
        <v>3.6500256004101281</v>
      </c>
      <c r="G154" s="423">
        <f>Loads!M114</f>
        <v>36.500256004101274</v>
      </c>
      <c r="H154" s="423">
        <f>Loads!N114</f>
        <v>11.865727561347086</v>
      </c>
      <c r="I154" s="423">
        <f>Loads!V114</f>
        <v>-16.154832006045154</v>
      </c>
      <c r="J154" s="423">
        <f>Loads!Q114</f>
        <v>1.1865727561347088</v>
      </c>
      <c r="K154" s="2">
        <v>94</v>
      </c>
      <c r="L154" s="12">
        <f t="shared" si="358"/>
        <v>111.0236256</v>
      </c>
      <c r="M154" s="11">
        <f t="shared" si="359"/>
        <v>14.488189439999999</v>
      </c>
      <c r="N154" s="11">
        <f t="shared" si="360"/>
        <v>1.1811023999999932</v>
      </c>
      <c r="O154" s="152">
        <f t="shared" si="361"/>
        <v>17.18178546320285</v>
      </c>
      <c r="P154" s="151">
        <f t="shared" si="362"/>
        <v>3.6500256004101281</v>
      </c>
      <c r="Q154" s="12">
        <f t="shared" si="363"/>
        <v>36.500256004101274</v>
      </c>
      <c r="R154" s="12">
        <f t="shared" si="364"/>
        <v>142.38873073616503</v>
      </c>
      <c r="S154" s="12">
        <f t="shared" si="365"/>
        <v>-193.85798407254185</v>
      </c>
      <c r="T154" s="152">
        <f t="shared" si="366"/>
        <v>14.238873073616507</v>
      </c>
      <c r="U154" s="8">
        <f t="shared" si="313"/>
        <v>2.6078740991999996</v>
      </c>
      <c r="V154" s="8">
        <f t="shared" si="314"/>
        <v>2.6078740991999996</v>
      </c>
      <c r="W154" s="134">
        <f t="shared" si="315"/>
        <v>1.3039370495999998</v>
      </c>
      <c r="X154" s="311">
        <f t="shared" si="316"/>
        <v>3.6220473599999998</v>
      </c>
      <c r="Y154" s="11">
        <f t="shared" si="317"/>
        <v>10.866142079999999</v>
      </c>
      <c r="Z154" s="11">
        <f t="shared" si="318"/>
        <v>7.2440947199999997</v>
      </c>
      <c r="AA154" s="316">
        <f t="shared" si="367"/>
        <v>10.866142079999999</v>
      </c>
      <c r="AB154" s="170">
        <f t="shared" si="368"/>
        <v>1.9559055743999996</v>
      </c>
      <c r="AC154" s="11">
        <f t="shared" si="369"/>
        <v>10.866142079999999</v>
      </c>
      <c r="AD154" s="152">
        <f t="shared" si="370"/>
        <v>16.692183300759101</v>
      </c>
      <c r="AE154" s="151">
        <f t="shared" si="319"/>
        <v>0.33590814233216137</v>
      </c>
      <c r="AF154" s="12">
        <f t="shared" si="320"/>
        <v>5.8068492473278157</v>
      </c>
      <c r="AG154" s="216">
        <f t="shared" si="321"/>
        <v>4.0244788675136505E-4</v>
      </c>
      <c r="AH154" s="2">
        <f t="shared" si="371"/>
        <v>1</v>
      </c>
      <c r="AI154" s="2">
        <f t="shared" si="372"/>
        <v>3</v>
      </c>
      <c r="AJ154" s="127">
        <f t="shared" si="373"/>
        <v>2</v>
      </c>
      <c r="AK154" s="2">
        <f t="shared" si="374"/>
        <v>1.5748031496062995E-2</v>
      </c>
      <c r="AL154" s="8">
        <f t="shared" si="322"/>
        <v>4.2352744726623206E-3</v>
      </c>
      <c r="AM154" s="138">
        <f t="shared" si="375"/>
        <v>0.25</v>
      </c>
      <c r="AN154" s="12">
        <f t="shared" si="323"/>
        <v>351.05858481906756</v>
      </c>
      <c r="AO154" s="138">
        <f t="shared" si="376"/>
        <v>0.25</v>
      </c>
      <c r="AP154" s="116">
        <f t="shared" si="377"/>
        <v>2175570</v>
      </c>
      <c r="AQ154" s="2">
        <f t="shared" si="378"/>
        <v>1.5748031496062995E-2</v>
      </c>
      <c r="AR154" s="8">
        <f t="shared" si="379"/>
        <v>7.2440947199999997</v>
      </c>
      <c r="AS154" s="116">
        <f t="shared" si="380"/>
        <v>2610.6840000000002</v>
      </c>
      <c r="AT154" s="217">
        <f t="shared" si="381"/>
        <v>0.30852229016969129</v>
      </c>
      <c r="AU154" s="207">
        <f t="shared" si="382"/>
        <v>2.5653332424244555</v>
      </c>
      <c r="AV154" s="144">
        <f t="shared" si="383"/>
        <v>16400.926458101214</v>
      </c>
      <c r="AW154" s="138">
        <f t="shared" si="384"/>
        <v>0.25</v>
      </c>
      <c r="AX154" s="116">
        <f t="shared" si="385"/>
        <v>2175570</v>
      </c>
      <c r="AY154" s="2">
        <f t="shared" si="386"/>
        <v>1.5748031496062995E-2</v>
      </c>
      <c r="AZ154" s="8">
        <f t="shared" si="387"/>
        <v>7.2440947199999997</v>
      </c>
      <c r="BA154" s="116">
        <f t="shared" si="388"/>
        <v>2610.6840000000002</v>
      </c>
      <c r="BB154" s="217">
        <f t="shared" si="389"/>
        <v>0.30852229016969129</v>
      </c>
      <c r="BC154" s="207">
        <f t="shared" si="390"/>
        <v>2.5653332424244555</v>
      </c>
      <c r="BD154" s="144">
        <f t="shared" si="391"/>
        <v>16400.926458101214</v>
      </c>
      <c r="BE154" s="138">
        <f t="shared" si="392"/>
        <v>0.25</v>
      </c>
      <c r="BF154" s="116">
        <f t="shared" si="393"/>
        <v>2175570</v>
      </c>
      <c r="BG154" s="2">
        <f t="shared" si="394"/>
        <v>1.5748031496062995E-2</v>
      </c>
      <c r="BH154" s="8">
        <f t="shared" si="395"/>
        <v>7.2440947199999997</v>
      </c>
      <c r="BI154" s="116">
        <f t="shared" si="396"/>
        <v>2610.6840000000002</v>
      </c>
      <c r="BJ154" s="217">
        <f t="shared" si="397"/>
        <v>0.30852229016969129</v>
      </c>
      <c r="BK154" s="207">
        <f t="shared" si="398"/>
        <v>2.5653332424244555</v>
      </c>
      <c r="BL154" s="144">
        <f t="shared" si="399"/>
        <v>16400.926458101214</v>
      </c>
      <c r="BM154" s="216">
        <f t="shared" si="400"/>
        <v>0.25</v>
      </c>
      <c r="BN154" s="216">
        <f t="shared" si="401"/>
        <v>2.3622047244094495E-2</v>
      </c>
      <c r="BO154" s="238">
        <f t="shared" si="402"/>
        <v>1.5748031496062995E-2</v>
      </c>
      <c r="BP154" s="216">
        <f t="shared" si="403"/>
        <v>0</v>
      </c>
      <c r="BQ154" s="138">
        <f t="shared" si="404"/>
        <v>0</v>
      </c>
      <c r="BR154" s="138">
        <f t="shared" si="405"/>
        <v>0</v>
      </c>
      <c r="BS154" s="238">
        <f t="shared" si="406"/>
        <v>0.25</v>
      </c>
      <c r="BT154" s="138">
        <f t="shared" si="407"/>
        <v>0</v>
      </c>
      <c r="BU154" s="138">
        <f t="shared" si="408"/>
        <v>0</v>
      </c>
      <c r="BV154" s="138">
        <f t="shared" si="409"/>
        <v>0</v>
      </c>
      <c r="BW154" s="238">
        <f t="shared" si="410"/>
        <v>0.25</v>
      </c>
      <c r="BX154" s="216">
        <f t="shared" si="411"/>
        <v>0</v>
      </c>
      <c r="BY154" s="138">
        <f t="shared" si="412"/>
        <v>0</v>
      </c>
      <c r="BZ154" s="138">
        <f t="shared" si="413"/>
        <v>0</v>
      </c>
      <c r="CA154" s="238">
        <f t="shared" si="414"/>
        <v>2.3622047244094495E-2</v>
      </c>
      <c r="CB154" s="138">
        <f t="shared" si="415"/>
        <v>0</v>
      </c>
      <c r="CC154" s="138">
        <f t="shared" si="416"/>
        <v>0</v>
      </c>
      <c r="CD154" s="138">
        <f t="shared" si="417"/>
        <v>0</v>
      </c>
      <c r="CE154" s="238">
        <f t="shared" si="418"/>
        <v>2.3622047244094495E-2</v>
      </c>
      <c r="CF154" s="216">
        <f t="shared" si="419"/>
        <v>0</v>
      </c>
      <c r="CG154" s="138">
        <f t="shared" si="420"/>
        <v>0</v>
      </c>
      <c r="CH154" s="138">
        <f t="shared" si="421"/>
        <v>0</v>
      </c>
      <c r="CI154" s="238">
        <f t="shared" si="422"/>
        <v>1.5748031496062995E-2</v>
      </c>
      <c r="CJ154" s="138">
        <f t="shared" si="423"/>
        <v>0</v>
      </c>
      <c r="CK154" s="138">
        <f t="shared" si="424"/>
        <v>0</v>
      </c>
      <c r="CL154" s="138">
        <f t="shared" si="425"/>
        <v>0</v>
      </c>
      <c r="CM154" s="238">
        <f t="shared" si="426"/>
        <v>1.5748031496062995E-2</v>
      </c>
      <c r="CN154" s="17">
        <f t="shared" si="427"/>
        <v>0.25</v>
      </c>
      <c r="CO154" s="17">
        <f t="shared" si="428"/>
        <v>2.3622047244094495E-2</v>
      </c>
      <c r="CP154" s="17">
        <f t="shared" si="429"/>
        <v>1.5748031496062995E-2</v>
      </c>
      <c r="CQ154" s="17">
        <f>$U154-IF('Inputs-Imperial'!$E$13,0,2)*($CO154+$CN154+$CP154)</f>
        <v>2.6078740991999996</v>
      </c>
      <c r="CR154" s="116">
        <f t="shared" si="430"/>
        <v>54.599541741621913</v>
      </c>
      <c r="CS154" s="8">
        <f t="shared" si="324"/>
        <v>1.4116871546152191E-3</v>
      </c>
      <c r="CT154" s="8">
        <f t="shared" si="431"/>
        <v>3.7572425455581371E-2</v>
      </c>
      <c r="CU154" s="8">
        <f t="shared" si="325"/>
        <v>1.4116871546152191E-3</v>
      </c>
      <c r="CV154" s="8">
        <f t="shared" si="432"/>
        <v>3.7572425455581371E-2</v>
      </c>
      <c r="CW154" s="216">
        <f t="shared" si="433"/>
        <v>2.5703016737444182</v>
      </c>
      <c r="CX154" s="116">
        <f t="shared" si="434"/>
        <v>55.397672650904425</v>
      </c>
      <c r="CY154" s="8">
        <f t="shared" si="435"/>
        <v>1.4323230632033782E-3</v>
      </c>
      <c r="CZ154" s="8">
        <f t="shared" si="436"/>
        <v>3.7846044221336771E-2</v>
      </c>
      <c r="DA154" s="8">
        <f t="shared" si="437"/>
        <v>1.4323230632033782E-3</v>
      </c>
      <c r="DB154" s="8">
        <f t="shared" si="438"/>
        <v>3.7846044221336771E-2</v>
      </c>
      <c r="DC154" s="216">
        <f t="shared" si="439"/>
        <v>2.5700280549786627</v>
      </c>
      <c r="DD154" s="116">
        <f t="shared" si="440"/>
        <v>55.403570579834465</v>
      </c>
      <c r="DE154" s="8">
        <f t="shared" si="441"/>
        <v>1.4324755558845215E-3</v>
      </c>
      <c r="DF154" s="8">
        <f t="shared" si="442"/>
        <v>3.7848058812632937E-2</v>
      </c>
      <c r="DG154" s="8">
        <f t="shared" si="443"/>
        <v>1.4324755558845215E-3</v>
      </c>
      <c r="DH154" s="8">
        <f t="shared" si="444"/>
        <v>3.7848058812632937E-2</v>
      </c>
      <c r="DI154" s="216">
        <f t="shared" si="445"/>
        <v>2.5700260403873663</v>
      </c>
      <c r="DJ154" s="116">
        <f t="shared" si="446"/>
        <v>55.403614009569935</v>
      </c>
      <c r="DK154" s="8">
        <f t="shared" si="447"/>
        <v>1.4324766787730612E-3</v>
      </c>
      <c r="DL154" s="8">
        <f t="shared" si="448"/>
        <v>3.7848073646792928E-2</v>
      </c>
      <c r="DM154" s="8">
        <f t="shared" si="449"/>
        <v>1.4324766787730612E-3</v>
      </c>
      <c r="DN154" s="8">
        <f t="shared" si="450"/>
        <v>3.7848073646792928E-2</v>
      </c>
      <c r="DO154" s="216">
        <f t="shared" si="451"/>
        <v>2.5700260255532066</v>
      </c>
      <c r="DP154" s="116">
        <f t="shared" si="452"/>
        <v>55.403614329358938</v>
      </c>
      <c r="DQ154" s="170">
        <f t="shared" si="453"/>
        <v>1.4324766870412995E-3</v>
      </c>
      <c r="DR154" s="8">
        <f t="shared" si="454"/>
        <v>3.7848073756022241E-2</v>
      </c>
      <c r="DS154" s="8">
        <f t="shared" si="455"/>
        <v>1.4324766870412995E-3</v>
      </c>
      <c r="DT154" s="134">
        <f t="shared" si="456"/>
        <v>3.7848073756022241E-2</v>
      </c>
      <c r="DU154" s="170">
        <f t="shared" si="566"/>
        <v>3.9589056222337476E-3</v>
      </c>
      <c r="DV154" s="170">
        <f t="shared" si="566"/>
        <v>6.2919834887209827E-2</v>
      </c>
      <c r="DW154" s="170">
        <f t="shared" si="566"/>
        <v>3.9589056222337476E-3</v>
      </c>
      <c r="DX154" s="272">
        <f t="shared" si="566"/>
        <v>6.2919834887209827E-2</v>
      </c>
      <c r="DY154" s="272">
        <f t="shared" si="457"/>
        <v>2.4820344294255796</v>
      </c>
      <c r="DZ154" s="22">
        <f t="shared" si="326"/>
        <v>13.996172597173391</v>
      </c>
      <c r="EA154" s="216">
        <f t="shared" si="327"/>
        <v>9.1697095083411503E-4</v>
      </c>
      <c r="EB154" s="12">
        <f t="shared" si="458"/>
        <v>1</v>
      </c>
      <c r="EC154" s="7">
        <f>ROUND(MAX(DV154,DX154)/'Inputs-Imperial'!$E$21,0)</f>
        <v>1</v>
      </c>
      <c r="ED154" s="12">
        <f t="shared" si="459"/>
        <v>1</v>
      </c>
      <c r="EE154" s="2">
        <f t="shared" si="460"/>
        <v>2</v>
      </c>
      <c r="EF154" s="127">
        <f t="shared" si="461"/>
        <v>2</v>
      </c>
      <c r="EG154" s="2">
        <f t="shared" si="462"/>
        <v>1.5748031496062995E-2</v>
      </c>
      <c r="EH154" s="8">
        <f t="shared" si="328"/>
        <v>9.650003859108228E-3</v>
      </c>
      <c r="EI154" s="138">
        <f t="shared" si="463"/>
        <v>0.25</v>
      </c>
      <c r="EJ154" s="12">
        <f t="shared" si="329"/>
        <v>799.88126392845913</v>
      </c>
      <c r="EK154" s="138">
        <f t="shared" si="464"/>
        <v>0.25</v>
      </c>
      <c r="EL154" s="116">
        <f t="shared" si="465"/>
        <v>2175570</v>
      </c>
      <c r="EM154" s="2">
        <f t="shared" si="330"/>
        <v>1.5748031496062995E-2</v>
      </c>
      <c r="EN154" s="8">
        <f t="shared" si="466"/>
        <v>2.6078740991999996</v>
      </c>
      <c r="EO154" s="116">
        <f t="shared" si="467"/>
        <v>2610.6840000000002</v>
      </c>
      <c r="EP154" s="217">
        <f t="shared" si="468"/>
        <v>2.3805732266179889</v>
      </c>
      <c r="EQ154" s="207">
        <f t="shared" si="469"/>
        <v>2</v>
      </c>
      <c r="ER154" s="144">
        <f t="shared" si="470"/>
        <v>98661.925382764312</v>
      </c>
      <c r="ES154" s="138">
        <f t="shared" si="331"/>
        <v>0.25</v>
      </c>
      <c r="ET154" s="116">
        <f t="shared" si="471"/>
        <v>2175570</v>
      </c>
      <c r="EU154" s="2">
        <f t="shared" si="332"/>
        <v>1.5748031496062995E-2</v>
      </c>
      <c r="EV154" s="8">
        <f t="shared" si="472"/>
        <v>2.6078740991999996</v>
      </c>
      <c r="EW154" s="116">
        <f t="shared" si="473"/>
        <v>2610.6840000000002</v>
      </c>
      <c r="EX154" s="217">
        <f t="shared" si="474"/>
        <v>2.3805732266179889</v>
      </c>
      <c r="EY154" s="207">
        <f t="shared" si="475"/>
        <v>2</v>
      </c>
      <c r="EZ154" s="144">
        <f t="shared" si="476"/>
        <v>98661.925382764312</v>
      </c>
      <c r="FA154" s="138">
        <f t="shared" si="333"/>
        <v>0.25</v>
      </c>
      <c r="FB154" s="116">
        <f t="shared" si="477"/>
        <v>2175570</v>
      </c>
      <c r="FC154" s="2">
        <f t="shared" si="334"/>
        <v>1.5748031496062995E-2</v>
      </c>
      <c r="FD154" s="8">
        <f t="shared" si="478"/>
        <v>2.6078740991999996</v>
      </c>
      <c r="FE154" s="116">
        <f t="shared" si="479"/>
        <v>2610.6840000000002</v>
      </c>
      <c r="FF154" s="217">
        <f t="shared" si="480"/>
        <v>2.3805732266179889</v>
      </c>
      <c r="FG154" s="207">
        <f t="shared" si="481"/>
        <v>2</v>
      </c>
      <c r="FH154" s="144">
        <f t="shared" si="482"/>
        <v>98661.925382764312</v>
      </c>
      <c r="FI154" s="128">
        <f t="shared" si="483"/>
        <v>0.25</v>
      </c>
      <c r="FJ154" s="2">
        <f t="shared" si="484"/>
        <v>1.5748031496062995E-2</v>
      </c>
      <c r="FK154" s="127">
        <f t="shared" si="485"/>
        <v>1.5748031496062995E-2</v>
      </c>
      <c r="FL154" s="216">
        <f t="shared" si="486"/>
        <v>0</v>
      </c>
      <c r="FM154" s="138">
        <f t="shared" si="487"/>
        <v>0</v>
      </c>
      <c r="FN154" s="138">
        <f t="shared" si="488"/>
        <v>0</v>
      </c>
      <c r="FO154" s="238">
        <f t="shared" si="489"/>
        <v>0.25</v>
      </c>
      <c r="FP154" s="216">
        <f t="shared" si="335"/>
        <v>0</v>
      </c>
      <c r="FQ154" s="138">
        <f t="shared" si="336"/>
        <v>0</v>
      </c>
      <c r="FR154" s="138">
        <f t="shared" si="337"/>
        <v>0</v>
      </c>
      <c r="FS154" s="238">
        <f t="shared" si="338"/>
        <v>0.25</v>
      </c>
      <c r="FT154" s="216">
        <f t="shared" si="490"/>
        <v>0</v>
      </c>
      <c r="FU154" s="138">
        <f t="shared" si="491"/>
        <v>0</v>
      </c>
      <c r="FV154" s="138">
        <f t="shared" si="492"/>
        <v>0</v>
      </c>
      <c r="FW154" s="238">
        <f t="shared" si="493"/>
        <v>1.5748031496062995E-2</v>
      </c>
      <c r="FX154" s="216">
        <f t="shared" si="339"/>
        <v>0</v>
      </c>
      <c r="FY154" s="138">
        <f t="shared" si="340"/>
        <v>0</v>
      </c>
      <c r="FZ154" s="138">
        <f t="shared" si="341"/>
        <v>0</v>
      </c>
      <c r="GA154" s="238">
        <f t="shared" si="342"/>
        <v>1.5748031496062995E-2</v>
      </c>
      <c r="GB154" s="216">
        <f t="shared" si="494"/>
        <v>0</v>
      </c>
      <c r="GC154" s="138">
        <f t="shared" si="495"/>
        <v>0</v>
      </c>
      <c r="GD154" s="138">
        <f t="shared" si="496"/>
        <v>0</v>
      </c>
      <c r="GE154" s="238">
        <f t="shared" si="497"/>
        <v>1.5748031496062995E-2</v>
      </c>
      <c r="GF154" s="216">
        <f t="shared" si="343"/>
        <v>0</v>
      </c>
      <c r="GG154" s="138">
        <f t="shared" si="344"/>
        <v>0</v>
      </c>
      <c r="GH154" s="138">
        <f t="shared" si="345"/>
        <v>0</v>
      </c>
      <c r="GI154" s="238">
        <f t="shared" si="346"/>
        <v>1.5748031496062995E-2</v>
      </c>
      <c r="GJ154" s="216">
        <f t="shared" si="498"/>
        <v>0.25</v>
      </c>
      <c r="GK154" s="216">
        <f t="shared" si="499"/>
        <v>1.5748031496062995E-2</v>
      </c>
      <c r="GL154" s="17">
        <f t="shared" si="500"/>
        <v>1.5748031496062995E-2</v>
      </c>
      <c r="GM154" s="216">
        <f t="shared" si="347"/>
        <v>3.8044058393134627E-4</v>
      </c>
      <c r="GN154" s="2">
        <f t="shared" si="501"/>
        <v>1</v>
      </c>
      <c r="GO154" s="2">
        <f t="shared" si="502"/>
        <v>2</v>
      </c>
      <c r="GP154" s="142">
        <f t="shared" si="503"/>
        <v>2</v>
      </c>
      <c r="GQ154" s="2">
        <f t="shared" si="504"/>
        <v>1.5748031496062995E-2</v>
      </c>
      <c r="GR154" s="8">
        <f t="shared" si="348"/>
        <v>4.0036743800437235E-3</v>
      </c>
      <c r="GS154" s="138">
        <f t="shared" si="505"/>
        <v>0.25</v>
      </c>
      <c r="GT154" s="12">
        <f t="shared" si="349"/>
        <v>331.86143448478458</v>
      </c>
      <c r="GU154" s="138">
        <f t="shared" si="506"/>
        <v>0.25</v>
      </c>
      <c r="GV154" s="116">
        <f t="shared" si="507"/>
        <v>2175570</v>
      </c>
      <c r="GW154" s="2">
        <f t="shared" si="350"/>
        <v>1.5748031496062995E-2</v>
      </c>
      <c r="GX154" s="8">
        <f t="shared" si="351"/>
        <v>1.3039370495999998</v>
      </c>
      <c r="GY154" s="116">
        <f t="shared" si="508"/>
        <v>2610.6840000000002</v>
      </c>
      <c r="GZ154" s="217">
        <f t="shared" si="509"/>
        <v>9.5222929064719555</v>
      </c>
      <c r="HA154" s="207">
        <f t="shared" si="510"/>
        <v>2</v>
      </c>
      <c r="HB154" s="144">
        <f t="shared" si="511"/>
        <v>394647.70153105725</v>
      </c>
      <c r="HC154" s="138">
        <f t="shared" si="352"/>
        <v>0.25</v>
      </c>
      <c r="HD154" s="116">
        <f t="shared" si="512"/>
        <v>2175570</v>
      </c>
      <c r="HE154" s="2">
        <f t="shared" si="353"/>
        <v>1.5748031496062995E-2</v>
      </c>
      <c r="HF154" s="8">
        <f t="shared" si="513"/>
        <v>1.3039370495999998</v>
      </c>
      <c r="HG154" s="116">
        <f t="shared" si="514"/>
        <v>2610.6840000000002</v>
      </c>
      <c r="HH154" s="217">
        <f t="shared" si="515"/>
        <v>9.5222929064719555</v>
      </c>
      <c r="HI154" s="207">
        <f t="shared" si="516"/>
        <v>2</v>
      </c>
      <c r="HJ154" s="144">
        <f t="shared" si="517"/>
        <v>394647.70153105725</v>
      </c>
      <c r="HK154" s="138">
        <f t="shared" si="354"/>
        <v>0.25</v>
      </c>
      <c r="HL154" s="116">
        <f t="shared" si="518"/>
        <v>2175570</v>
      </c>
      <c r="HM154" s="2">
        <f t="shared" si="355"/>
        <v>1.5748031496062995E-2</v>
      </c>
      <c r="HN154" s="8">
        <f t="shared" si="519"/>
        <v>1.3039370495999998</v>
      </c>
      <c r="HO154" s="116">
        <f t="shared" si="520"/>
        <v>2610.6840000000002</v>
      </c>
      <c r="HP154" s="217">
        <f t="shared" si="521"/>
        <v>9.5222929064719555</v>
      </c>
      <c r="HQ154" s="207">
        <f t="shared" si="522"/>
        <v>2</v>
      </c>
      <c r="HR154" s="144">
        <f t="shared" si="523"/>
        <v>394647.70153105725</v>
      </c>
      <c r="HS154" s="128">
        <f t="shared" si="524"/>
        <v>0.25</v>
      </c>
      <c r="HT154" s="2">
        <f t="shared" si="525"/>
        <v>1.5748031496062995E-2</v>
      </c>
      <c r="HU154" s="127">
        <f t="shared" si="526"/>
        <v>1.5748031496062995E-2</v>
      </c>
      <c r="HV154" s="216">
        <f t="shared" si="527"/>
        <v>0</v>
      </c>
      <c r="HW154" s="138">
        <f t="shared" si="528"/>
        <v>0</v>
      </c>
      <c r="HX154" s="138">
        <f t="shared" si="529"/>
        <v>0</v>
      </c>
      <c r="HY154" s="238">
        <f t="shared" si="530"/>
        <v>0.25</v>
      </c>
      <c r="HZ154" s="138">
        <f t="shared" si="531"/>
        <v>0</v>
      </c>
      <c r="IA154" s="138">
        <f t="shared" si="532"/>
        <v>0</v>
      </c>
      <c r="IB154" s="138">
        <f t="shared" si="533"/>
        <v>0</v>
      </c>
      <c r="IC154" s="138">
        <f t="shared" si="534"/>
        <v>0.25</v>
      </c>
      <c r="ID154" s="216">
        <f t="shared" si="535"/>
        <v>0</v>
      </c>
      <c r="IE154" s="138">
        <f t="shared" si="536"/>
        <v>0</v>
      </c>
      <c r="IF154" s="138">
        <f t="shared" si="537"/>
        <v>0</v>
      </c>
      <c r="IG154" s="238">
        <f t="shared" si="538"/>
        <v>1.5748031496062995E-2</v>
      </c>
      <c r="IH154" s="138">
        <f t="shared" si="539"/>
        <v>0</v>
      </c>
      <c r="II154" s="138">
        <f t="shared" si="540"/>
        <v>0</v>
      </c>
      <c r="IJ154" s="138">
        <f t="shared" si="541"/>
        <v>0</v>
      </c>
      <c r="IK154" s="138">
        <f t="shared" si="542"/>
        <v>1.5748031496062995E-2</v>
      </c>
      <c r="IL154" s="216">
        <f t="shared" si="543"/>
        <v>0</v>
      </c>
      <c r="IM154" s="138">
        <f t="shared" si="544"/>
        <v>0</v>
      </c>
      <c r="IN154" s="138">
        <f t="shared" si="545"/>
        <v>0</v>
      </c>
      <c r="IO154" s="238">
        <f t="shared" si="546"/>
        <v>1.5748031496062995E-2</v>
      </c>
      <c r="IP154" s="138">
        <f t="shared" si="547"/>
        <v>0</v>
      </c>
      <c r="IQ154" s="138">
        <f t="shared" si="548"/>
        <v>0</v>
      </c>
      <c r="IR154" s="138">
        <f t="shared" si="549"/>
        <v>0</v>
      </c>
      <c r="IS154" s="138">
        <f t="shared" si="550"/>
        <v>1.5748031496062995E-2</v>
      </c>
      <c r="IT154" s="17">
        <f t="shared" si="551"/>
        <v>0.25</v>
      </c>
      <c r="IU154" s="17">
        <f t="shared" si="552"/>
        <v>1.5748031496062995E-2</v>
      </c>
      <c r="IV154" s="17">
        <f t="shared" si="553"/>
        <v>1.5748031496062995E-2</v>
      </c>
      <c r="IW154" s="253">
        <f t="shared" si="554"/>
        <v>7.2440947199999997</v>
      </c>
      <c r="IX154" s="116">
        <f t="shared" si="356"/>
        <v>1.9655835026983892</v>
      </c>
      <c r="IY154" s="8">
        <f t="shared" si="357"/>
        <v>5.0820737566147898E-5</v>
      </c>
      <c r="IZ154" s="8">
        <f t="shared" si="555"/>
        <v>5.0820737566147898E-5</v>
      </c>
      <c r="JA154" s="8">
        <f t="shared" si="556"/>
        <v>2.5410368783073949E-5</v>
      </c>
      <c r="JB154" s="134">
        <f t="shared" si="557"/>
        <v>5.0408698438934082E-3</v>
      </c>
      <c r="JC154" s="170">
        <f t="shared" si="567"/>
        <v>6.9595306634633145E-5</v>
      </c>
      <c r="JD154" s="272">
        <f t="shared" si="568"/>
        <v>8.3423801540467545E-3</v>
      </c>
      <c r="JE154" s="8"/>
      <c r="JF154" s="8"/>
    </row>
    <row r="155" spans="1:266" x14ac:dyDescent="0.25">
      <c r="A155" s="186">
        <v>95</v>
      </c>
      <c r="B155" s="187">
        <f>A155/100*'Inputs-Imperial'!$E$5</f>
        <v>9.3503939999999997</v>
      </c>
      <c r="C155" s="188">
        <f>'Inputs-Imperial'!$E$10+('Inputs-Imperial'!$E$9-'Inputs-Imperial'!$E$10)*(100-A155)/100</f>
        <v>1.1975065999999999</v>
      </c>
      <c r="D155" s="187">
        <f t="shared" si="558"/>
        <v>9.8425199999999435E-2</v>
      </c>
      <c r="E155" s="188">
        <f t="shared" si="559"/>
        <v>0.1183492026060713</v>
      </c>
      <c r="F155" s="423">
        <f>Loads!P115</f>
        <v>2.9535852726511846</v>
      </c>
      <c r="G155" s="423">
        <f>Loads!M115</f>
        <v>29.535852726511841</v>
      </c>
      <c r="H155" s="423">
        <f>Loads!N115</f>
        <v>8.2731825640922381</v>
      </c>
      <c r="I155" s="423">
        <f>Loads!V115</f>
        <v>-12.612292049519903</v>
      </c>
      <c r="J155" s="423">
        <f>Loads!Q115</f>
        <v>0.82731825640922396</v>
      </c>
      <c r="K155" s="2">
        <v>95</v>
      </c>
      <c r="L155" s="12">
        <f t="shared" si="358"/>
        <v>112.20472799999999</v>
      </c>
      <c r="M155" s="11">
        <f t="shared" si="359"/>
        <v>14.370079199999999</v>
      </c>
      <c r="N155" s="11">
        <f t="shared" si="360"/>
        <v>1.1811023999999932</v>
      </c>
      <c r="O155" s="152">
        <f t="shared" si="361"/>
        <v>17.042285175274269</v>
      </c>
      <c r="P155" s="151">
        <f t="shared" si="362"/>
        <v>2.9535852726511846</v>
      </c>
      <c r="Q155" s="12">
        <f t="shared" si="363"/>
        <v>29.535852726511841</v>
      </c>
      <c r="R155" s="12">
        <f t="shared" si="364"/>
        <v>99.278190769106857</v>
      </c>
      <c r="S155" s="12">
        <f t="shared" si="365"/>
        <v>-151.34750459423884</v>
      </c>
      <c r="T155" s="152">
        <f t="shared" si="366"/>
        <v>9.9278190769106871</v>
      </c>
      <c r="U155" s="8">
        <f t="shared" si="313"/>
        <v>2.5866142559999998</v>
      </c>
      <c r="V155" s="8">
        <f t="shared" si="314"/>
        <v>2.5866142559999998</v>
      </c>
      <c r="W155" s="134">
        <f t="shared" si="315"/>
        <v>1.2933071279999999</v>
      </c>
      <c r="X155" s="311">
        <f t="shared" si="316"/>
        <v>3.5925197999999998</v>
      </c>
      <c r="Y155" s="11">
        <f t="shared" si="317"/>
        <v>10.777559399999999</v>
      </c>
      <c r="Z155" s="11">
        <f t="shared" si="318"/>
        <v>7.1850395999999996</v>
      </c>
      <c r="AA155" s="316">
        <f t="shared" si="367"/>
        <v>10.777559399999999</v>
      </c>
      <c r="AB155" s="170">
        <f t="shared" si="368"/>
        <v>1.9399606919999999</v>
      </c>
      <c r="AC155" s="11">
        <f t="shared" si="369"/>
        <v>10.777559399999999</v>
      </c>
      <c r="AD155" s="152">
        <f t="shared" si="370"/>
        <v>16.421137466354793</v>
      </c>
      <c r="AE155" s="151">
        <f t="shared" si="319"/>
        <v>0.2740495471220678</v>
      </c>
      <c r="AF155" s="12">
        <f t="shared" si="320"/>
        <v>4.6083136720685207</v>
      </c>
      <c r="AG155" s="216">
        <f t="shared" si="321"/>
        <v>3.1987210877371276E-4</v>
      </c>
      <c r="AH155" s="2">
        <f t="shared" si="371"/>
        <v>1</v>
      </c>
      <c r="AI155" s="2">
        <f t="shared" si="372"/>
        <v>3</v>
      </c>
      <c r="AJ155" s="127">
        <f t="shared" si="373"/>
        <v>2</v>
      </c>
      <c r="AK155" s="2">
        <f t="shared" si="374"/>
        <v>1.5748031496062995E-2</v>
      </c>
      <c r="AL155" s="8">
        <f t="shared" si="322"/>
        <v>3.3662648541696572E-3</v>
      </c>
      <c r="AM155" s="138">
        <f t="shared" si="375"/>
        <v>0.25</v>
      </c>
      <c r="AN155" s="12">
        <f t="shared" si="323"/>
        <v>279.02705797674201</v>
      </c>
      <c r="AO155" s="138">
        <f t="shared" si="376"/>
        <v>0.25</v>
      </c>
      <c r="AP155" s="116">
        <f t="shared" si="377"/>
        <v>2175570</v>
      </c>
      <c r="AQ155" s="2">
        <f t="shared" si="378"/>
        <v>1.5748031496062995E-2</v>
      </c>
      <c r="AR155" s="8">
        <f t="shared" si="379"/>
        <v>7.1850395999999996</v>
      </c>
      <c r="AS155" s="116">
        <f t="shared" si="380"/>
        <v>2610.6840000000002</v>
      </c>
      <c r="AT155" s="217">
        <f t="shared" si="381"/>
        <v>0.31361473164901693</v>
      </c>
      <c r="AU155" s="207">
        <f t="shared" si="382"/>
        <v>2.5423152063633241</v>
      </c>
      <c r="AV155" s="144">
        <f t="shared" si="383"/>
        <v>16522.048620898451</v>
      </c>
      <c r="AW155" s="138">
        <f t="shared" si="384"/>
        <v>0.25</v>
      </c>
      <c r="AX155" s="116">
        <f t="shared" si="385"/>
        <v>2175570</v>
      </c>
      <c r="AY155" s="2">
        <f t="shared" si="386"/>
        <v>1.5748031496062995E-2</v>
      </c>
      <c r="AZ155" s="8">
        <f t="shared" si="387"/>
        <v>7.1850395999999996</v>
      </c>
      <c r="BA155" s="116">
        <f t="shared" si="388"/>
        <v>2610.6840000000002</v>
      </c>
      <c r="BB155" s="217">
        <f t="shared" si="389"/>
        <v>0.31361473164901693</v>
      </c>
      <c r="BC155" s="207">
        <f t="shared" si="390"/>
        <v>2.5423152063633241</v>
      </c>
      <c r="BD155" s="144">
        <f t="shared" si="391"/>
        <v>16522.048620898451</v>
      </c>
      <c r="BE155" s="138">
        <f t="shared" si="392"/>
        <v>0.25</v>
      </c>
      <c r="BF155" s="116">
        <f t="shared" si="393"/>
        <v>2175570</v>
      </c>
      <c r="BG155" s="2">
        <f t="shared" si="394"/>
        <v>1.5748031496062995E-2</v>
      </c>
      <c r="BH155" s="8">
        <f t="shared" si="395"/>
        <v>7.1850395999999996</v>
      </c>
      <c r="BI155" s="116">
        <f t="shared" si="396"/>
        <v>2610.6840000000002</v>
      </c>
      <c r="BJ155" s="217">
        <f t="shared" si="397"/>
        <v>0.31361473164901693</v>
      </c>
      <c r="BK155" s="207">
        <f t="shared" si="398"/>
        <v>2.5423152063633241</v>
      </c>
      <c r="BL155" s="144">
        <f t="shared" si="399"/>
        <v>16522.048620898451</v>
      </c>
      <c r="BM155" s="216">
        <f t="shared" si="400"/>
        <v>0.25</v>
      </c>
      <c r="BN155" s="216">
        <f t="shared" si="401"/>
        <v>2.3622047244094495E-2</v>
      </c>
      <c r="BO155" s="238">
        <f t="shared" si="402"/>
        <v>1.5748031496062995E-2</v>
      </c>
      <c r="BP155" s="216">
        <f t="shared" si="403"/>
        <v>0</v>
      </c>
      <c r="BQ155" s="138">
        <f t="shared" si="404"/>
        <v>0</v>
      </c>
      <c r="BR155" s="138">
        <f t="shared" si="405"/>
        <v>0</v>
      </c>
      <c r="BS155" s="238">
        <f t="shared" si="406"/>
        <v>0.25</v>
      </c>
      <c r="BT155" s="138">
        <f t="shared" si="407"/>
        <v>0</v>
      </c>
      <c r="BU155" s="138">
        <f t="shared" si="408"/>
        <v>0</v>
      </c>
      <c r="BV155" s="138">
        <f t="shared" si="409"/>
        <v>0</v>
      </c>
      <c r="BW155" s="238">
        <f t="shared" si="410"/>
        <v>0.25</v>
      </c>
      <c r="BX155" s="216">
        <f t="shared" si="411"/>
        <v>0</v>
      </c>
      <c r="BY155" s="138">
        <f t="shared" si="412"/>
        <v>0</v>
      </c>
      <c r="BZ155" s="138">
        <f t="shared" si="413"/>
        <v>0</v>
      </c>
      <c r="CA155" s="238">
        <f t="shared" si="414"/>
        <v>2.3622047244094495E-2</v>
      </c>
      <c r="CB155" s="138">
        <f t="shared" si="415"/>
        <v>0</v>
      </c>
      <c r="CC155" s="138">
        <f t="shared" si="416"/>
        <v>0</v>
      </c>
      <c r="CD155" s="138">
        <f t="shared" si="417"/>
        <v>0</v>
      </c>
      <c r="CE155" s="238">
        <f t="shared" si="418"/>
        <v>2.3622047244094495E-2</v>
      </c>
      <c r="CF155" s="216">
        <f t="shared" si="419"/>
        <v>0</v>
      </c>
      <c r="CG155" s="138">
        <f t="shared" si="420"/>
        <v>0</v>
      </c>
      <c r="CH155" s="138">
        <f t="shared" si="421"/>
        <v>0</v>
      </c>
      <c r="CI155" s="238">
        <f t="shared" si="422"/>
        <v>1.5748031496062995E-2</v>
      </c>
      <c r="CJ155" s="138">
        <f t="shared" si="423"/>
        <v>0</v>
      </c>
      <c r="CK155" s="138">
        <f t="shared" si="424"/>
        <v>0</v>
      </c>
      <c r="CL155" s="138">
        <f t="shared" si="425"/>
        <v>0</v>
      </c>
      <c r="CM155" s="238">
        <f t="shared" si="426"/>
        <v>1.5748031496062995E-2</v>
      </c>
      <c r="CN155" s="17">
        <f t="shared" si="427"/>
        <v>0.25</v>
      </c>
      <c r="CO155" s="17">
        <f t="shared" si="428"/>
        <v>2.3622047244094495E-2</v>
      </c>
      <c r="CP155" s="17">
        <f t="shared" si="429"/>
        <v>1.5748031496062995E-2</v>
      </c>
      <c r="CQ155" s="17">
        <f>$U155-IF('Inputs-Imperial'!$E$13,0,2)*($CO155+$CN155+$CP155)</f>
        <v>2.5866142559999998</v>
      </c>
      <c r="CR155" s="116">
        <f t="shared" si="430"/>
        <v>38.381521534885898</v>
      </c>
      <c r="CS155" s="8">
        <f t="shared" si="324"/>
        <v>9.9236548873965513E-4</v>
      </c>
      <c r="CT155" s="8">
        <f t="shared" si="431"/>
        <v>3.1501833101260236E-2</v>
      </c>
      <c r="CU155" s="8">
        <f t="shared" si="325"/>
        <v>9.9236548873965513E-4</v>
      </c>
      <c r="CV155" s="8">
        <f t="shared" si="432"/>
        <v>3.1501833101260236E-2</v>
      </c>
      <c r="CW155" s="216">
        <f t="shared" si="433"/>
        <v>2.5551124228987394</v>
      </c>
      <c r="CX155" s="116">
        <f t="shared" si="434"/>
        <v>38.854725091304253</v>
      </c>
      <c r="CY155" s="8">
        <f t="shared" si="435"/>
        <v>1.0046003053847332E-3</v>
      </c>
      <c r="CZ155" s="8">
        <f t="shared" si="436"/>
        <v>3.1695430354938124E-2</v>
      </c>
      <c r="DA155" s="8">
        <f t="shared" si="437"/>
        <v>1.0046003053847332E-3</v>
      </c>
      <c r="DB155" s="8">
        <f t="shared" si="438"/>
        <v>3.1695430354938124E-2</v>
      </c>
      <c r="DC155" s="216">
        <f t="shared" si="439"/>
        <v>2.5549188256450615</v>
      </c>
      <c r="DD155" s="116">
        <f t="shared" si="440"/>
        <v>38.857669281935515</v>
      </c>
      <c r="DE155" s="8">
        <f t="shared" si="441"/>
        <v>1.0046764282964338E-3</v>
      </c>
      <c r="DF155" s="8">
        <f t="shared" si="442"/>
        <v>3.1696631182137225E-2</v>
      </c>
      <c r="DG155" s="8">
        <f t="shared" si="443"/>
        <v>1.0046764282964338E-3</v>
      </c>
      <c r="DH155" s="8">
        <f t="shared" si="444"/>
        <v>3.1696631182137225E-2</v>
      </c>
      <c r="DI155" s="216">
        <f t="shared" si="445"/>
        <v>2.5549176248178629</v>
      </c>
      <c r="DJ155" s="116">
        <f t="shared" si="446"/>
        <v>38.857687545282126</v>
      </c>
      <c r="DK155" s="8">
        <f t="shared" si="447"/>
        <v>1.0046769005006134E-3</v>
      </c>
      <c r="DL155" s="8">
        <f t="shared" si="448"/>
        <v>3.1696638630943401E-2</v>
      </c>
      <c r="DM155" s="8">
        <f t="shared" si="449"/>
        <v>1.0046769005006134E-3</v>
      </c>
      <c r="DN155" s="8">
        <f t="shared" si="450"/>
        <v>3.1696638630943401E-2</v>
      </c>
      <c r="DO155" s="216">
        <f t="shared" si="451"/>
        <v>2.5549176173690569</v>
      </c>
      <c r="DP155" s="116">
        <f t="shared" si="452"/>
        <v>38.857687658570853</v>
      </c>
      <c r="DQ155" s="170">
        <f t="shared" si="453"/>
        <v>1.0046769034297266E-3</v>
      </c>
      <c r="DR155" s="8">
        <f t="shared" si="454"/>
        <v>3.1696638677148822E-2</v>
      </c>
      <c r="DS155" s="8">
        <f t="shared" si="455"/>
        <v>1.0046769034297266E-3</v>
      </c>
      <c r="DT155" s="134">
        <f t="shared" si="456"/>
        <v>3.1696638677148822E-2</v>
      </c>
      <c r="DU155" s="170">
        <f t="shared" si="566"/>
        <v>3.9589056222337476E-3</v>
      </c>
      <c r="DV155" s="170">
        <f t="shared" si="566"/>
        <v>6.2919834887209827E-2</v>
      </c>
      <c r="DW155" s="170">
        <f t="shared" si="566"/>
        <v>3.9589056222337476E-3</v>
      </c>
      <c r="DX155" s="272">
        <f t="shared" si="566"/>
        <v>6.2919834887209827E-2</v>
      </c>
      <c r="DY155" s="272">
        <f t="shared" si="457"/>
        <v>2.4607745862255799</v>
      </c>
      <c r="DZ155" s="22">
        <f t="shared" si="326"/>
        <v>11.418731130086156</v>
      </c>
      <c r="EA155" s="216">
        <f t="shared" si="327"/>
        <v>7.4810771794774945E-4</v>
      </c>
      <c r="EB155" s="12">
        <f t="shared" si="458"/>
        <v>1</v>
      </c>
      <c r="EC155" s="7">
        <f>ROUND(MAX(DV155,DX155)/'Inputs-Imperial'!$E$21,0)</f>
        <v>1</v>
      </c>
      <c r="ED155" s="12">
        <f t="shared" si="459"/>
        <v>1</v>
      </c>
      <c r="EE155" s="2">
        <f t="shared" si="460"/>
        <v>2</v>
      </c>
      <c r="EF155" s="127">
        <f t="shared" si="461"/>
        <v>2</v>
      </c>
      <c r="EG155" s="2">
        <f t="shared" si="462"/>
        <v>1.5748031496062995E-2</v>
      </c>
      <c r="EH155" s="8">
        <f t="shared" si="328"/>
        <v>7.8729237372868865E-3</v>
      </c>
      <c r="EI155" s="138">
        <f t="shared" si="463"/>
        <v>0.25</v>
      </c>
      <c r="EJ155" s="12">
        <f t="shared" si="329"/>
        <v>652.58048408442369</v>
      </c>
      <c r="EK155" s="138">
        <f t="shared" si="464"/>
        <v>0.25</v>
      </c>
      <c r="EL155" s="116">
        <f t="shared" si="465"/>
        <v>2175570</v>
      </c>
      <c r="EM155" s="2">
        <f t="shared" si="330"/>
        <v>1.5748031496062995E-2</v>
      </c>
      <c r="EN155" s="8">
        <f t="shared" si="466"/>
        <v>2.5866142559999998</v>
      </c>
      <c r="EO155" s="116">
        <f t="shared" si="467"/>
        <v>2610.6840000000002</v>
      </c>
      <c r="EP155" s="217">
        <f t="shared" si="468"/>
        <v>2.4198667565510563</v>
      </c>
      <c r="EQ155" s="207">
        <f t="shared" si="469"/>
        <v>2</v>
      </c>
      <c r="ER155" s="144">
        <f t="shared" si="470"/>
        <v>100290.4303474233</v>
      </c>
      <c r="ES155" s="138">
        <f t="shared" si="331"/>
        <v>0.25</v>
      </c>
      <c r="ET155" s="116">
        <f t="shared" si="471"/>
        <v>2175570</v>
      </c>
      <c r="EU155" s="2">
        <f t="shared" si="332"/>
        <v>1.5748031496062995E-2</v>
      </c>
      <c r="EV155" s="8">
        <f t="shared" si="472"/>
        <v>2.5866142559999998</v>
      </c>
      <c r="EW155" s="116">
        <f t="shared" si="473"/>
        <v>2610.6840000000002</v>
      </c>
      <c r="EX155" s="217">
        <f t="shared" si="474"/>
        <v>2.4198667565510563</v>
      </c>
      <c r="EY155" s="207">
        <f t="shared" si="475"/>
        <v>2</v>
      </c>
      <c r="EZ155" s="144">
        <f t="shared" si="476"/>
        <v>100290.4303474233</v>
      </c>
      <c r="FA155" s="138">
        <f t="shared" si="333"/>
        <v>0.25</v>
      </c>
      <c r="FB155" s="116">
        <f t="shared" si="477"/>
        <v>2175570</v>
      </c>
      <c r="FC155" s="2">
        <f t="shared" si="334"/>
        <v>1.5748031496062995E-2</v>
      </c>
      <c r="FD155" s="8">
        <f t="shared" si="478"/>
        <v>2.5866142559999998</v>
      </c>
      <c r="FE155" s="116">
        <f t="shared" si="479"/>
        <v>2610.6840000000002</v>
      </c>
      <c r="FF155" s="217">
        <f t="shared" si="480"/>
        <v>2.4198667565510563</v>
      </c>
      <c r="FG155" s="207">
        <f t="shared" si="481"/>
        <v>2</v>
      </c>
      <c r="FH155" s="144">
        <f t="shared" si="482"/>
        <v>100290.4303474233</v>
      </c>
      <c r="FI155" s="128">
        <f t="shared" si="483"/>
        <v>0.25</v>
      </c>
      <c r="FJ155" s="2">
        <f t="shared" si="484"/>
        <v>1.5748031496062995E-2</v>
      </c>
      <c r="FK155" s="127">
        <f t="shared" si="485"/>
        <v>1.5748031496062995E-2</v>
      </c>
      <c r="FL155" s="216">
        <f t="shared" si="486"/>
        <v>0</v>
      </c>
      <c r="FM155" s="138">
        <f t="shared" si="487"/>
        <v>0</v>
      </c>
      <c r="FN155" s="138">
        <f t="shared" si="488"/>
        <v>0</v>
      </c>
      <c r="FO155" s="238">
        <f t="shared" si="489"/>
        <v>0.25</v>
      </c>
      <c r="FP155" s="216">
        <f t="shared" si="335"/>
        <v>0</v>
      </c>
      <c r="FQ155" s="138">
        <f t="shared" si="336"/>
        <v>0</v>
      </c>
      <c r="FR155" s="138">
        <f t="shared" si="337"/>
        <v>0</v>
      </c>
      <c r="FS155" s="238">
        <f t="shared" si="338"/>
        <v>0.25</v>
      </c>
      <c r="FT155" s="216">
        <f t="shared" si="490"/>
        <v>0</v>
      </c>
      <c r="FU155" s="138">
        <f t="shared" si="491"/>
        <v>0</v>
      </c>
      <c r="FV155" s="138">
        <f t="shared" si="492"/>
        <v>0</v>
      </c>
      <c r="FW155" s="238">
        <f t="shared" si="493"/>
        <v>1.5748031496062995E-2</v>
      </c>
      <c r="FX155" s="216">
        <f t="shared" si="339"/>
        <v>0</v>
      </c>
      <c r="FY155" s="138">
        <f t="shared" si="340"/>
        <v>0</v>
      </c>
      <c r="FZ155" s="138">
        <f t="shared" si="341"/>
        <v>0</v>
      </c>
      <c r="GA155" s="238">
        <f t="shared" si="342"/>
        <v>1.5748031496062995E-2</v>
      </c>
      <c r="GB155" s="216">
        <f t="shared" si="494"/>
        <v>0</v>
      </c>
      <c r="GC155" s="138">
        <f t="shared" si="495"/>
        <v>0</v>
      </c>
      <c r="GD155" s="138">
        <f t="shared" si="496"/>
        <v>0</v>
      </c>
      <c r="GE155" s="238">
        <f t="shared" si="497"/>
        <v>1.5748031496062995E-2</v>
      </c>
      <c r="GF155" s="216">
        <f t="shared" si="343"/>
        <v>0</v>
      </c>
      <c r="GG155" s="138">
        <f t="shared" si="344"/>
        <v>0</v>
      </c>
      <c r="GH155" s="138">
        <f t="shared" si="345"/>
        <v>0</v>
      </c>
      <c r="GI155" s="238">
        <f t="shared" si="346"/>
        <v>1.5748031496062995E-2</v>
      </c>
      <c r="GJ155" s="216">
        <f t="shared" si="498"/>
        <v>0.25</v>
      </c>
      <c r="GK155" s="216">
        <f t="shared" si="499"/>
        <v>1.5748031496062995E-2</v>
      </c>
      <c r="GL155" s="17">
        <f t="shared" si="500"/>
        <v>1.5748031496062995E-2</v>
      </c>
      <c r="GM155" s="216">
        <f t="shared" si="347"/>
        <v>3.0191752354296675E-4</v>
      </c>
      <c r="GN155" s="2">
        <f t="shared" si="501"/>
        <v>1</v>
      </c>
      <c r="GO155" s="2">
        <f t="shared" si="502"/>
        <v>2</v>
      </c>
      <c r="GP155" s="142">
        <f t="shared" si="503"/>
        <v>2</v>
      </c>
      <c r="GQ155" s="2">
        <f t="shared" si="504"/>
        <v>1.5748031496062995E-2</v>
      </c>
      <c r="GR155" s="8">
        <f t="shared" si="348"/>
        <v>3.1773146844747721E-3</v>
      </c>
      <c r="GS155" s="138">
        <f t="shared" si="505"/>
        <v>0.25</v>
      </c>
      <c r="GT155" s="12">
        <f t="shared" si="349"/>
        <v>263.36512635871588</v>
      </c>
      <c r="GU155" s="138">
        <f t="shared" si="506"/>
        <v>0.25</v>
      </c>
      <c r="GV155" s="116">
        <f t="shared" si="507"/>
        <v>2175570</v>
      </c>
      <c r="GW155" s="2">
        <f t="shared" si="350"/>
        <v>1.5748031496062995E-2</v>
      </c>
      <c r="GX155" s="8">
        <f t="shared" si="351"/>
        <v>1.2933071279999999</v>
      </c>
      <c r="GY155" s="116">
        <f t="shared" si="508"/>
        <v>2610.6840000000002</v>
      </c>
      <c r="GZ155" s="217">
        <f t="shared" si="509"/>
        <v>9.6794670262042253</v>
      </c>
      <c r="HA155" s="207">
        <f t="shared" si="510"/>
        <v>2</v>
      </c>
      <c r="HB155" s="144">
        <f t="shared" si="511"/>
        <v>401161.72138969321</v>
      </c>
      <c r="HC155" s="138">
        <f t="shared" si="352"/>
        <v>0.25</v>
      </c>
      <c r="HD155" s="116">
        <f t="shared" si="512"/>
        <v>2175570</v>
      </c>
      <c r="HE155" s="2">
        <f t="shared" si="353"/>
        <v>1.5748031496062995E-2</v>
      </c>
      <c r="HF155" s="8">
        <f t="shared" si="513"/>
        <v>1.2933071279999999</v>
      </c>
      <c r="HG155" s="116">
        <f t="shared" si="514"/>
        <v>2610.6840000000002</v>
      </c>
      <c r="HH155" s="217">
        <f t="shared" si="515"/>
        <v>9.6794670262042253</v>
      </c>
      <c r="HI155" s="207">
        <f t="shared" si="516"/>
        <v>2</v>
      </c>
      <c r="HJ155" s="144">
        <f t="shared" si="517"/>
        <v>401161.72138969321</v>
      </c>
      <c r="HK155" s="138">
        <f t="shared" si="354"/>
        <v>0.25</v>
      </c>
      <c r="HL155" s="116">
        <f t="shared" si="518"/>
        <v>2175570</v>
      </c>
      <c r="HM155" s="2">
        <f t="shared" si="355"/>
        <v>1.5748031496062995E-2</v>
      </c>
      <c r="HN155" s="8">
        <f t="shared" si="519"/>
        <v>1.2933071279999999</v>
      </c>
      <c r="HO155" s="116">
        <f t="shared" si="520"/>
        <v>2610.6840000000002</v>
      </c>
      <c r="HP155" s="217">
        <f t="shared" si="521"/>
        <v>9.6794670262042253</v>
      </c>
      <c r="HQ155" s="207">
        <f t="shared" si="522"/>
        <v>2</v>
      </c>
      <c r="HR155" s="144">
        <f t="shared" si="523"/>
        <v>401161.72138969321</v>
      </c>
      <c r="HS155" s="128">
        <f t="shared" si="524"/>
        <v>0.25</v>
      </c>
      <c r="HT155" s="2">
        <f t="shared" si="525"/>
        <v>1.5748031496062995E-2</v>
      </c>
      <c r="HU155" s="127">
        <f t="shared" si="526"/>
        <v>1.5748031496062995E-2</v>
      </c>
      <c r="HV155" s="216">
        <f t="shared" si="527"/>
        <v>0</v>
      </c>
      <c r="HW155" s="138">
        <f t="shared" si="528"/>
        <v>0</v>
      </c>
      <c r="HX155" s="138">
        <f t="shared" si="529"/>
        <v>0</v>
      </c>
      <c r="HY155" s="238">
        <f t="shared" si="530"/>
        <v>0.25</v>
      </c>
      <c r="HZ155" s="138">
        <f t="shared" si="531"/>
        <v>0</v>
      </c>
      <c r="IA155" s="138">
        <f t="shared" si="532"/>
        <v>0</v>
      </c>
      <c r="IB155" s="138">
        <f t="shared" si="533"/>
        <v>0</v>
      </c>
      <c r="IC155" s="138">
        <f t="shared" si="534"/>
        <v>0.25</v>
      </c>
      <c r="ID155" s="216">
        <f t="shared" si="535"/>
        <v>0</v>
      </c>
      <c r="IE155" s="138">
        <f t="shared" si="536"/>
        <v>0</v>
      </c>
      <c r="IF155" s="138">
        <f t="shared" si="537"/>
        <v>0</v>
      </c>
      <c r="IG155" s="238">
        <f t="shared" si="538"/>
        <v>1.5748031496062995E-2</v>
      </c>
      <c r="IH155" s="138">
        <f t="shared" si="539"/>
        <v>0</v>
      </c>
      <c r="II155" s="138">
        <f t="shared" si="540"/>
        <v>0</v>
      </c>
      <c r="IJ155" s="138">
        <f t="shared" si="541"/>
        <v>0</v>
      </c>
      <c r="IK155" s="138">
        <f t="shared" si="542"/>
        <v>1.5748031496062995E-2</v>
      </c>
      <c r="IL155" s="216">
        <f t="shared" si="543"/>
        <v>0</v>
      </c>
      <c r="IM155" s="138">
        <f t="shared" si="544"/>
        <v>0</v>
      </c>
      <c r="IN155" s="138">
        <f t="shared" si="545"/>
        <v>0</v>
      </c>
      <c r="IO155" s="238">
        <f t="shared" si="546"/>
        <v>1.5748031496062995E-2</v>
      </c>
      <c r="IP155" s="138">
        <f t="shared" si="547"/>
        <v>0</v>
      </c>
      <c r="IQ155" s="138">
        <f t="shared" si="548"/>
        <v>0</v>
      </c>
      <c r="IR155" s="138">
        <f t="shared" si="549"/>
        <v>0</v>
      </c>
      <c r="IS155" s="138">
        <f t="shared" si="550"/>
        <v>1.5748031496062995E-2</v>
      </c>
      <c r="IT155" s="17">
        <f t="shared" si="551"/>
        <v>0.25</v>
      </c>
      <c r="IU155" s="17">
        <f t="shared" si="552"/>
        <v>1.5748031496062995E-2</v>
      </c>
      <c r="IV155" s="17">
        <f t="shared" si="553"/>
        <v>1.5748031496062995E-2</v>
      </c>
      <c r="IW155" s="253">
        <f t="shared" si="554"/>
        <v>7.1850395999999996</v>
      </c>
      <c r="IX155" s="116">
        <f t="shared" si="356"/>
        <v>1.3817347752558924</v>
      </c>
      <c r="IY155" s="8">
        <f t="shared" si="357"/>
        <v>3.5725157594627589E-5</v>
      </c>
      <c r="IZ155" s="8">
        <f t="shared" si="555"/>
        <v>3.5725157594627589E-5</v>
      </c>
      <c r="JA155" s="8">
        <f t="shared" si="556"/>
        <v>1.7862578797313794E-5</v>
      </c>
      <c r="JB155" s="134">
        <f t="shared" si="557"/>
        <v>4.2264144138162542E-3</v>
      </c>
      <c r="JC155" s="170">
        <f t="shared" si="567"/>
        <v>6.9595306634633145E-5</v>
      </c>
      <c r="JD155" s="272">
        <f t="shared" si="568"/>
        <v>8.3423801540467545E-3</v>
      </c>
      <c r="JE155" s="8"/>
      <c r="JF155" s="8"/>
    </row>
    <row r="156" spans="1:266" x14ac:dyDescent="0.25">
      <c r="A156" s="186">
        <v>96</v>
      </c>
      <c r="B156" s="187">
        <f>A156/100*'Inputs-Imperial'!$E$5</f>
        <v>9.4488192000000009</v>
      </c>
      <c r="C156" s="188">
        <f>'Inputs-Imperial'!$E$10+('Inputs-Imperial'!$E$9-'Inputs-Imperial'!$E$10)*(100-A156)/100</f>
        <v>1.18766408</v>
      </c>
      <c r="D156" s="187">
        <f t="shared" si="558"/>
        <v>9.8425200000001212E-2</v>
      </c>
      <c r="E156" s="188">
        <f t="shared" si="559"/>
        <v>0.11738045060656944</v>
      </c>
      <c r="F156" s="423">
        <f>Loads!P116</f>
        <v>2.2843876600386448</v>
      </c>
      <c r="G156" s="423">
        <f>Loads!M116</f>
        <v>22.843876600386444</v>
      </c>
      <c r="H156" s="423">
        <f>Loads!N116</f>
        <v>5.3661103523147293</v>
      </c>
      <c r="I156" s="423">
        <f>Loads!V116</f>
        <v>-9.3503987829026656</v>
      </c>
      <c r="J156" s="423">
        <f>Loads!Q116</f>
        <v>0.53661103523147302</v>
      </c>
      <c r="K156" s="2">
        <v>96</v>
      </c>
      <c r="L156" s="12">
        <f t="shared" si="358"/>
        <v>113.3858304</v>
      </c>
      <c r="M156" s="11">
        <f t="shared" si="359"/>
        <v>14.251968959999999</v>
      </c>
      <c r="N156" s="11">
        <f t="shared" si="360"/>
        <v>1.1811024000000145</v>
      </c>
      <c r="O156" s="152">
        <f t="shared" si="361"/>
        <v>16.902784887346002</v>
      </c>
      <c r="P156" s="151">
        <f t="shared" si="362"/>
        <v>2.2843876600386448</v>
      </c>
      <c r="Q156" s="12">
        <f t="shared" si="363"/>
        <v>22.843876600386444</v>
      </c>
      <c r="R156" s="12">
        <f t="shared" si="364"/>
        <v>64.393324227776759</v>
      </c>
      <c r="S156" s="12">
        <f t="shared" si="365"/>
        <v>-112.20478539483199</v>
      </c>
      <c r="T156" s="152">
        <f t="shared" si="366"/>
        <v>6.4393324227776763</v>
      </c>
      <c r="U156" s="8">
        <f t="shared" si="313"/>
        <v>2.5653544127999997</v>
      </c>
      <c r="V156" s="8">
        <f t="shared" si="314"/>
        <v>2.5653544127999997</v>
      </c>
      <c r="W156" s="134">
        <f t="shared" si="315"/>
        <v>1.2826772063999998</v>
      </c>
      <c r="X156" s="311">
        <f t="shared" si="316"/>
        <v>3.5629922399999998</v>
      </c>
      <c r="Y156" s="11">
        <f t="shared" si="317"/>
        <v>10.688976719999999</v>
      </c>
      <c r="Z156" s="11">
        <f t="shared" ref="Z156:Z160" si="569">Y156-X156</f>
        <v>7.1259844799999996</v>
      </c>
      <c r="AA156" s="316">
        <f t="shared" si="367"/>
        <v>10.688976719999999</v>
      </c>
      <c r="AB156" s="170">
        <f t="shared" si="368"/>
        <v>1.9240158095999997</v>
      </c>
      <c r="AC156" s="11">
        <f t="shared" si="369"/>
        <v>10.688976719999999</v>
      </c>
      <c r="AD156" s="152">
        <f t="shared" si="370"/>
        <v>16.152310288166618</v>
      </c>
      <c r="AE156" s="151">
        <f t="shared" si="319"/>
        <v>0.21371434515002338</v>
      </c>
      <c r="AF156" s="12">
        <f t="shared" si="320"/>
        <v>3.4733354979267146</v>
      </c>
      <c r="AG156" s="216">
        <f t="shared" ref="AG156:AG160" si="570">((AE156+AF156)/$E$46)</f>
        <v>2.4156015345664194E-4</v>
      </c>
      <c r="AH156" s="2">
        <f t="shared" si="371"/>
        <v>1</v>
      </c>
      <c r="AI156" s="2">
        <f t="shared" si="372"/>
        <v>3</v>
      </c>
      <c r="AJ156" s="127">
        <f t="shared" si="373"/>
        <v>2</v>
      </c>
      <c r="AK156" s="2">
        <f t="shared" si="374"/>
        <v>1.5748031496062995E-2</v>
      </c>
      <c r="AL156" s="8">
        <f t="shared" si="322"/>
        <v>2.542126782689183E-3</v>
      </c>
      <c r="AM156" s="138">
        <f t="shared" si="375"/>
        <v>0.25</v>
      </c>
      <c r="AN156" s="12">
        <f t="shared" si="323"/>
        <v>210.71489853183553</v>
      </c>
      <c r="AO156" s="138">
        <f t="shared" si="376"/>
        <v>0.25</v>
      </c>
      <c r="AP156" s="116">
        <f t="shared" si="377"/>
        <v>2175570</v>
      </c>
      <c r="AQ156" s="2">
        <f t="shared" si="378"/>
        <v>1.5748031496062995E-2</v>
      </c>
      <c r="AR156" s="8">
        <f t="shared" si="379"/>
        <v>7.1259844799999996</v>
      </c>
      <c r="AS156" s="116">
        <f t="shared" si="380"/>
        <v>2610.6840000000002</v>
      </c>
      <c r="AT156" s="217">
        <f t="shared" si="381"/>
        <v>0.31883430469109819</v>
      </c>
      <c r="AU156" s="207">
        <f t="shared" si="382"/>
        <v>2.5185922847934421</v>
      </c>
      <c r="AV156" s="144">
        <f t="shared" si="383"/>
        <v>16640.292548927519</v>
      </c>
      <c r="AW156" s="138">
        <f t="shared" si="384"/>
        <v>0.25</v>
      </c>
      <c r="AX156" s="116">
        <f t="shared" si="385"/>
        <v>2175570</v>
      </c>
      <c r="AY156" s="2">
        <f t="shared" si="386"/>
        <v>1.5748031496062995E-2</v>
      </c>
      <c r="AZ156" s="8">
        <f t="shared" si="387"/>
        <v>7.1259844799999996</v>
      </c>
      <c r="BA156" s="116">
        <f t="shared" si="388"/>
        <v>2610.6840000000002</v>
      </c>
      <c r="BB156" s="217">
        <f t="shared" si="389"/>
        <v>0.31883430469109819</v>
      </c>
      <c r="BC156" s="207">
        <f t="shared" si="390"/>
        <v>2.5185922847934421</v>
      </c>
      <c r="BD156" s="144">
        <f t="shared" si="391"/>
        <v>16640.292548927519</v>
      </c>
      <c r="BE156" s="138">
        <f t="shared" si="392"/>
        <v>0.25</v>
      </c>
      <c r="BF156" s="116">
        <f t="shared" si="393"/>
        <v>2175570</v>
      </c>
      <c r="BG156" s="2">
        <f t="shared" si="394"/>
        <v>1.5748031496062995E-2</v>
      </c>
      <c r="BH156" s="8">
        <f t="shared" si="395"/>
        <v>7.1259844799999996</v>
      </c>
      <c r="BI156" s="116">
        <f t="shared" si="396"/>
        <v>2610.6840000000002</v>
      </c>
      <c r="BJ156" s="217">
        <f t="shared" si="397"/>
        <v>0.31883430469109819</v>
      </c>
      <c r="BK156" s="207">
        <f t="shared" si="398"/>
        <v>2.5185922847934421</v>
      </c>
      <c r="BL156" s="144">
        <f t="shared" si="399"/>
        <v>16640.292548927519</v>
      </c>
      <c r="BM156" s="216">
        <f t="shared" si="400"/>
        <v>0.25</v>
      </c>
      <c r="BN156" s="216">
        <f t="shared" si="401"/>
        <v>2.3622047244094495E-2</v>
      </c>
      <c r="BO156" s="238">
        <f t="shared" si="402"/>
        <v>1.5748031496062995E-2</v>
      </c>
      <c r="BP156" s="216">
        <f t="shared" si="403"/>
        <v>0</v>
      </c>
      <c r="BQ156" s="138">
        <f t="shared" si="404"/>
        <v>0</v>
      </c>
      <c r="BR156" s="138">
        <f t="shared" si="405"/>
        <v>0</v>
      </c>
      <c r="BS156" s="238">
        <f t="shared" si="406"/>
        <v>0.25</v>
      </c>
      <c r="BT156" s="138">
        <f t="shared" si="407"/>
        <v>0</v>
      </c>
      <c r="BU156" s="138">
        <f t="shared" si="408"/>
        <v>0</v>
      </c>
      <c r="BV156" s="138">
        <f t="shared" si="409"/>
        <v>0</v>
      </c>
      <c r="BW156" s="238">
        <f t="shared" si="410"/>
        <v>0.25</v>
      </c>
      <c r="BX156" s="216">
        <f t="shared" si="411"/>
        <v>0</v>
      </c>
      <c r="BY156" s="138">
        <f t="shared" si="412"/>
        <v>0</v>
      </c>
      <c r="BZ156" s="138">
        <f t="shared" si="413"/>
        <v>0</v>
      </c>
      <c r="CA156" s="238">
        <f t="shared" si="414"/>
        <v>2.3622047244094495E-2</v>
      </c>
      <c r="CB156" s="138">
        <f t="shared" si="415"/>
        <v>0</v>
      </c>
      <c r="CC156" s="138">
        <f t="shared" si="416"/>
        <v>0</v>
      </c>
      <c r="CD156" s="138">
        <f t="shared" si="417"/>
        <v>0</v>
      </c>
      <c r="CE156" s="238">
        <f t="shared" si="418"/>
        <v>2.3622047244094495E-2</v>
      </c>
      <c r="CF156" s="216">
        <f t="shared" si="419"/>
        <v>0</v>
      </c>
      <c r="CG156" s="138">
        <f t="shared" si="420"/>
        <v>0</v>
      </c>
      <c r="CH156" s="138">
        <f t="shared" si="421"/>
        <v>0</v>
      </c>
      <c r="CI156" s="238">
        <f t="shared" si="422"/>
        <v>1.5748031496062995E-2</v>
      </c>
      <c r="CJ156" s="138">
        <f t="shared" si="423"/>
        <v>0</v>
      </c>
      <c r="CK156" s="138">
        <f t="shared" si="424"/>
        <v>0</v>
      </c>
      <c r="CL156" s="138">
        <f t="shared" si="425"/>
        <v>0</v>
      </c>
      <c r="CM156" s="238">
        <f t="shared" si="426"/>
        <v>1.5748031496062995E-2</v>
      </c>
      <c r="CN156" s="17">
        <f t="shared" si="427"/>
        <v>0.25</v>
      </c>
      <c r="CO156" s="17">
        <f t="shared" si="428"/>
        <v>2.3622047244094495E-2</v>
      </c>
      <c r="CP156" s="17">
        <f t="shared" si="429"/>
        <v>1.5748031496062995E-2</v>
      </c>
      <c r="CQ156" s="17">
        <f>$U156-IF('Inputs-Imperial'!$E$13,0,2)*($CO156+$CN156+$CP156)</f>
        <v>2.5653544127999997</v>
      </c>
      <c r="CR156" s="116">
        <f t="shared" si="430"/>
        <v>25.1011415446077</v>
      </c>
      <c r="CS156" s="8">
        <f t="shared" si="324"/>
        <v>6.4899737167003731E-4</v>
      </c>
      <c r="CT156" s="8">
        <f t="shared" si="431"/>
        <v>2.5475426820173931E-2</v>
      </c>
      <c r="CU156" s="8">
        <f t="shared" si="325"/>
        <v>6.4899737167003731E-4</v>
      </c>
      <c r="CV156" s="8">
        <f t="shared" si="432"/>
        <v>2.5475426820173931E-2</v>
      </c>
      <c r="CW156" s="216">
        <f t="shared" si="433"/>
        <v>2.5398789859798256</v>
      </c>
      <c r="CX156" s="116">
        <f t="shared" si="434"/>
        <v>25.352910348575261</v>
      </c>
      <c r="CY156" s="8">
        <f t="shared" si="435"/>
        <v>6.555069278889479E-4</v>
      </c>
      <c r="CZ156" s="8">
        <f t="shared" si="436"/>
        <v>2.5602869524507365E-2</v>
      </c>
      <c r="DA156" s="8">
        <f t="shared" si="437"/>
        <v>6.555069278889479E-4</v>
      </c>
      <c r="DB156" s="8">
        <f t="shared" si="438"/>
        <v>2.5602869524507365E-2</v>
      </c>
      <c r="DC156" s="216">
        <f t="shared" si="439"/>
        <v>2.539751543275492</v>
      </c>
      <c r="DD156" s="116">
        <f t="shared" si="440"/>
        <v>25.354182537371091</v>
      </c>
      <c r="DE156" s="8">
        <f t="shared" si="441"/>
        <v>6.5553982070313697E-4</v>
      </c>
      <c r="DF156" s="8">
        <f t="shared" si="442"/>
        <v>2.560351188222305E-2</v>
      </c>
      <c r="DG156" s="8">
        <f t="shared" si="443"/>
        <v>6.5553982070313697E-4</v>
      </c>
      <c r="DH156" s="8">
        <f t="shared" si="444"/>
        <v>2.560351188222305E-2</v>
      </c>
      <c r="DI156" s="216">
        <f t="shared" si="445"/>
        <v>2.5397509009177766</v>
      </c>
      <c r="DJ156" s="116">
        <f t="shared" si="446"/>
        <v>25.354188949990046</v>
      </c>
      <c r="DK156" s="8">
        <f t="shared" si="447"/>
        <v>6.5553998650327958E-4</v>
      </c>
      <c r="DL156" s="8">
        <f t="shared" si="448"/>
        <v>2.5603515120062707E-2</v>
      </c>
      <c r="DM156" s="8">
        <f t="shared" si="449"/>
        <v>6.5553998650327958E-4</v>
      </c>
      <c r="DN156" s="8">
        <f t="shared" si="450"/>
        <v>2.5603515120062707E-2</v>
      </c>
      <c r="DO156" s="216">
        <f t="shared" si="451"/>
        <v>2.5397508976799372</v>
      </c>
      <c r="DP156" s="116">
        <f t="shared" si="452"/>
        <v>25.354188982313214</v>
      </c>
      <c r="DQ156" s="170">
        <f t="shared" si="453"/>
        <v>6.5553998733900462E-4</v>
      </c>
      <c r="DR156" s="8">
        <f t="shared" si="454"/>
        <v>2.5603515136383221E-2</v>
      </c>
      <c r="DS156" s="8">
        <f t="shared" si="455"/>
        <v>6.5553998733900462E-4</v>
      </c>
      <c r="DT156" s="134">
        <f t="shared" si="456"/>
        <v>2.5603515136383221E-2</v>
      </c>
      <c r="DU156" s="170">
        <f t="shared" si="566"/>
        <v>3.9589056222337476E-3</v>
      </c>
      <c r="DV156" s="170">
        <f t="shared" si="566"/>
        <v>6.2919834887209827E-2</v>
      </c>
      <c r="DW156" s="170">
        <f t="shared" si="566"/>
        <v>3.9589056222337476E-3</v>
      </c>
      <c r="DX156" s="272">
        <f t="shared" si="566"/>
        <v>6.2919834887209827E-2</v>
      </c>
      <c r="DY156" s="272">
        <f t="shared" si="457"/>
        <v>2.4395147430255797</v>
      </c>
      <c r="DZ156" s="22">
        <f t="shared" si="326"/>
        <v>8.904764381250974</v>
      </c>
      <c r="EA156" s="216">
        <f t="shared" ref="EA156:EA160" si="571">(DZ156/$E$46)</f>
        <v>5.834030843030986E-4</v>
      </c>
      <c r="EB156" s="12">
        <f t="shared" si="458"/>
        <v>1</v>
      </c>
      <c r="EC156" s="7">
        <f>ROUND(MAX(DV156,DX156)/'Inputs-Imperial'!$E$21,0)</f>
        <v>1</v>
      </c>
      <c r="ED156" s="12">
        <f t="shared" si="459"/>
        <v>1</v>
      </c>
      <c r="EE156" s="2">
        <f t="shared" si="460"/>
        <v>2</v>
      </c>
      <c r="EF156" s="127">
        <f t="shared" si="461"/>
        <v>2</v>
      </c>
      <c r="EG156" s="2">
        <f t="shared" si="462"/>
        <v>1.5748031496062995E-2</v>
      </c>
      <c r="EH156" s="8">
        <f t="shared" si="328"/>
        <v>6.1396078139873507E-3</v>
      </c>
      <c r="EI156" s="138">
        <f t="shared" si="463"/>
        <v>0.25</v>
      </c>
      <c r="EJ156" s="12">
        <f t="shared" si="329"/>
        <v>508.90728438849311</v>
      </c>
      <c r="EK156" s="138">
        <f t="shared" si="464"/>
        <v>0.25</v>
      </c>
      <c r="EL156" s="116">
        <f t="shared" si="465"/>
        <v>2175570</v>
      </c>
      <c r="EM156" s="2">
        <f t="shared" si="330"/>
        <v>1.5748031496062995E-2</v>
      </c>
      <c r="EN156" s="8">
        <f t="shared" si="466"/>
        <v>2.5653544127999997</v>
      </c>
      <c r="EO156" s="116">
        <f t="shared" si="467"/>
        <v>2610.6840000000002</v>
      </c>
      <c r="EP156" s="217">
        <f t="shared" si="468"/>
        <v>2.4601412399004494</v>
      </c>
      <c r="EQ156" s="207">
        <f t="shared" si="469"/>
        <v>2</v>
      </c>
      <c r="ER156" s="144">
        <f t="shared" si="470"/>
        <v>101959.59054237869</v>
      </c>
      <c r="ES156" s="138">
        <f t="shared" ref="ES156:ES160" si="572">IF(ER156&gt;$EJ156,EK156,ROUNDUP(EK156*$EJ156/ER156/$E$42,0)*$E$42)</f>
        <v>0.25</v>
      </c>
      <c r="ET156" s="116">
        <f t="shared" si="471"/>
        <v>2175570</v>
      </c>
      <c r="EU156" s="2">
        <f t="shared" si="332"/>
        <v>1.5748031496062995E-2</v>
      </c>
      <c r="EV156" s="8">
        <f t="shared" si="472"/>
        <v>2.5653544127999997</v>
      </c>
      <c r="EW156" s="116">
        <f t="shared" si="473"/>
        <v>2610.6840000000002</v>
      </c>
      <c r="EX156" s="217">
        <f t="shared" si="474"/>
        <v>2.4601412399004494</v>
      </c>
      <c r="EY156" s="207">
        <f t="shared" si="475"/>
        <v>2</v>
      </c>
      <c r="EZ156" s="144">
        <f t="shared" si="476"/>
        <v>101959.59054237869</v>
      </c>
      <c r="FA156" s="138">
        <f t="shared" ref="FA156:FA160" si="573">IF(EZ156&gt;$EJ156,ES156,ROUNDUP(ES156*$EJ156/EZ156/$E$42,0)*$E$42)</f>
        <v>0.25</v>
      </c>
      <c r="FB156" s="116">
        <f t="shared" si="477"/>
        <v>2175570</v>
      </c>
      <c r="FC156" s="2">
        <f t="shared" si="334"/>
        <v>1.5748031496062995E-2</v>
      </c>
      <c r="FD156" s="8">
        <f t="shared" si="478"/>
        <v>2.5653544127999997</v>
      </c>
      <c r="FE156" s="116">
        <f t="shared" si="479"/>
        <v>2610.6840000000002</v>
      </c>
      <c r="FF156" s="217">
        <f t="shared" si="480"/>
        <v>2.4601412399004494</v>
      </c>
      <c r="FG156" s="207">
        <f t="shared" si="481"/>
        <v>2</v>
      </c>
      <c r="FH156" s="144">
        <f t="shared" si="482"/>
        <v>101959.59054237869</v>
      </c>
      <c r="FI156" s="128">
        <f t="shared" si="483"/>
        <v>0.25</v>
      </c>
      <c r="FJ156" s="2">
        <f t="shared" si="484"/>
        <v>1.5748031496062995E-2</v>
      </c>
      <c r="FK156" s="127">
        <f t="shared" si="485"/>
        <v>1.5748031496062995E-2</v>
      </c>
      <c r="FL156" s="216">
        <f t="shared" si="486"/>
        <v>0</v>
      </c>
      <c r="FM156" s="138">
        <f t="shared" si="487"/>
        <v>0</v>
      </c>
      <c r="FN156" s="138">
        <f t="shared" si="488"/>
        <v>0</v>
      </c>
      <c r="FO156" s="238">
        <f t="shared" si="489"/>
        <v>0.25</v>
      </c>
      <c r="FP156" s="216">
        <f t="shared" si="335"/>
        <v>0</v>
      </c>
      <c r="FQ156" s="138">
        <f t="shared" si="336"/>
        <v>0</v>
      </c>
      <c r="FR156" s="138">
        <f t="shared" si="337"/>
        <v>0</v>
      </c>
      <c r="FS156" s="238">
        <f t="shared" si="338"/>
        <v>0.25</v>
      </c>
      <c r="FT156" s="216">
        <f t="shared" si="490"/>
        <v>0</v>
      </c>
      <c r="FU156" s="138">
        <f t="shared" si="491"/>
        <v>0</v>
      </c>
      <c r="FV156" s="138">
        <f t="shared" si="492"/>
        <v>0</v>
      </c>
      <c r="FW156" s="238">
        <f t="shared" si="493"/>
        <v>1.5748031496062995E-2</v>
      </c>
      <c r="FX156" s="216">
        <f t="shared" si="339"/>
        <v>0</v>
      </c>
      <c r="FY156" s="138">
        <f t="shared" si="340"/>
        <v>0</v>
      </c>
      <c r="FZ156" s="138">
        <f t="shared" si="341"/>
        <v>0</v>
      </c>
      <c r="GA156" s="238">
        <f t="shared" si="342"/>
        <v>1.5748031496062995E-2</v>
      </c>
      <c r="GB156" s="216">
        <f t="shared" si="494"/>
        <v>0</v>
      </c>
      <c r="GC156" s="138">
        <f t="shared" si="495"/>
        <v>0</v>
      </c>
      <c r="GD156" s="138">
        <f t="shared" si="496"/>
        <v>0</v>
      </c>
      <c r="GE156" s="238">
        <f t="shared" si="497"/>
        <v>1.5748031496062995E-2</v>
      </c>
      <c r="GF156" s="216">
        <f t="shared" si="343"/>
        <v>0</v>
      </c>
      <c r="GG156" s="138">
        <f t="shared" si="344"/>
        <v>0</v>
      </c>
      <c r="GH156" s="138">
        <f t="shared" si="345"/>
        <v>0</v>
      </c>
      <c r="GI156" s="238">
        <f t="shared" si="346"/>
        <v>1.5748031496062995E-2</v>
      </c>
      <c r="GJ156" s="216">
        <f t="shared" si="498"/>
        <v>0.25</v>
      </c>
      <c r="GK156" s="216">
        <f t="shared" si="499"/>
        <v>1.5748031496062995E-2</v>
      </c>
      <c r="GL156" s="17">
        <f t="shared" si="500"/>
        <v>1.5748031496062995E-2</v>
      </c>
      <c r="GM156" s="216">
        <f t="shared" si="347"/>
        <v>2.2755847943336756E-4</v>
      </c>
      <c r="GN156" s="2">
        <f t="shared" si="501"/>
        <v>1</v>
      </c>
      <c r="GO156" s="2">
        <f t="shared" si="502"/>
        <v>2</v>
      </c>
      <c r="GP156" s="142">
        <f t="shared" si="503"/>
        <v>2</v>
      </c>
      <c r="GQ156" s="2">
        <f t="shared" si="504"/>
        <v>1.5748031496062995E-2</v>
      </c>
      <c r="GR156" s="8">
        <f t="shared" si="348"/>
        <v>2.3947761951534871E-3</v>
      </c>
      <c r="GS156" s="138">
        <f t="shared" si="505"/>
        <v>0.25</v>
      </c>
      <c r="GT156" s="12">
        <f t="shared" si="349"/>
        <v>198.50112370651172</v>
      </c>
      <c r="GU156" s="138">
        <f t="shared" si="506"/>
        <v>0.25</v>
      </c>
      <c r="GV156" s="116">
        <f t="shared" si="507"/>
        <v>2175570</v>
      </c>
      <c r="GW156" s="2">
        <f t="shared" si="350"/>
        <v>1.5748031496062995E-2</v>
      </c>
      <c r="GX156" s="8">
        <f t="shared" si="351"/>
        <v>1.2826772063999998</v>
      </c>
      <c r="GY156" s="116">
        <f t="shared" si="508"/>
        <v>2610.6840000000002</v>
      </c>
      <c r="GZ156" s="217">
        <f t="shared" si="509"/>
        <v>9.8405649596017977</v>
      </c>
      <c r="HA156" s="207">
        <f t="shared" si="510"/>
        <v>2</v>
      </c>
      <c r="HB156" s="144">
        <f t="shared" si="511"/>
        <v>407838.36216951476</v>
      </c>
      <c r="HC156" s="138">
        <f t="shared" ref="HC156:HC160" si="574">IF(HB156&gt;$GT156,GU156,ROUNDUP(GU156*$GT156/HB156/$E$42,0)*$E$42)</f>
        <v>0.25</v>
      </c>
      <c r="HD156" s="116">
        <f t="shared" si="512"/>
        <v>2175570</v>
      </c>
      <c r="HE156" s="2">
        <f t="shared" si="353"/>
        <v>1.5748031496062995E-2</v>
      </c>
      <c r="HF156" s="8">
        <f t="shared" si="513"/>
        <v>1.2826772063999998</v>
      </c>
      <c r="HG156" s="116">
        <f t="shared" si="514"/>
        <v>2610.6840000000002</v>
      </c>
      <c r="HH156" s="217">
        <f t="shared" si="515"/>
        <v>9.8405649596017977</v>
      </c>
      <c r="HI156" s="207">
        <f t="shared" si="516"/>
        <v>2</v>
      </c>
      <c r="HJ156" s="144">
        <f t="shared" si="517"/>
        <v>407838.36216951476</v>
      </c>
      <c r="HK156" s="138">
        <f t="shared" ref="HK156:HK160" si="575">IF(HJ156&gt;$GT156,HC156,ROUNDUP(HC156*$GT156/HJ156/$E$42,0)*$E$42)</f>
        <v>0.25</v>
      </c>
      <c r="HL156" s="116">
        <f t="shared" si="518"/>
        <v>2175570</v>
      </c>
      <c r="HM156" s="2">
        <f t="shared" si="355"/>
        <v>1.5748031496062995E-2</v>
      </c>
      <c r="HN156" s="8">
        <f t="shared" si="519"/>
        <v>1.2826772063999998</v>
      </c>
      <c r="HO156" s="116">
        <f t="shared" si="520"/>
        <v>2610.6840000000002</v>
      </c>
      <c r="HP156" s="217">
        <f t="shared" si="521"/>
        <v>9.8405649596017977</v>
      </c>
      <c r="HQ156" s="207">
        <f t="shared" si="522"/>
        <v>2</v>
      </c>
      <c r="HR156" s="144">
        <f t="shared" si="523"/>
        <v>407838.36216951476</v>
      </c>
      <c r="HS156" s="128">
        <f t="shared" si="524"/>
        <v>0.25</v>
      </c>
      <c r="HT156" s="2">
        <f t="shared" si="525"/>
        <v>1.5748031496062995E-2</v>
      </c>
      <c r="HU156" s="127">
        <f t="shared" si="526"/>
        <v>1.5748031496062995E-2</v>
      </c>
      <c r="HV156" s="216">
        <f t="shared" si="527"/>
        <v>0</v>
      </c>
      <c r="HW156" s="138">
        <f t="shared" si="528"/>
        <v>0</v>
      </c>
      <c r="HX156" s="138">
        <f t="shared" si="529"/>
        <v>0</v>
      </c>
      <c r="HY156" s="238">
        <f t="shared" si="530"/>
        <v>0.25</v>
      </c>
      <c r="HZ156" s="138">
        <f t="shared" si="531"/>
        <v>0</v>
      </c>
      <c r="IA156" s="138">
        <f t="shared" si="532"/>
        <v>0</v>
      </c>
      <c r="IB156" s="138">
        <f t="shared" si="533"/>
        <v>0</v>
      </c>
      <c r="IC156" s="138">
        <f t="shared" si="534"/>
        <v>0.25</v>
      </c>
      <c r="ID156" s="216">
        <f t="shared" si="535"/>
        <v>0</v>
      </c>
      <c r="IE156" s="138">
        <f t="shared" si="536"/>
        <v>0</v>
      </c>
      <c r="IF156" s="138">
        <f t="shared" si="537"/>
        <v>0</v>
      </c>
      <c r="IG156" s="238">
        <f t="shared" si="538"/>
        <v>1.5748031496062995E-2</v>
      </c>
      <c r="IH156" s="138">
        <f t="shared" si="539"/>
        <v>0</v>
      </c>
      <c r="II156" s="138">
        <f t="shared" si="540"/>
        <v>0</v>
      </c>
      <c r="IJ156" s="138">
        <f t="shared" si="541"/>
        <v>0</v>
      </c>
      <c r="IK156" s="138">
        <f t="shared" si="542"/>
        <v>1.5748031496062995E-2</v>
      </c>
      <c r="IL156" s="216">
        <f t="shared" si="543"/>
        <v>0</v>
      </c>
      <c r="IM156" s="138">
        <f t="shared" si="544"/>
        <v>0</v>
      </c>
      <c r="IN156" s="138">
        <f t="shared" si="545"/>
        <v>0</v>
      </c>
      <c r="IO156" s="238">
        <f t="shared" si="546"/>
        <v>1.5748031496062995E-2</v>
      </c>
      <c r="IP156" s="138">
        <f t="shared" si="547"/>
        <v>0</v>
      </c>
      <c r="IQ156" s="138">
        <f t="shared" si="548"/>
        <v>0</v>
      </c>
      <c r="IR156" s="138">
        <f t="shared" si="549"/>
        <v>0</v>
      </c>
      <c r="IS156" s="138">
        <f t="shared" si="550"/>
        <v>1.5748031496062995E-2</v>
      </c>
      <c r="IT156" s="17">
        <f t="shared" si="551"/>
        <v>0.25</v>
      </c>
      <c r="IU156" s="17">
        <f t="shared" si="552"/>
        <v>1.5748031496062995E-2</v>
      </c>
      <c r="IV156" s="17">
        <f t="shared" si="553"/>
        <v>1.5748031496062995E-2</v>
      </c>
      <c r="IW156" s="253">
        <f t="shared" si="554"/>
        <v>7.1259844799999996</v>
      </c>
      <c r="IX156" s="116">
        <f t="shared" ref="IX156:IX160" si="576">$T156/IW156</f>
        <v>0.90364109560587713</v>
      </c>
      <c r="IY156" s="8">
        <f t="shared" si="357"/>
        <v>2.3363905380121341E-5</v>
      </c>
      <c r="IZ156" s="8">
        <f t="shared" si="555"/>
        <v>2.3363905380121341E-5</v>
      </c>
      <c r="JA156" s="8">
        <f t="shared" si="556"/>
        <v>1.1681952690060671E-5</v>
      </c>
      <c r="JB156" s="134">
        <f t="shared" si="557"/>
        <v>3.4178871675438131E-3</v>
      </c>
      <c r="JC156" s="170">
        <f t="shared" si="567"/>
        <v>6.9595306634633145E-5</v>
      </c>
      <c r="JD156" s="272">
        <f t="shared" si="568"/>
        <v>8.3423801540467545E-3</v>
      </c>
      <c r="JE156" s="8"/>
      <c r="JF156" s="8"/>
    </row>
    <row r="157" spans="1:266" x14ac:dyDescent="0.25">
      <c r="A157" s="186">
        <v>97</v>
      </c>
      <c r="B157" s="187">
        <f>A157/100*'Inputs-Imperial'!$E$5</f>
        <v>9.5472444000000003</v>
      </c>
      <c r="C157" s="188">
        <f>'Inputs-Imperial'!$E$10+('Inputs-Imperial'!$E$9-'Inputs-Imperial'!$E$10)*(100-A157)/100</f>
        <v>1.1778215599999999</v>
      </c>
      <c r="D157" s="187">
        <f t="shared" si="558"/>
        <v>9.8425199999999435E-2</v>
      </c>
      <c r="E157" s="188">
        <f t="shared" si="559"/>
        <v>0.11641169860706334</v>
      </c>
      <c r="F157" s="423">
        <f>Loads!P117</f>
        <v>1.6455084227269059</v>
      </c>
      <c r="G157" s="423">
        <f>Loads!M117</f>
        <v>16.455084227269058</v>
      </c>
      <c r="H157" s="423">
        <f>Loads!N117</f>
        <v>3.117697229146386</v>
      </c>
      <c r="I157" s="423">
        <f>Loads!V117</f>
        <v>-6.3889694819294114</v>
      </c>
      <c r="J157" s="423">
        <f>Loads!Q117</f>
        <v>0.31176972291463867</v>
      </c>
      <c r="K157" s="2">
        <v>97</v>
      </c>
      <c r="L157" s="12">
        <f t="shared" si="358"/>
        <v>114.5669328</v>
      </c>
      <c r="M157" s="11">
        <f t="shared" si="359"/>
        <v>14.133858719999999</v>
      </c>
      <c r="N157" s="11">
        <f t="shared" si="360"/>
        <v>1.1811023999999932</v>
      </c>
      <c r="O157" s="152">
        <f t="shared" si="361"/>
        <v>16.763284599417119</v>
      </c>
      <c r="P157" s="151">
        <f t="shared" si="362"/>
        <v>1.6455084227269059</v>
      </c>
      <c r="Q157" s="12">
        <f t="shared" si="363"/>
        <v>16.455084227269058</v>
      </c>
      <c r="R157" s="12">
        <f t="shared" si="364"/>
        <v>37.412366749756629</v>
      </c>
      <c r="S157" s="12">
        <f t="shared" si="365"/>
        <v>-76.667633783152937</v>
      </c>
      <c r="T157" s="152">
        <f t="shared" si="366"/>
        <v>3.741236674975664</v>
      </c>
      <c r="U157" s="8">
        <f t="shared" si="313"/>
        <v>2.5440945695999999</v>
      </c>
      <c r="V157" s="8">
        <f t="shared" si="314"/>
        <v>2.5440945695999999</v>
      </c>
      <c r="W157" s="134">
        <f t="shared" si="315"/>
        <v>1.2720472848</v>
      </c>
      <c r="X157" s="311">
        <f t="shared" si="316"/>
        <v>3.5334646799999998</v>
      </c>
      <c r="Y157" s="11">
        <f t="shared" si="317"/>
        <v>10.600394039999999</v>
      </c>
      <c r="Z157" s="11">
        <f t="shared" si="569"/>
        <v>7.0669293599999996</v>
      </c>
      <c r="AA157" s="316">
        <f t="shared" si="367"/>
        <v>10.600394039999999</v>
      </c>
      <c r="AB157" s="170">
        <f t="shared" si="368"/>
        <v>1.9080709271999998</v>
      </c>
      <c r="AC157" s="11">
        <f t="shared" si="369"/>
        <v>10.600394039999999</v>
      </c>
      <c r="AD157" s="152">
        <f t="shared" si="370"/>
        <v>15.885701766194575</v>
      </c>
      <c r="AE157" s="151">
        <f t="shared" si="319"/>
        <v>0.1552308731654381</v>
      </c>
      <c r="AF157" s="12">
        <f t="shared" si="320"/>
        <v>2.413101885945788</v>
      </c>
      <c r="AG157" s="216">
        <f t="shared" si="570"/>
        <v>1.6826646826692112E-4</v>
      </c>
      <c r="AH157" s="2">
        <f t="shared" si="371"/>
        <v>1</v>
      </c>
      <c r="AI157" s="2">
        <f t="shared" si="372"/>
        <v>3</v>
      </c>
      <c r="AJ157" s="127">
        <f t="shared" si="373"/>
        <v>2</v>
      </c>
      <c r="AK157" s="2">
        <f t="shared" si="374"/>
        <v>1.5748031496062995E-2</v>
      </c>
      <c r="AL157" s="8">
        <f t="shared" si="322"/>
        <v>1.7707999001028874E-3</v>
      </c>
      <c r="AM157" s="138">
        <f t="shared" si="375"/>
        <v>0.25</v>
      </c>
      <c r="AN157" s="12">
        <f t="shared" si="323"/>
        <v>146.78021718320653</v>
      </c>
      <c r="AO157" s="138">
        <f t="shared" si="376"/>
        <v>0.25</v>
      </c>
      <c r="AP157" s="116">
        <f t="shared" si="377"/>
        <v>2175570</v>
      </c>
      <c r="AQ157" s="2">
        <f t="shared" si="378"/>
        <v>1.5748031496062995E-2</v>
      </c>
      <c r="AR157" s="8">
        <f t="shared" si="379"/>
        <v>7.0669293599999996</v>
      </c>
      <c r="AS157" s="116">
        <f t="shared" si="380"/>
        <v>2610.6840000000002</v>
      </c>
      <c r="AT157" s="217">
        <f t="shared" si="381"/>
        <v>0.32418527652594464</v>
      </c>
      <c r="AU157" s="207">
        <f t="shared" si="382"/>
        <v>2.4940901058761353</v>
      </c>
      <c r="AV157" s="144">
        <f t="shared" si="383"/>
        <v>16754.962957446973</v>
      </c>
      <c r="AW157" s="138">
        <f t="shared" si="384"/>
        <v>0.25</v>
      </c>
      <c r="AX157" s="116">
        <f t="shared" si="385"/>
        <v>2175570</v>
      </c>
      <c r="AY157" s="2">
        <f t="shared" si="386"/>
        <v>1.5748031496062995E-2</v>
      </c>
      <c r="AZ157" s="8">
        <f t="shared" si="387"/>
        <v>7.0669293599999996</v>
      </c>
      <c r="BA157" s="116">
        <f t="shared" si="388"/>
        <v>2610.6840000000002</v>
      </c>
      <c r="BB157" s="217">
        <f t="shared" si="389"/>
        <v>0.32418527652594464</v>
      </c>
      <c r="BC157" s="207">
        <f t="shared" si="390"/>
        <v>2.4940901058761353</v>
      </c>
      <c r="BD157" s="144">
        <f t="shared" si="391"/>
        <v>16754.962957446973</v>
      </c>
      <c r="BE157" s="138">
        <f t="shared" si="392"/>
        <v>0.25</v>
      </c>
      <c r="BF157" s="116">
        <f t="shared" si="393"/>
        <v>2175570</v>
      </c>
      <c r="BG157" s="2">
        <f t="shared" si="394"/>
        <v>1.5748031496062995E-2</v>
      </c>
      <c r="BH157" s="8">
        <f t="shared" si="395"/>
        <v>7.0669293599999996</v>
      </c>
      <c r="BI157" s="116">
        <f t="shared" si="396"/>
        <v>2610.6840000000002</v>
      </c>
      <c r="BJ157" s="217">
        <f t="shared" si="397"/>
        <v>0.32418527652594464</v>
      </c>
      <c r="BK157" s="207">
        <f t="shared" si="398"/>
        <v>2.4940901058761353</v>
      </c>
      <c r="BL157" s="144">
        <f t="shared" si="399"/>
        <v>16754.962957446973</v>
      </c>
      <c r="BM157" s="216">
        <f t="shared" si="400"/>
        <v>0.25</v>
      </c>
      <c r="BN157" s="216">
        <f t="shared" si="401"/>
        <v>2.3622047244094495E-2</v>
      </c>
      <c r="BO157" s="238">
        <f t="shared" si="402"/>
        <v>1.5748031496062995E-2</v>
      </c>
      <c r="BP157" s="216">
        <f t="shared" si="403"/>
        <v>0</v>
      </c>
      <c r="BQ157" s="138">
        <f t="shared" si="404"/>
        <v>0</v>
      </c>
      <c r="BR157" s="138">
        <f t="shared" si="405"/>
        <v>0</v>
      </c>
      <c r="BS157" s="238">
        <f t="shared" si="406"/>
        <v>0.25</v>
      </c>
      <c r="BT157" s="138">
        <f t="shared" si="407"/>
        <v>0</v>
      </c>
      <c r="BU157" s="138">
        <f t="shared" si="408"/>
        <v>0</v>
      </c>
      <c r="BV157" s="138">
        <f t="shared" si="409"/>
        <v>0</v>
      </c>
      <c r="BW157" s="238">
        <f t="shared" si="410"/>
        <v>0.25</v>
      </c>
      <c r="BX157" s="216">
        <f t="shared" si="411"/>
        <v>0</v>
      </c>
      <c r="BY157" s="138">
        <f t="shared" si="412"/>
        <v>0</v>
      </c>
      <c r="BZ157" s="138">
        <f t="shared" si="413"/>
        <v>0</v>
      </c>
      <c r="CA157" s="238">
        <f t="shared" si="414"/>
        <v>2.3622047244094495E-2</v>
      </c>
      <c r="CB157" s="138">
        <f t="shared" si="415"/>
        <v>0</v>
      </c>
      <c r="CC157" s="138">
        <f t="shared" si="416"/>
        <v>0</v>
      </c>
      <c r="CD157" s="138">
        <f t="shared" si="417"/>
        <v>0</v>
      </c>
      <c r="CE157" s="238">
        <f t="shared" si="418"/>
        <v>2.3622047244094495E-2</v>
      </c>
      <c r="CF157" s="216">
        <f t="shared" si="419"/>
        <v>0</v>
      </c>
      <c r="CG157" s="138">
        <f t="shared" si="420"/>
        <v>0</v>
      </c>
      <c r="CH157" s="138">
        <f t="shared" si="421"/>
        <v>0</v>
      </c>
      <c r="CI157" s="238">
        <f t="shared" si="422"/>
        <v>1.5748031496062995E-2</v>
      </c>
      <c r="CJ157" s="138">
        <f t="shared" si="423"/>
        <v>0</v>
      </c>
      <c r="CK157" s="138">
        <f t="shared" si="424"/>
        <v>0</v>
      </c>
      <c r="CL157" s="138">
        <f t="shared" si="425"/>
        <v>0</v>
      </c>
      <c r="CM157" s="238">
        <f t="shared" si="426"/>
        <v>1.5748031496062995E-2</v>
      </c>
      <c r="CN157" s="17">
        <f t="shared" si="427"/>
        <v>0.25</v>
      </c>
      <c r="CO157" s="17">
        <f t="shared" si="428"/>
        <v>2.3622047244094495E-2</v>
      </c>
      <c r="CP157" s="17">
        <f t="shared" si="429"/>
        <v>1.5748031496062995E-2</v>
      </c>
      <c r="CQ157" s="17">
        <f>$U157-IF('Inputs-Imperial'!$E$13,0,2)*($CO157+$CN157+$CP157)</f>
        <v>2.5440945695999999</v>
      </c>
      <c r="CR157" s="116">
        <f t="shared" si="430"/>
        <v>14.705572346565269</v>
      </c>
      <c r="CS157" s="8">
        <f t="shared" si="324"/>
        <v>3.8021688315903251E-4</v>
      </c>
      <c r="CT157" s="8">
        <f t="shared" si="431"/>
        <v>1.9499150831742199E-2</v>
      </c>
      <c r="CU157" s="8">
        <f t="shared" si="325"/>
        <v>3.8021688315903251E-4</v>
      </c>
      <c r="CV157" s="8">
        <f t="shared" si="432"/>
        <v>1.9499150831742199E-2</v>
      </c>
      <c r="CW157" s="216">
        <f t="shared" si="433"/>
        <v>2.5245954187682575</v>
      </c>
      <c r="CX157" s="116">
        <f t="shared" si="434"/>
        <v>14.819153386569168</v>
      </c>
      <c r="CY157" s="8">
        <f t="shared" si="435"/>
        <v>3.8315355423843668E-4</v>
      </c>
      <c r="CZ157" s="8">
        <f t="shared" si="436"/>
        <v>1.9574308525167287E-2</v>
      </c>
      <c r="DA157" s="8">
        <f t="shared" si="437"/>
        <v>3.8315355423843668E-4</v>
      </c>
      <c r="DB157" s="8">
        <f t="shared" si="438"/>
        <v>1.9574308525167287E-2</v>
      </c>
      <c r="DC157" s="216">
        <f t="shared" si="439"/>
        <v>2.5245202610748323</v>
      </c>
      <c r="DD157" s="116">
        <f t="shared" si="440"/>
        <v>14.819594568762957</v>
      </c>
      <c r="DE157" s="8">
        <f t="shared" si="441"/>
        <v>3.8316496113336562E-4</v>
      </c>
      <c r="DF157" s="8">
        <f t="shared" si="442"/>
        <v>1.9574599897146445E-2</v>
      </c>
      <c r="DG157" s="8">
        <f t="shared" si="443"/>
        <v>3.8316496113336562E-4</v>
      </c>
      <c r="DH157" s="8">
        <f t="shared" si="444"/>
        <v>1.9574599897146445E-2</v>
      </c>
      <c r="DI157" s="216">
        <f t="shared" si="445"/>
        <v>2.5245199697028533</v>
      </c>
      <c r="DJ157" s="116">
        <f t="shared" si="446"/>
        <v>14.81959627919292</v>
      </c>
      <c r="DK157" s="8">
        <f t="shared" si="447"/>
        <v>3.8316500535703365E-4</v>
      </c>
      <c r="DL157" s="8">
        <f t="shared" si="448"/>
        <v>1.9574601026765108E-2</v>
      </c>
      <c r="DM157" s="8">
        <f t="shared" si="449"/>
        <v>3.8316500535703365E-4</v>
      </c>
      <c r="DN157" s="8">
        <f t="shared" si="450"/>
        <v>1.9574601026765108E-2</v>
      </c>
      <c r="DO157" s="216">
        <f t="shared" si="451"/>
        <v>2.5245199685732351</v>
      </c>
      <c r="DP157" s="116">
        <f t="shared" si="452"/>
        <v>14.819596285824076</v>
      </c>
      <c r="DQ157" s="170">
        <f t="shared" si="453"/>
        <v>3.8316500552848412E-4</v>
      </c>
      <c r="DR157" s="8">
        <f t="shared" si="454"/>
        <v>1.9574601031144521E-2</v>
      </c>
      <c r="DS157" s="8">
        <f t="shared" si="455"/>
        <v>3.8316500552848412E-4</v>
      </c>
      <c r="DT157" s="134">
        <f t="shared" si="456"/>
        <v>1.9574601031144521E-2</v>
      </c>
      <c r="DU157" s="170">
        <f t="shared" si="566"/>
        <v>3.9589056222337476E-3</v>
      </c>
      <c r="DV157" s="170">
        <f t="shared" si="566"/>
        <v>6.2919834887209827E-2</v>
      </c>
      <c r="DW157" s="170">
        <f t="shared" si="566"/>
        <v>3.9589056222337476E-3</v>
      </c>
      <c r="DX157" s="272">
        <f t="shared" si="566"/>
        <v>6.2919834887209827E-2</v>
      </c>
      <c r="DY157" s="272">
        <f t="shared" si="457"/>
        <v>2.41825489982558</v>
      </c>
      <c r="DZ157" s="22">
        <f t="shared" si="326"/>
        <v>6.4679530485599201</v>
      </c>
      <c r="EA157" s="216">
        <f t="shared" si="571"/>
        <v>4.237533522619025E-4</v>
      </c>
      <c r="EB157" s="12">
        <f t="shared" si="458"/>
        <v>1</v>
      </c>
      <c r="EC157" s="7">
        <f>ROUND(MAX(DV157,DX157)/'Inputs-Imperial'!$E$21,0)</f>
        <v>1</v>
      </c>
      <c r="ED157" s="12">
        <f t="shared" si="459"/>
        <v>1</v>
      </c>
      <c r="EE157" s="2">
        <f t="shared" si="460"/>
        <v>2</v>
      </c>
      <c r="EF157" s="127">
        <f t="shared" si="461"/>
        <v>2</v>
      </c>
      <c r="EG157" s="2">
        <f t="shared" si="462"/>
        <v>1.5748031496062995E-2</v>
      </c>
      <c r="EH157" s="8">
        <f t="shared" si="328"/>
        <v>4.4594885813096707E-3</v>
      </c>
      <c r="EI157" s="138">
        <f t="shared" si="463"/>
        <v>0.25</v>
      </c>
      <c r="EJ157" s="12">
        <f t="shared" si="329"/>
        <v>369.64351672519933</v>
      </c>
      <c r="EK157" s="138">
        <f t="shared" si="464"/>
        <v>0.25</v>
      </c>
      <c r="EL157" s="116">
        <f t="shared" si="465"/>
        <v>2175570</v>
      </c>
      <c r="EM157" s="2">
        <f t="shared" si="330"/>
        <v>1.5748031496062995E-2</v>
      </c>
      <c r="EN157" s="8">
        <f t="shared" si="466"/>
        <v>2.5440945695999999</v>
      </c>
      <c r="EO157" s="116">
        <f t="shared" si="467"/>
        <v>2610.6840000000002</v>
      </c>
      <c r="EP157" s="217">
        <f t="shared" si="468"/>
        <v>2.5014296028236473</v>
      </c>
      <c r="EQ157" s="207">
        <f t="shared" si="469"/>
        <v>2</v>
      </c>
      <c r="ER157" s="144">
        <f t="shared" si="470"/>
        <v>103670.77057933653</v>
      </c>
      <c r="ES157" s="138">
        <f t="shared" si="572"/>
        <v>0.25</v>
      </c>
      <c r="ET157" s="116">
        <f t="shared" si="471"/>
        <v>2175570</v>
      </c>
      <c r="EU157" s="2">
        <f t="shared" si="332"/>
        <v>1.5748031496062995E-2</v>
      </c>
      <c r="EV157" s="8">
        <f t="shared" si="472"/>
        <v>2.5440945695999999</v>
      </c>
      <c r="EW157" s="116">
        <f t="shared" si="473"/>
        <v>2610.6840000000002</v>
      </c>
      <c r="EX157" s="217">
        <f t="shared" si="474"/>
        <v>2.5014296028236473</v>
      </c>
      <c r="EY157" s="207">
        <f t="shared" si="475"/>
        <v>2</v>
      </c>
      <c r="EZ157" s="144">
        <f t="shared" si="476"/>
        <v>103670.77057933653</v>
      </c>
      <c r="FA157" s="138">
        <f t="shared" si="573"/>
        <v>0.25</v>
      </c>
      <c r="FB157" s="116">
        <f t="shared" si="477"/>
        <v>2175570</v>
      </c>
      <c r="FC157" s="2">
        <f t="shared" si="334"/>
        <v>1.5748031496062995E-2</v>
      </c>
      <c r="FD157" s="8">
        <f t="shared" si="478"/>
        <v>2.5440945695999999</v>
      </c>
      <c r="FE157" s="116">
        <f t="shared" si="479"/>
        <v>2610.6840000000002</v>
      </c>
      <c r="FF157" s="217">
        <f t="shared" si="480"/>
        <v>2.5014296028236473</v>
      </c>
      <c r="FG157" s="207">
        <f t="shared" si="481"/>
        <v>2</v>
      </c>
      <c r="FH157" s="144">
        <f t="shared" si="482"/>
        <v>103670.77057933653</v>
      </c>
      <c r="FI157" s="128">
        <f t="shared" si="483"/>
        <v>0.25</v>
      </c>
      <c r="FJ157" s="2">
        <f t="shared" si="484"/>
        <v>1.5748031496062995E-2</v>
      </c>
      <c r="FK157" s="127">
        <f t="shared" si="485"/>
        <v>1.5748031496062995E-2</v>
      </c>
      <c r="FL157" s="216">
        <f t="shared" si="486"/>
        <v>0</v>
      </c>
      <c r="FM157" s="138">
        <f t="shared" si="487"/>
        <v>0</v>
      </c>
      <c r="FN157" s="138">
        <f t="shared" si="488"/>
        <v>0</v>
      </c>
      <c r="FO157" s="238">
        <f t="shared" si="489"/>
        <v>0.25</v>
      </c>
      <c r="FP157" s="216">
        <f t="shared" si="335"/>
        <v>0</v>
      </c>
      <c r="FQ157" s="138">
        <f t="shared" si="336"/>
        <v>0</v>
      </c>
      <c r="FR157" s="138">
        <f t="shared" si="337"/>
        <v>0</v>
      </c>
      <c r="FS157" s="238">
        <f t="shared" si="338"/>
        <v>0.25</v>
      </c>
      <c r="FT157" s="216">
        <f t="shared" si="490"/>
        <v>0</v>
      </c>
      <c r="FU157" s="138">
        <f t="shared" si="491"/>
        <v>0</v>
      </c>
      <c r="FV157" s="138">
        <f t="shared" si="492"/>
        <v>0</v>
      </c>
      <c r="FW157" s="238">
        <f t="shared" si="493"/>
        <v>1.5748031496062995E-2</v>
      </c>
      <c r="FX157" s="216">
        <f t="shared" si="339"/>
        <v>0</v>
      </c>
      <c r="FY157" s="138">
        <f t="shared" si="340"/>
        <v>0</v>
      </c>
      <c r="FZ157" s="138">
        <f t="shared" si="341"/>
        <v>0</v>
      </c>
      <c r="GA157" s="238">
        <f t="shared" si="342"/>
        <v>1.5748031496062995E-2</v>
      </c>
      <c r="GB157" s="216">
        <f t="shared" si="494"/>
        <v>0</v>
      </c>
      <c r="GC157" s="138">
        <f t="shared" si="495"/>
        <v>0</v>
      </c>
      <c r="GD157" s="138">
        <f t="shared" si="496"/>
        <v>0</v>
      </c>
      <c r="GE157" s="238">
        <f t="shared" si="497"/>
        <v>1.5748031496062995E-2</v>
      </c>
      <c r="GF157" s="216">
        <f t="shared" si="343"/>
        <v>0</v>
      </c>
      <c r="GG157" s="138">
        <f t="shared" si="344"/>
        <v>0</v>
      </c>
      <c r="GH157" s="138">
        <f t="shared" si="345"/>
        <v>0</v>
      </c>
      <c r="GI157" s="238">
        <f t="shared" si="346"/>
        <v>1.5748031496062995E-2</v>
      </c>
      <c r="GJ157" s="216">
        <f t="shared" si="498"/>
        <v>0.25</v>
      </c>
      <c r="GK157" s="216">
        <f t="shared" si="499"/>
        <v>1.5748031496062995E-2</v>
      </c>
      <c r="GL157" s="17">
        <f t="shared" si="500"/>
        <v>1.5748031496062995E-2</v>
      </c>
      <c r="GM157" s="216">
        <f t="shared" si="347"/>
        <v>1.5809638781263545E-4</v>
      </c>
      <c r="GN157" s="2">
        <f t="shared" si="501"/>
        <v>1</v>
      </c>
      <c r="GO157" s="2">
        <f t="shared" si="502"/>
        <v>2</v>
      </c>
      <c r="GP157" s="142">
        <f t="shared" si="503"/>
        <v>2</v>
      </c>
      <c r="GQ157" s="2">
        <f t="shared" si="504"/>
        <v>1.5748031496062995E-2</v>
      </c>
      <c r="GR157" s="8">
        <f t="shared" si="348"/>
        <v>1.6637721741514556E-3</v>
      </c>
      <c r="GS157" s="138">
        <f t="shared" si="505"/>
        <v>0.25</v>
      </c>
      <c r="GT157" s="12">
        <f t="shared" si="349"/>
        <v>137.90877278180179</v>
      </c>
      <c r="GU157" s="138">
        <f t="shared" si="506"/>
        <v>0.25</v>
      </c>
      <c r="GV157" s="116">
        <f t="shared" si="507"/>
        <v>2175570</v>
      </c>
      <c r="GW157" s="2">
        <f t="shared" si="350"/>
        <v>1.5748031496062995E-2</v>
      </c>
      <c r="GX157" s="8">
        <f t="shared" si="351"/>
        <v>1.2720472848</v>
      </c>
      <c r="GY157" s="116">
        <f t="shared" si="508"/>
        <v>2610.6840000000002</v>
      </c>
      <c r="GZ157" s="217">
        <f t="shared" si="509"/>
        <v>10.005718411294589</v>
      </c>
      <c r="HA157" s="207">
        <f t="shared" si="510"/>
        <v>2</v>
      </c>
      <c r="HB157" s="144">
        <f t="shared" si="511"/>
        <v>414683.08231734612</v>
      </c>
      <c r="HC157" s="138">
        <f t="shared" si="574"/>
        <v>0.25</v>
      </c>
      <c r="HD157" s="116">
        <f t="shared" si="512"/>
        <v>2175570</v>
      </c>
      <c r="HE157" s="2">
        <f t="shared" si="353"/>
        <v>1.5748031496062995E-2</v>
      </c>
      <c r="HF157" s="8">
        <f t="shared" si="513"/>
        <v>1.2720472848</v>
      </c>
      <c r="HG157" s="116">
        <f t="shared" si="514"/>
        <v>2610.6840000000002</v>
      </c>
      <c r="HH157" s="217">
        <f t="shared" si="515"/>
        <v>10.005718411294589</v>
      </c>
      <c r="HI157" s="207">
        <f t="shared" si="516"/>
        <v>2</v>
      </c>
      <c r="HJ157" s="144">
        <f t="shared" si="517"/>
        <v>414683.08231734612</v>
      </c>
      <c r="HK157" s="138">
        <f t="shared" si="575"/>
        <v>0.25</v>
      </c>
      <c r="HL157" s="116">
        <f t="shared" si="518"/>
        <v>2175570</v>
      </c>
      <c r="HM157" s="2">
        <f t="shared" si="355"/>
        <v>1.5748031496062995E-2</v>
      </c>
      <c r="HN157" s="8">
        <f t="shared" si="519"/>
        <v>1.2720472848</v>
      </c>
      <c r="HO157" s="116">
        <f t="shared" si="520"/>
        <v>2610.6840000000002</v>
      </c>
      <c r="HP157" s="217">
        <f t="shared" si="521"/>
        <v>10.005718411294589</v>
      </c>
      <c r="HQ157" s="207">
        <f t="shared" si="522"/>
        <v>2</v>
      </c>
      <c r="HR157" s="144">
        <f t="shared" si="523"/>
        <v>414683.08231734612</v>
      </c>
      <c r="HS157" s="128">
        <f t="shared" si="524"/>
        <v>0.25</v>
      </c>
      <c r="HT157" s="2">
        <f t="shared" si="525"/>
        <v>1.5748031496062995E-2</v>
      </c>
      <c r="HU157" s="127">
        <f t="shared" si="526"/>
        <v>1.5748031496062995E-2</v>
      </c>
      <c r="HV157" s="216">
        <f t="shared" si="527"/>
        <v>0</v>
      </c>
      <c r="HW157" s="138">
        <f t="shared" si="528"/>
        <v>0</v>
      </c>
      <c r="HX157" s="138">
        <f t="shared" si="529"/>
        <v>0</v>
      </c>
      <c r="HY157" s="238">
        <f t="shared" si="530"/>
        <v>0.25</v>
      </c>
      <c r="HZ157" s="138">
        <f t="shared" si="531"/>
        <v>0</v>
      </c>
      <c r="IA157" s="138">
        <f t="shared" si="532"/>
        <v>0</v>
      </c>
      <c r="IB157" s="138">
        <f t="shared" si="533"/>
        <v>0</v>
      </c>
      <c r="IC157" s="138">
        <f t="shared" si="534"/>
        <v>0.25</v>
      </c>
      <c r="ID157" s="216">
        <f t="shared" si="535"/>
        <v>0</v>
      </c>
      <c r="IE157" s="138">
        <f t="shared" si="536"/>
        <v>0</v>
      </c>
      <c r="IF157" s="138">
        <f t="shared" si="537"/>
        <v>0</v>
      </c>
      <c r="IG157" s="238">
        <f t="shared" si="538"/>
        <v>1.5748031496062995E-2</v>
      </c>
      <c r="IH157" s="138">
        <f t="shared" si="539"/>
        <v>0</v>
      </c>
      <c r="II157" s="138">
        <f t="shared" si="540"/>
        <v>0</v>
      </c>
      <c r="IJ157" s="138">
        <f t="shared" si="541"/>
        <v>0</v>
      </c>
      <c r="IK157" s="138">
        <f t="shared" si="542"/>
        <v>1.5748031496062995E-2</v>
      </c>
      <c r="IL157" s="216">
        <f t="shared" si="543"/>
        <v>0</v>
      </c>
      <c r="IM157" s="138">
        <f t="shared" si="544"/>
        <v>0</v>
      </c>
      <c r="IN157" s="138">
        <f t="shared" si="545"/>
        <v>0</v>
      </c>
      <c r="IO157" s="238">
        <f t="shared" si="546"/>
        <v>1.5748031496062995E-2</v>
      </c>
      <c r="IP157" s="138">
        <f t="shared" si="547"/>
        <v>0</v>
      </c>
      <c r="IQ157" s="138">
        <f t="shared" si="548"/>
        <v>0</v>
      </c>
      <c r="IR157" s="138">
        <f t="shared" si="549"/>
        <v>0</v>
      </c>
      <c r="IS157" s="138">
        <f t="shared" si="550"/>
        <v>1.5748031496062995E-2</v>
      </c>
      <c r="IT157" s="17">
        <f t="shared" si="551"/>
        <v>0.25</v>
      </c>
      <c r="IU157" s="17">
        <f t="shared" si="552"/>
        <v>1.5748031496062995E-2</v>
      </c>
      <c r="IV157" s="17">
        <f t="shared" si="553"/>
        <v>1.5748031496062995E-2</v>
      </c>
      <c r="IW157" s="253">
        <f t="shared" si="554"/>
        <v>7.0669293599999996</v>
      </c>
      <c r="IX157" s="116">
        <f t="shared" si="576"/>
        <v>0.52940060447634985</v>
      </c>
      <c r="IY157" s="8">
        <f t="shared" si="357"/>
        <v>1.3687807793725173E-5</v>
      </c>
      <c r="IZ157" s="8">
        <f t="shared" si="555"/>
        <v>1.3687807793725173E-5</v>
      </c>
      <c r="JA157" s="8">
        <f t="shared" si="556"/>
        <v>6.8439038968625866E-6</v>
      </c>
      <c r="JB157" s="134">
        <f t="shared" si="557"/>
        <v>2.6160856057978275E-3</v>
      </c>
      <c r="JC157" s="170">
        <f t="shared" si="567"/>
        <v>6.9595306634633145E-5</v>
      </c>
      <c r="JD157" s="272">
        <f t="shared" si="568"/>
        <v>8.3423801540467545E-3</v>
      </c>
      <c r="JE157" s="8"/>
      <c r="JF157" s="8"/>
    </row>
    <row r="158" spans="1:266" x14ac:dyDescent="0.25">
      <c r="A158" s="186">
        <v>98</v>
      </c>
      <c r="B158" s="187">
        <f>A158/100*'Inputs-Imperial'!$E$5</f>
        <v>9.6456695999999997</v>
      </c>
      <c r="C158" s="188">
        <f>'Inputs-Imperial'!$E$10+('Inputs-Imperial'!$E$9-'Inputs-Imperial'!$E$10)*(100-A158)/100</f>
        <v>1.1679790399999999</v>
      </c>
      <c r="D158" s="187">
        <f t="shared" si="558"/>
        <v>9.8425199999999435E-2</v>
      </c>
      <c r="E158" s="188">
        <f t="shared" si="559"/>
        <v>0.11544294660755931</v>
      </c>
      <c r="F158" s="423">
        <f>Loads!P118</f>
        <v>1.0415231249311334</v>
      </c>
      <c r="G158" s="423">
        <f>Loads!M118</f>
        <v>10.415231249311335</v>
      </c>
      <c r="H158" s="423">
        <f>Loads!N118</f>
        <v>1.4981022730605928</v>
      </c>
      <c r="I158" s="423">
        <f>Loads!V118</f>
        <v>-3.7586495467838223</v>
      </c>
      <c r="J158" s="423">
        <f>Loads!Q118</f>
        <v>0.14981022730605931</v>
      </c>
      <c r="K158" s="2">
        <v>98</v>
      </c>
      <c r="L158" s="12">
        <f t="shared" si="358"/>
        <v>115.7480352</v>
      </c>
      <c r="M158" s="11">
        <f t="shared" si="359"/>
        <v>14.015748479999999</v>
      </c>
      <c r="N158" s="11">
        <f t="shared" si="360"/>
        <v>1.1811023999999932</v>
      </c>
      <c r="O158" s="152">
        <f t="shared" si="361"/>
        <v>16.623784311488542</v>
      </c>
      <c r="P158" s="151">
        <f t="shared" si="362"/>
        <v>1.0415231249311334</v>
      </c>
      <c r="Q158" s="12">
        <f t="shared" si="363"/>
        <v>10.415231249311335</v>
      </c>
      <c r="R158" s="12">
        <f t="shared" si="364"/>
        <v>17.977227276727113</v>
      </c>
      <c r="S158" s="12">
        <f t="shared" si="365"/>
        <v>-45.10379456140587</v>
      </c>
      <c r="T158" s="152">
        <f t="shared" si="366"/>
        <v>1.7977227276727117</v>
      </c>
      <c r="U158" s="8">
        <f t="shared" si="313"/>
        <v>2.5228347263999997</v>
      </c>
      <c r="V158" s="8">
        <f t="shared" si="314"/>
        <v>2.5228347263999997</v>
      </c>
      <c r="W158" s="134">
        <f t="shared" si="315"/>
        <v>1.2614173631999999</v>
      </c>
      <c r="X158" s="311">
        <f t="shared" si="316"/>
        <v>3.5039371199999998</v>
      </c>
      <c r="Y158" s="11">
        <f t="shared" si="317"/>
        <v>10.511811359999999</v>
      </c>
      <c r="Z158" s="11">
        <f t="shared" si="569"/>
        <v>7.0078742399999996</v>
      </c>
      <c r="AA158" s="316">
        <f t="shared" si="367"/>
        <v>10.511811359999999</v>
      </c>
      <c r="AB158" s="170">
        <f t="shared" si="368"/>
        <v>1.8921260447999999</v>
      </c>
      <c r="AC158" s="11">
        <f t="shared" si="369"/>
        <v>10.511811359999999</v>
      </c>
      <c r="AD158" s="152">
        <f t="shared" si="370"/>
        <v>15.621311900438664</v>
      </c>
      <c r="AE158" s="151">
        <f t="shared" si="319"/>
        <v>9.908122294644503E-2</v>
      </c>
      <c r="AF158" s="12">
        <f t="shared" si="320"/>
        <v>1.4436621856368959</v>
      </c>
      <c r="AG158" s="216">
        <f t="shared" si="570"/>
        <v>1.0107412440365495E-4</v>
      </c>
      <c r="AH158" s="2">
        <f t="shared" si="371"/>
        <v>1</v>
      </c>
      <c r="AI158" s="2">
        <f t="shared" si="372"/>
        <v>3</v>
      </c>
      <c r="AJ158" s="127">
        <f t="shared" si="373"/>
        <v>2</v>
      </c>
      <c r="AK158" s="2">
        <f t="shared" si="374"/>
        <v>1.5748031496062995E-2</v>
      </c>
      <c r="AL158" s="8">
        <f t="shared" si="322"/>
        <v>1.0636822133394978E-3</v>
      </c>
      <c r="AM158" s="138">
        <f t="shared" si="375"/>
        <v>0.25</v>
      </c>
      <c r="AN158" s="12">
        <f t="shared" si="323"/>
        <v>88.167785800537914</v>
      </c>
      <c r="AO158" s="138">
        <f t="shared" si="376"/>
        <v>0.25</v>
      </c>
      <c r="AP158" s="116">
        <f t="shared" si="377"/>
        <v>2175570</v>
      </c>
      <c r="AQ158" s="2">
        <f t="shared" si="378"/>
        <v>1.5748031496062995E-2</v>
      </c>
      <c r="AR158" s="8">
        <f t="shared" si="379"/>
        <v>7.0078742399999996</v>
      </c>
      <c r="AS158" s="116">
        <f t="shared" si="380"/>
        <v>2610.6840000000002</v>
      </c>
      <c r="AT158" s="217">
        <f t="shared" si="381"/>
        <v>0.32967209493703664</v>
      </c>
      <c r="AU158" s="207">
        <f t="shared" si="382"/>
        <v>2.4687257988296727</v>
      </c>
      <c r="AV158" s="144">
        <f t="shared" si="383"/>
        <v>16865.261882733106</v>
      </c>
      <c r="AW158" s="138">
        <f t="shared" si="384"/>
        <v>0.25</v>
      </c>
      <c r="AX158" s="116">
        <f t="shared" si="385"/>
        <v>2175570</v>
      </c>
      <c r="AY158" s="2">
        <f t="shared" si="386"/>
        <v>1.5748031496062995E-2</v>
      </c>
      <c r="AZ158" s="8">
        <f t="shared" si="387"/>
        <v>7.0078742399999996</v>
      </c>
      <c r="BA158" s="116">
        <f t="shared" si="388"/>
        <v>2610.6840000000002</v>
      </c>
      <c r="BB158" s="217">
        <f t="shared" si="389"/>
        <v>0.32967209493703664</v>
      </c>
      <c r="BC158" s="207">
        <f t="shared" si="390"/>
        <v>2.4687257988296727</v>
      </c>
      <c r="BD158" s="144">
        <f t="shared" si="391"/>
        <v>16865.261882733106</v>
      </c>
      <c r="BE158" s="138">
        <f t="shared" si="392"/>
        <v>0.25</v>
      </c>
      <c r="BF158" s="116">
        <f t="shared" si="393"/>
        <v>2175570</v>
      </c>
      <c r="BG158" s="2">
        <f t="shared" si="394"/>
        <v>1.5748031496062995E-2</v>
      </c>
      <c r="BH158" s="8">
        <f t="shared" si="395"/>
        <v>7.0078742399999996</v>
      </c>
      <c r="BI158" s="116">
        <f t="shared" si="396"/>
        <v>2610.6840000000002</v>
      </c>
      <c r="BJ158" s="217">
        <f t="shared" si="397"/>
        <v>0.32967209493703664</v>
      </c>
      <c r="BK158" s="207">
        <f t="shared" si="398"/>
        <v>2.4687257988296727</v>
      </c>
      <c r="BL158" s="144">
        <f t="shared" si="399"/>
        <v>16865.261882733106</v>
      </c>
      <c r="BM158" s="216">
        <f t="shared" si="400"/>
        <v>0.25</v>
      </c>
      <c r="BN158" s="216">
        <f t="shared" si="401"/>
        <v>2.3622047244094495E-2</v>
      </c>
      <c r="BO158" s="238">
        <f t="shared" si="402"/>
        <v>1.5748031496062995E-2</v>
      </c>
      <c r="BP158" s="216">
        <f t="shared" si="403"/>
        <v>0</v>
      </c>
      <c r="BQ158" s="138">
        <f t="shared" si="404"/>
        <v>0</v>
      </c>
      <c r="BR158" s="138">
        <f t="shared" si="405"/>
        <v>0</v>
      </c>
      <c r="BS158" s="238">
        <f t="shared" si="406"/>
        <v>0.25</v>
      </c>
      <c r="BT158" s="138">
        <f t="shared" si="407"/>
        <v>0</v>
      </c>
      <c r="BU158" s="138">
        <f t="shared" si="408"/>
        <v>0</v>
      </c>
      <c r="BV158" s="138">
        <f t="shared" si="409"/>
        <v>0</v>
      </c>
      <c r="BW158" s="238">
        <f t="shared" si="410"/>
        <v>0.25</v>
      </c>
      <c r="BX158" s="216">
        <f t="shared" si="411"/>
        <v>0</v>
      </c>
      <c r="BY158" s="138">
        <f t="shared" si="412"/>
        <v>0</v>
      </c>
      <c r="BZ158" s="138">
        <f t="shared" si="413"/>
        <v>0</v>
      </c>
      <c r="CA158" s="238">
        <f t="shared" si="414"/>
        <v>2.3622047244094495E-2</v>
      </c>
      <c r="CB158" s="138">
        <f t="shared" si="415"/>
        <v>0</v>
      </c>
      <c r="CC158" s="138">
        <f t="shared" si="416"/>
        <v>0</v>
      </c>
      <c r="CD158" s="138">
        <f t="shared" si="417"/>
        <v>0</v>
      </c>
      <c r="CE158" s="238">
        <f t="shared" si="418"/>
        <v>2.3622047244094495E-2</v>
      </c>
      <c r="CF158" s="216">
        <f t="shared" si="419"/>
        <v>0</v>
      </c>
      <c r="CG158" s="138">
        <f t="shared" si="420"/>
        <v>0</v>
      </c>
      <c r="CH158" s="138">
        <f t="shared" si="421"/>
        <v>0</v>
      </c>
      <c r="CI158" s="238">
        <f t="shared" si="422"/>
        <v>1.5748031496062995E-2</v>
      </c>
      <c r="CJ158" s="138">
        <f t="shared" si="423"/>
        <v>0</v>
      </c>
      <c r="CK158" s="138">
        <f t="shared" si="424"/>
        <v>0</v>
      </c>
      <c r="CL158" s="138">
        <f t="shared" si="425"/>
        <v>0</v>
      </c>
      <c r="CM158" s="238">
        <f t="shared" si="426"/>
        <v>1.5748031496062995E-2</v>
      </c>
      <c r="CN158" s="17">
        <f t="shared" si="427"/>
        <v>0.25</v>
      </c>
      <c r="CO158" s="17">
        <f t="shared" si="428"/>
        <v>2.3622047244094495E-2</v>
      </c>
      <c r="CP158" s="17">
        <f t="shared" si="429"/>
        <v>1.5748031496062995E-2</v>
      </c>
      <c r="CQ158" s="17">
        <f>$U158-IF('Inputs-Imperial'!$E$13,0,2)*($CO158+$CN158+$CP158)</f>
        <v>2.5228347263999997</v>
      </c>
      <c r="CR158" s="116">
        <f t="shared" si="430"/>
        <v>7.1258045914010433</v>
      </c>
      <c r="CS158" s="8">
        <f t="shared" si="324"/>
        <v>1.8423976625266421E-4</v>
      </c>
      <c r="CT158" s="8">
        <f t="shared" si="431"/>
        <v>1.3573494990335548E-2</v>
      </c>
      <c r="CU158" s="8">
        <f t="shared" si="325"/>
        <v>1.8423976625266421E-4</v>
      </c>
      <c r="CV158" s="8">
        <f t="shared" si="432"/>
        <v>1.3573494990335548E-2</v>
      </c>
      <c r="CW158" s="216">
        <f t="shared" si="433"/>
        <v>2.5092612314096638</v>
      </c>
      <c r="CX158" s="116">
        <f t="shared" si="434"/>
        <v>7.1643506270679467</v>
      </c>
      <c r="CY158" s="8">
        <f t="shared" si="435"/>
        <v>1.8523638530250553E-4</v>
      </c>
      <c r="CZ158" s="8">
        <f t="shared" si="436"/>
        <v>1.3610157431216787E-2</v>
      </c>
      <c r="DA158" s="8">
        <f t="shared" si="437"/>
        <v>1.8523638530250553E-4</v>
      </c>
      <c r="DB158" s="8">
        <f t="shared" si="438"/>
        <v>1.3610157431216787E-2</v>
      </c>
      <c r="DC158" s="216">
        <f t="shared" si="439"/>
        <v>2.5092245689687833</v>
      </c>
      <c r="DD158" s="116">
        <f t="shared" si="440"/>
        <v>7.1644553058537994</v>
      </c>
      <c r="DE158" s="8">
        <f t="shared" si="441"/>
        <v>1.8523909180319465E-4</v>
      </c>
      <c r="DF158" s="8">
        <f t="shared" si="442"/>
        <v>1.3610256860294542E-2</v>
      </c>
      <c r="DG158" s="8">
        <f t="shared" si="443"/>
        <v>1.8523909180319465E-4</v>
      </c>
      <c r="DH158" s="8">
        <f t="shared" si="444"/>
        <v>1.3610256860294542E-2</v>
      </c>
      <c r="DI158" s="216">
        <f t="shared" si="445"/>
        <v>2.509224469539705</v>
      </c>
      <c r="DJ158" s="116">
        <f t="shared" si="446"/>
        <v>7.1644555897483642</v>
      </c>
      <c r="DK158" s="8">
        <f t="shared" si="447"/>
        <v>1.8523909914337184E-4</v>
      </c>
      <c r="DL158" s="8">
        <f t="shared" si="448"/>
        <v>1.3610257129950626E-2</v>
      </c>
      <c r="DM158" s="8">
        <f t="shared" si="449"/>
        <v>1.8523909914337184E-4</v>
      </c>
      <c r="DN158" s="8">
        <f t="shared" si="450"/>
        <v>1.3610257129950626E-2</v>
      </c>
      <c r="DO158" s="216">
        <f t="shared" si="451"/>
        <v>2.5092244692700487</v>
      </c>
      <c r="DP158" s="116">
        <f t="shared" si="452"/>
        <v>7.1644555905182994</v>
      </c>
      <c r="DQ158" s="170">
        <f t="shared" si="453"/>
        <v>1.8523909916327874E-4</v>
      </c>
      <c r="DR158" s="8">
        <f t="shared" si="454"/>
        <v>1.3610257130681945E-2</v>
      </c>
      <c r="DS158" s="8">
        <f t="shared" si="455"/>
        <v>1.8523909916327874E-4</v>
      </c>
      <c r="DT158" s="134">
        <f t="shared" si="456"/>
        <v>1.3610257130681945E-2</v>
      </c>
      <c r="DU158" s="170">
        <f t="shared" si="566"/>
        <v>3.9589056222337476E-3</v>
      </c>
      <c r="DV158" s="170">
        <f t="shared" si="566"/>
        <v>6.2919834887209827E-2</v>
      </c>
      <c r="DW158" s="170">
        <f t="shared" si="566"/>
        <v>3.9589056222337476E-3</v>
      </c>
      <c r="DX158" s="272">
        <f t="shared" si="566"/>
        <v>6.2919834887209827E-2</v>
      </c>
      <c r="DY158" s="272">
        <f t="shared" si="457"/>
        <v>2.3969950566255798</v>
      </c>
      <c r="DZ158" s="22">
        <f t="shared" si="326"/>
        <v>4.1283842894352096</v>
      </c>
      <c r="EA158" s="216">
        <f t="shared" si="571"/>
        <v>2.7047454873888543E-4</v>
      </c>
      <c r="EB158" s="12">
        <f t="shared" si="458"/>
        <v>1</v>
      </c>
      <c r="EC158" s="7">
        <f>ROUND(MAX(DV158,DX158)/'Inputs-Imperial'!$E$21,0)</f>
        <v>1</v>
      </c>
      <c r="ED158" s="12">
        <f t="shared" si="459"/>
        <v>1</v>
      </c>
      <c r="EE158" s="2">
        <f t="shared" si="460"/>
        <v>2</v>
      </c>
      <c r="EF158" s="127">
        <f t="shared" si="461"/>
        <v>2</v>
      </c>
      <c r="EG158" s="2">
        <f t="shared" si="462"/>
        <v>1.5748031496062995E-2</v>
      </c>
      <c r="EH158" s="8">
        <f t="shared" si="328"/>
        <v>2.8464156217234168E-3</v>
      </c>
      <c r="EI158" s="138">
        <f t="shared" si="463"/>
        <v>0.25</v>
      </c>
      <c r="EJ158" s="12">
        <f t="shared" si="329"/>
        <v>235.93716214122219</v>
      </c>
      <c r="EK158" s="138">
        <f t="shared" si="464"/>
        <v>0.25</v>
      </c>
      <c r="EL158" s="116">
        <f t="shared" si="465"/>
        <v>2175570</v>
      </c>
      <c r="EM158" s="2">
        <f t="shared" si="330"/>
        <v>1.5748031496062995E-2</v>
      </c>
      <c r="EN158" s="8">
        <f t="shared" si="466"/>
        <v>2.5228347263999997</v>
      </c>
      <c r="EO158" s="116">
        <f t="shared" si="467"/>
        <v>2610.6840000000002</v>
      </c>
      <c r="EP158" s="217">
        <f t="shared" si="468"/>
        <v>2.5437661646376286</v>
      </c>
      <c r="EQ158" s="207">
        <f t="shared" si="469"/>
        <v>2</v>
      </c>
      <c r="ER158" s="144">
        <f t="shared" si="470"/>
        <v>105425.39280895304</v>
      </c>
      <c r="ES158" s="138">
        <f t="shared" si="572"/>
        <v>0.25</v>
      </c>
      <c r="ET158" s="116">
        <f t="shared" si="471"/>
        <v>2175570</v>
      </c>
      <c r="EU158" s="2">
        <f t="shared" si="332"/>
        <v>1.5748031496062995E-2</v>
      </c>
      <c r="EV158" s="8">
        <f t="shared" si="472"/>
        <v>2.5228347263999997</v>
      </c>
      <c r="EW158" s="116">
        <f t="shared" si="473"/>
        <v>2610.6840000000002</v>
      </c>
      <c r="EX158" s="217">
        <f t="shared" si="474"/>
        <v>2.5437661646376286</v>
      </c>
      <c r="EY158" s="207">
        <f t="shared" si="475"/>
        <v>2</v>
      </c>
      <c r="EZ158" s="144">
        <f t="shared" si="476"/>
        <v>105425.39280895304</v>
      </c>
      <c r="FA158" s="138">
        <f t="shared" si="573"/>
        <v>0.25</v>
      </c>
      <c r="FB158" s="116">
        <f t="shared" si="477"/>
        <v>2175570</v>
      </c>
      <c r="FC158" s="2">
        <f t="shared" si="334"/>
        <v>1.5748031496062995E-2</v>
      </c>
      <c r="FD158" s="8">
        <f t="shared" si="478"/>
        <v>2.5228347263999997</v>
      </c>
      <c r="FE158" s="116">
        <f t="shared" si="479"/>
        <v>2610.6840000000002</v>
      </c>
      <c r="FF158" s="217">
        <f t="shared" si="480"/>
        <v>2.5437661646376286</v>
      </c>
      <c r="FG158" s="207">
        <f t="shared" si="481"/>
        <v>2</v>
      </c>
      <c r="FH158" s="144">
        <f t="shared" si="482"/>
        <v>105425.39280895304</v>
      </c>
      <c r="FI158" s="128">
        <f t="shared" si="483"/>
        <v>0.25</v>
      </c>
      <c r="FJ158" s="2">
        <f t="shared" si="484"/>
        <v>1.5748031496062995E-2</v>
      </c>
      <c r="FK158" s="127">
        <f t="shared" si="485"/>
        <v>1.5748031496062995E-2</v>
      </c>
      <c r="FL158" s="216">
        <f t="shared" si="486"/>
        <v>0</v>
      </c>
      <c r="FM158" s="138">
        <f t="shared" si="487"/>
        <v>0</v>
      </c>
      <c r="FN158" s="138">
        <f t="shared" si="488"/>
        <v>0</v>
      </c>
      <c r="FO158" s="238">
        <f t="shared" si="489"/>
        <v>0.25</v>
      </c>
      <c r="FP158" s="216">
        <f t="shared" si="335"/>
        <v>0</v>
      </c>
      <c r="FQ158" s="138">
        <f t="shared" si="336"/>
        <v>0</v>
      </c>
      <c r="FR158" s="138">
        <f t="shared" si="337"/>
        <v>0</v>
      </c>
      <c r="FS158" s="238">
        <f t="shared" si="338"/>
        <v>0.25</v>
      </c>
      <c r="FT158" s="216">
        <f t="shared" si="490"/>
        <v>0</v>
      </c>
      <c r="FU158" s="138">
        <f t="shared" si="491"/>
        <v>0</v>
      </c>
      <c r="FV158" s="138">
        <f t="shared" si="492"/>
        <v>0</v>
      </c>
      <c r="FW158" s="238">
        <f t="shared" si="493"/>
        <v>1.5748031496062995E-2</v>
      </c>
      <c r="FX158" s="216">
        <f t="shared" si="339"/>
        <v>0</v>
      </c>
      <c r="FY158" s="138">
        <f t="shared" si="340"/>
        <v>0</v>
      </c>
      <c r="FZ158" s="138">
        <f t="shared" si="341"/>
        <v>0</v>
      </c>
      <c r="GA158" s="238">
        <f t="shared" si="342"/>
        <v>1.5748031496062995E-2</v>
      </c>
      <c r="GB158" s="216">
        <f t="shared" si="494"/>
        <v>0</v>
      </c>
      <c r="GC158" s="138">
        <f t="shared" si="495"/>
        <v>0</v>
      </c>
      <c r="GD158" s="138">
        <f t="shared" si="496"/>
        <v>0</v>
      </c>
      <c r="GE158" s="238">
        <f t="shared" si="497"/>
        <v>1.5748031496062995E-2</v>
      </c>
      <c r="GF158" s="216">
        <f t="shared" si="343"/>
        <v>0</v>
      </c>
      <c r="GG158" s="138">
        <f t="shared" si="344"/>
        <v>0</v>
      </c>
      <c r="GH158" s="138">
        <f t="shared" si="345"/>
        <v>0</v>
      </c>
      <c r="GI158" s="238">
        <f t="shared" si="346"/>
        <v>1.5748031496062995E-2</v>
      </c>
      <c r="GJ158" s="216">
        <f t="shared" si="498"/>
        <v>0.25</v>
      </c>
      <c r="GK158" s="216">
        <f t="shared" si="499"/>
        <v>1.5748031496062995E-2</v>
      </c>
      <c r="GL158" s="17">
        <f t="shared" si="500"/>
        <v>1.5748031496062995E-2</v>
      </c>
      <c r="GM158" s="216">
        <f t="shared" si="347"/>
        <v>9.4582735233921702E-5</v>
      </c>
      <c r="GN158" s="2">
        <f t="shared" si="501"/>
        <v>1</v>
      </c>
      <c r="GO158" s="2">
        <f t="shared" si="502"/>
        <v>2</v>
      </c>
      <c r="GP158" s="142">
        <f t="shared" si="503"/>
        <v>2</v>
      </c>
      <c r="GQ158" s="2">
        <f t="shared" si="504"/>
        <v>1.5748031496062995E-2</v>
      </c>
      <c r="GR158" s="8">
        <f t="shared" si="348"/>
        <v>9.9536823841813566E-4</v>
      </c>
      <c r="GS158" s="138">
        <f t="shared" si="505"/>
        <v>0.25</v>
      </c>
      <c r="GT158" s="12">
        <f t="shared" si="349"/>
        <v>82.505293909148577</v>
      </c>
      <c r="GU158" s="138">
        <f t="shared" si="506"/>
        <v>0.25</v>
      </c>
      <c r="GV158" s="116">
        <f t="shared" si="507"/>
        <v>2175570</v>
      </c>
      <c r="GW158" s="2">
        <f t="shared" si="350"/>
        <v>1.5748031496062995E-2</v>
      </c>
      <c r="GX158" s="8">
        <f t="shared" si="351"/>
        <v>1.2614173631999999</v>
      </c>
      <c r="GY158" s="116">
        <f t="shared" si="508"/>
        <v>2610.6840000000002</v>
      </c>
      <c r="GZ158" s="217">
        <f t="shared" si="509"/>
        <v>10.175064658550514</v>
      </c>
      <c r="HA158" s="207">
        <f t="shared" si="510"/>
        <v>2</v>
      </c>
      <c r="HB158" s="144">
        <f t="shared" si="511"/>
        <v>421701.57123581215</v>
      </c>
      <c r="HC158" s="138">
        <f t="shared" si="574"/>
        <v>0.25</v>
      </c>
      <c r="HD158" s="116">
        <f t="shared" si="512"/>
        <v>2175570</v>
      </c>
      <c r="HE158" s="2">
        <f t="shared" si="353"/>
        <v>1.5748031496062995E-2</v>
      </c>
      <c r="HF158" s="8">
        <f t="shared" si="513"/>
        <v>1.2614173631999999</v>
      </c>
      <c r="HG158" s="116">
        <f t="shared" si="514"/>
        <v>2610.6840000000002</v>
      </c>
      <c r="HH158" s="217">
        <f t="shared" si="515"/>
        <v>10.175064658550514</v>
      </c>
      <c r="HI158" s="207">
        <f t="shared" si="516"/>
        <v>2</v>
      </c>
      <c r="HJ158" s="144">
        <f t="shared" si="517"/>
        <v>421701.57123581215</v>
      </c>
      <c r="HK158" s="138">
        <f t="shared" si="575"/>
        <v>0.25</v>
      </c>
      <c r="HL158" s="116">
        <f t="shared" si="518"/>
        <v>2175570</v>
      </c>
      <c r="HM158" s="2">
        <f t="shared" si="355"/>
        <v>1.5748031496062995E-2</v>
      </c>
      <c r="HN158" s="8">
        <f t="shared" si="519"/>
        <v>1.2614173631999999</v>
      </c>
      <c r="HO158" s="116">
        <f t="shared" si="520"/>
        <v>2610.6840000000002</v>
      </c>
      <c r="HP158" s="217">
        <f t="shared" si="521"/>
        <v>10.175064658550514</v>
      </c>
      <c r="HQ158" s="207">
        <f t="shared" si="522"/>
        <v>2</v>
      </c>
      <c r="HR158" s="144">
        <f t="shared" si="523"/>
        <v>421701.57123581215</v>
      </c>
      <c r="HS158" s="128">
        <f t="shared" si="524"/>
        <v>0.25</v>
      </c>
      <c r="HT158" s="2">
        <f t="shared" si="525"/>
        <v>1.5748031496062995E-2</v>
      </c>
      <c r="HU158" s="127">
        <f t="shared" si="526"/>
        <v>1.5748031496062995E-2</v>
      </c>
      <c r="HV158" s="216">
        <f t="shared" si="527"/>
        <v>0</v>
      </c>
      <c r="HW158" s="138">
        <f t="shared" si="528"/>
        <v>0</v>
      </c>
      <c r="HX158" s="138">
        <f t="shared" si="529"/>
        <v>0</v>
      </c>
      <c r="HY158" s="238">
        <f t="shared" si="530"/>
        <v>0.25</v>
      </c>
      <c r="HZ158" s="138">
        <f t="shared" si="531"/>
        <v>0</v>
      </c>
      <c r="IA158" s="138">
        <f t="shared" si="532"/>
        <v>0</v>
      </c>
      <c r="IB158" s="138">
        <f t="shared" si="533"/>
        <v>0</v>
      </c>
      <c r="IC158" s="138">
        <f t="shared" si="534"/>
        <v>0.25</v>
      </c>
      <c r="ID158" s="216">
        <f t="shared" si="535"/>
        <v>0</v>
      </c>
      <c r="IE158" s="138">
        <f t="shared" si="536"/>
        <v>0</v>
      </c>
      <c r="IF158" s="138">
        <f t="shared" si="537"/>
        <v>0</v>
      </c>
      <c r="IG158" s="238">
        <f t="shared" si="538"/>
        <v>1.5748031496062995E-2</v>
      </c>
      <c r="IH158" s="138">
        <f t="shared" si="539"/>
        <v>0</v>
      </c>
      <c r="II158" s="138">
        <f t="shared" si="540"/>
        <v>0</v>
      </c>
      <c r="IJ158" s="138">
        <f t="shared" si="541"/>
        <v>0</v>
      </c>
      <c r="IK158" s="138">
        <f t="shared" si="542"/>
        <v>1.5748031496062995E-2</v>
      </c>
      <c r="IL158" s="216">
        <f t="shared" si="543"/>
        <v>0</v>
      </c>
      <c r="IM158" s="138">
        <f t="shared" si="544"/>
        <v>0</v>
      </c>
      <c r="IN158" s="138">
        <f t="shared" si="545"/>
        <v>0</v>
      </c>
      <c r="IO158" s="238">
        <f t="shared" si="546"/>
        <v>1.5748031496062995E-2</v>
      </c>
      <c r="IP158" s="138">
        <f t="shared" si="547"/>
        <v>0</v>
      </c>
      <c r="IQ158" s="138">
        <f t="shared" si="548"/>
        <v>0</v>
      </c>
      <c r="IR158" s="138">
        <f t="shared" si="549"/>
        <v>0</v>
      </c>
      <c r="IS158" s="138">
        <f t="shared" si="550"/>
        <v>1.5748031496062995E-2</v>
      </c>
      <c r="IT158" s="17">
        <f t="shared" si="551"/>
        <v>0.25</v>
      </c>
      <c r="IU158" s="17">
        <f t="shared" si="552"/>
        <v>1.5748031496062995E-2</v>
      </c>
      <c r="IV158" s="17">
        <f t="shared" si="553"/>
        <v>1.5748031496062995E-2</v>
      </c>
      <c r="IW158" s="253">
        <f t="shared" si="554"/>
        <v>7.0078742399999996</v>
      </c>
      <c r="IX158" s="116">
        <f t="shared" si="576"/>
        <v>0.25652896529043762</v>
      </c>
      <c r="IY158" s="8">
        <f t="shared" si="357"/>
        <v>6.6326315850959124E-6</v>
      </c>
      <c r="IZ158" s="8">
        <f t="shared" si="555"/>
        <v>6.6326315850959124E-6</v>
      </c>
      <c r="JA158" s="8">
        <f t="shared" si="556"/>
        <v>3.3163157925479562E-6</v>
      </c>
      <c r="JB158" s="134">
        <f t="shared" si="557"/>
        <v>1.8210754494385882E-3</v>
      </c>
      <c r="JC158" s="170">
        <f t="shared" si="567"/>
        <v>6.9595306634633145E-5</v>
      </c>
      <c r="JD158" s="272">
        <f t="shared" si="568"/>
        <v>8.3423801540467545E-3</v>
      </c>
      <c r="JE158" s="8"/>
      <c r="JF158" s="8"/>
    </row>
    <row r="159" spans="1:266" x14ac:dyDescent="0.25">
      <c r="A159" s="186">
        <v>99</v>
      </c>
      <c r="B159" s="187">
        <f>A159/100*'Inputs-Imperial'!$E$5</f>
        <v>9.7440948000000009</v>
      </c>
      <c r="C159" s="188">
        <f>'Inputs-Imperial'!$E$10+('Inputs-Imperial'!$E$9-'Inputs-Imperial'!$E$10)*(100-A159)/100</f>
        <v>1.15813652</v>
      </c>
      <c r="D159" s="187">
        <f t="shared" si="558"/>
        <v>9.8425200000001212E-2</v>
      </c>
      <c r="E159" s="188">
        <f t="shared" si="559"/>
        <v>0.1144741946080574</v>
      </c>
      <c r="F159" s="423">
        <f>Loads!P119</f>
        <v>0.48054873579211943</v>
      </c>
      <c r="G159" s="423">
        <f>Loads!M119</f>
        <v>4.8054873579211943</v>
      </c>
      <c r="H159" s="423">
        <f>Loads!N119</f>
        <v>0.4729810543008624</v>
      </c>
      <c r="I159" s="423">
        <f>Loads!V119</f>
        <v>-1.5174808825486088</v>
      </c>
      <c r="J159" s="423">
        <f>Loads!Q119</f>
        <v>4.7298105430086244E-2</v>
      </c>
      <c r="K159" s="2">
        <v>99</v>
      </c>
      <c r="L159" s="12">
        <f t="shared" si="358"/>
        <v>116.92913760000002</v>
      </c>
      <c r="M159" s="11">
        <f t="shared" si="359"/>
        <v>13.897638239999999</v>
      </c>
      <c r="N159" s="11">
        <f t="shared" si="360"/>
        <v>1.1811024000000145</v>
      </c>
      <c r="O159" s="152">
        <f t="shared" si="361"/>
        <v>16.484284023560264</v>
      </c>
      <c r="P159" s="151">
        <f t="shared" si="362"/>
        <v>0.48054873579211943</v>
      </c>
      <c r="Q159" s="12">
        <f t="shared" si="363"/>
        <v>4.8054873579211943</v>
      </c>
      <c r="R159" s="12">
        <f t="shared" si="364"/>
        <v>5.6757726516103491</v>
      </c>
      <c r="S159" s="12">
        <f t="shared" si="365"/>
        <v>-18.209770590583304</v>
      </c>
      <c r="T159" s="152">
        <f t="shared" si="366"/>
        <v>0.56757726516103491</v>
      </c>
      <c r="U159" s="8">
        <f t="shared" si="313"/>
        <v>2.5015748831999995</v>
      </c>
      <c r="V159" s="8">
        <f t="shared" si="314"/>
        <v>2.5015748831999995</v>
      </c>
      <c r="W159" s="134">
        <f t="shared" si="315"/>
        <v>1.2507874415999998</v>
      </c>
      <c r="X159" s="311">
        <f t="shared" si="316"/>
        <v>3.4744095599999998</v>
      </c>
      <c r="Y159" s="11">
        <f t="shared" si="317"/>
        <v>10.423228679999999</v>
      </c>
      <c r="Z159" s="11">
        <f t="shared" si="569"/>
        <v>6.9488191199999996</v>
      </c>
      <c r="AA159" s="316">
        <f t="shared" si="367"/>
        <v>10.423228679999999</v>
      </c>
      <c r="AB159" s="170">
        <f t="shared" si="368"/>
        <v>1.8761811623999995</v>
      </c>
      <c r="AC159" s="11">
        <f t="shared" si="369"/>
        <v>10.423228679999999</v>
      </c>
      <c r="AD159" s="152">
        <f t="shared" si="370"/>
        <v>15.359140690898887</v>
      </c>
      <c r="AE159" s="151">
        <f t="shared" si="319"/>
        <v>4.6103635499640548E-2</v>
      </c>
      <c r="AF159" s="12">
        <f t="shared" si="320"/>
        <v>0.5927991336577042</v>
      </c>
      <c r="AG159" s="216">
        <f t="shared" si="570"/>
        <v>4.1858249150419627E-5</v>
      </c>
      <c r="AH159" s="2">
        <f t="shared" si="371"/>
        <v>1</v>
      </c>
      <c r="AI159" s="2">
        <f t="shared" si="372"/>
        <v>3</v>
      </c>
      <c r="AJ159" s="127">
        <f t="shared" si="373"/>
        <v>2</v>
      </c>
      <c r="AK159" s="2">
        <f t="shared" si="374"/>
        <v>1.5748031496062995E-2</v>
      </c>
      <c r="AL159" s="8">
        <f t="shared" si="322"/>
        <v>4.4050715616413959E-4</v>
      </c>
      <c r="AM159" s="138">
        <f t="shared" si="375"/>
        <v>0.25</v>
      </c>
      <c r="AN159" s="12">
        <f t="shared" si="323"/>
        <v>36.513293257342248</v>
      </c>
      <c r="AO159" s="138">
        <f t="shared" si="376"/>
        <v>0.25</v>
      </c>
      <c r="AP159" s="116">
        <f t="shared" si="377"/>
        <v>2175570</v>
      </c>
      <c r="AQ159" s="2">
        <f t="shared" si="378"/>
        <v>1.5748031496062995E-2</v>
      </c>
      <c r="AR159" s="8">
        <f t="shared" si="379"/>
        <v>6.9488191199999996</v>
      </c>
      <c r="AS159" s="116">
        <f t="shared" si="380"/>
        <v>2610.6840000000002</v>
      </c>
      <c r="AT159" s="217">
        <f t="shared" si="381"/>
        <v>0.33529939750692384</v>
      </c>
      <c r="AU159" s="207">
        <f t="shared" si="382"/>
        <v>2.4424070426670772</v>
      </c>
      <c r="AV159" s="144">
        <f t="shared" si="383"/>
        <v>16970.274313554833</v>
      </c>
      <c r="AW159" s="138">
        <f t="shared" si="384"/>
        <v>0.25</v>
      </c>
      <c r="AX159" s="116">
        <f t="shared" si="385"/>
        <v>2175570</v>
      </c>
      <c r="AY159" s="2">
        <f t="shared" si="386"/>
        <v>1.5748031496062995E-2</v>
      </c>
      <c r="AZ159" s="8">
        <f t="shared" si="387"/>
        <v>6.9488191199999996</v>
      </c>
      <c r="BA159" s="116">
        <f t="shared" si="388"/>
        <v>2610.6840000000002</v>
      </c>
      <c r="BB159" s="217">
        <f t="shared" si="389"/>
        <v>0.33529939750692384</v>
      </c>
      <c r="BC159" s="207">
        <f t="shared" si="390"/>
        <v>2.4424070426670772</v>
      </c>
      <c r="BD159" s="144">
        <f t="shared" si="391"/>
        <v>16970.274313554833</v>
      </c>
      <c r="BE159" s="138">
        <f t="shared" si="392"/>
        <v>0.25</v>
      </c>
      <c r="BF159" s="116">
        <f t="shared" si="393"/>
        <v>2175570</v>
      </c>
      <c r="BG159" s="2">
        <f t="shared" si="394"/>
        <v>1.5748031496062995E-2</v>
      </c>
      <c r="BH159" s="8">
        <f t="shared" si="395"/>
        <v>6.9488191199999996</v>
      </c>
      <c r="BI159" s="116">
        <f t="shared" si="396"/>
        <v>2610.6840000000002</v>
      </c>
      <c r="BJ159" s="217">
        <f t="shared" si="397"/>
        <v>0.33529939750692384</v>
      </c>
      <c r="BK159" s="207">
        <f t="shared" si="398"/>
        <v>2.4424070426670772</v>
      </c>
      <c r="BL159" s="144">
        <f t="shared" si="399"/>
        <v>16970.274313554833</v>
      </c>
      <c r="BM159" s="216">
        <f t="shared" si="400"/>
        <v>0.25</v>
      </c>
      <c r="BN159" s="216">
        <f t="shared" si="401"/>
        <v>2.3622047244094495E-2</v>
      </c>
      <c r="BO159" s="238">
        <f t="shared" si="402"/>
        <v>1.5748031496062995E-2</v>
      </c>
      <c r="BP159" s="216">
        <f t="shared" si="403"/>
        <v>0</v>
      </c>
      <c r="BQ159" s="138">
        <f t="shared" si="404"/>
        <v>0</v>
      </c>
      <c r="BR159" s="138">
        <f t="shared" si="405"/>
        <v>0</v>
      </c>
      <c r="BS159" s="238">
        <f t="shared" si="406"/>
        <v>0.25</v>
      </c>
      <c r="BT159" s="138">
        <f t="shared" si="407"/>
        <v>0</v>
      </c>
      <c r="BU159" s="138">
        <f t="shared" si="408"/>
        <v>0</v>
      </c>
      <c r="BV159" s="138">
        <f t="shared" si="409"/>
        <v>0</v>
      </c>
      <c r="BW159" s="238">
        <f t="shared" si="410"/>
        <v>0.25</v>
      </c>
      <c r="BX159" s="216">
        <f t="shared" si="411"/>
        <v>0</v>
      </c>
      <c r="BY159" s="138">
        <f t="shared" si="412"/>
        <v>0</v>
      </c>
      <c r="BZ159" s="138">
        <f t="shared" si="413"/>
        <v>0</v>
      </c>
      <c r="CA159" s="238">
        <f t="shared" si="414"/>
        <v>2.3622047244094495E-2</v>
      </c>
      <c r="CB159" s="138">
        <f t="shared" si="415"/>
        <v>0</v>
      </c>
      <c r="CC159" s="138">
        <f t="shared" si="416"/>
        <v>0</v>
      </c>
      <c r="CD159" s="138">
        <f t="shared" si="417"/>
        <v>0</v>
      </c>
      <c r="CE159" s="238">
        <f t="shared" si="418"/>
        <v>2.3622047244094495E-2</v>
      </c>
      <c r="CF159" s="216">
        <f t="shared" si="419"/>
        <v>0</v>
      </c>
      <c r="CG159" s="138">
        <f t="shared" si="420"/>
        <v>0</v>
      </c>
      <c r="CH159" s="138">
        <f t="shared" si="421"/>
        <v>0</v>
      </c>
      <c r="CI159" s="238">
        <f t="shared" si="422"/>
        <v>1.5748031496062995E-2</v>
      </c>
      <c r="CJ159" s="138">
        <f t="shared" si="423"/>
        <v>0</v>
      </c>
      <c r="CK159" s="138">
        <f t="shared" si="424"/>
        <v>0</v>
      </c>
      <c r="CL159" s="138">
        <f t="shared" si="425"/>
        <v>0</v>
      </c>
      <c r="CM159" s="238">
        <f t="shared" si="426"/>
        <v>1.5748031496062995E-2</v>
      </c>
      <c r="CN159" s="17">
        <f t="shared" si="427"/>
        <v>0.25</v>
      </c>
      <c r="CO159" s="17">
        <f t="shared" si="428"/>
        <v>2.3622047244094495E-2</v>
      </c>
      <c r="CP159" s="17">
        <f t="shared" si="429"/>
        <v>1.5748031496062995E-2</v>
      </c>
      <c r="CQ159" s="17">
        <f>$U159-IF('Inputs-Imperial'!$E$13,0,2)*($CO159+$CN159+$CP159)</f>
        <v>2.5015748831999995</v>
      </c>
      <c r="CR159" s="116">
        <f t="shared" si="430"/>
        <v>2.2688797723895977</v>
      </c>
      <c r="CS159" s="8">
        <f t="shared" si="324"/>
        <v>5.8662551513817005E-5</v>
      </c>
      <c r="CT159" s="8">
        <f t="shared" si="431"/>
        <v>7.6591482237789998E-3</v>
      </c>
      <c r="CU159" s="8">
        <f t="shared" si="325"/>
        <v>5.8662551513817005E-5</v>
      </c>
      <c r="CV159" s="8">
        <f t="shared" si="432"/>
        <v>7.6591482237789998E-3</v>
      </c>
      <c r="CW159" s="216">
        <f t="shared" si="433"/>
        <v>2.4939157349762202</v>
      </c>
      <c r="CX159" s="116">
        <f t="shared" si="434"/>
        <v>2.2758478051242048</v>
      </c>
      <c r="CY159" s="8">
        <f t="shared" si="435"/>
        <v>5.8842712042470026E-5</v>
      </c>
      <c r="CZ159" s="8">
        <f t="shared" si="436"/>
        <v>7.6709003410597131E-3</v>
      </c>
      <c r="DA159" s="8">
        <f t="shared" si="437"/>
        <v>5.8842712042470026E-5</v>
      </c>
      <c r="DB159" s="8">
        <f t="shared" si="438"/>
        <v>7.6709003410597131E-3</v>
      </c>
      <c r="DC159" s="216">
        <f t="shared" si="439"/>
        <v>2.49390398285894</v>
      </c>
      <c r="DD159" s="116">
        <f t="shared" si="440"/>
        <v>2.2758585296871798</v>
      </c>
      <c r="DE159" s="8">
        <f t="shared" si="441"/>
        <v>5.8842989329189064E-5</v>
      </c>
      <c r="DF159" s="8">
        <f t="shared" si="442"/>
        <v>7.6709184149741198E-3</v>
      </c>
      <c r="DG159" s="8">
        <f t="shared" si="443"/>
        <v>5.8842989329189064E-5</v>
      </c>
      <c r="DH159" s="8">
        <f t="shared" si="444"/>
        <v>7.6709184149741198E-3</v>
      </c>
      <c r="DI159" s="216">
        <f t="shared" si="445"/>
        <v>2.4939039647850252</v>
      </c>
      <c r="DJ159" s="116">
        <f t="shared" si="446"/>
        <v>2.2758585461808676</v>
      </c>
      <c r="DK159" s="8">
        <f t="shared" si="447"/>
        <v>5.8842989755638196E-5</v>
      </c>
      <c r="DL159" s="8">
        <f t="shared" si="448"/>
        <v>7.6709184427706046E-3</v>
      </c>
      <c r="DM159" s="8">
        <f t="shared" si="449"/>
        <v>5.8842989755638196E-5</v>
      </c>
      <c r="DN159" s="8">
        <f t="shared" si="450"/>
        <v>7.6709184427706046E-3</v>
      </c>
      <c r="DO159" s="216">
        <f t="shared" si="451"/>
        <v>2.4939039647572288</v>
      </c>
      <c r="DP159" s="116">
        <f t="shared" si="452"/>
        <v>2.275858546206234</v>
      </c>
      <c r="DQ159" s="170">
        <f t="shared" si="453"/>
        <v>5.884298975629405E-5</v>
      </c>
      <c r="DR159" s="8">
        <f t="shared" si="454"/>
        <v>7.6709184428133542E-3</v>
      </c>
      <c r="DS159" s="8">
        <f t="shared" si="455"/>
        <v>5.884298975629405E-5</v>
      </c>
      <c r="DT159" s="134">
        <f t="shared" si="456"/>
        <v>7.6709184428133542E-3</v>
      </c>
      <c r="DU159" s="170">
        <f t="shared" si="566"/>
        <v>3.9589056222337476E-3</v>
      </c>
      <c r="DV159" s="170">
        <f t="shared" si="566"/>
        <v>6.2919834887209827E-2</v>
      </c>
      <c r="DW159" s="170">
        <f t="shared" si="566"/>
        <v>3.9589056222337476E-3</v>
      </c>
      <c r="DX159" s="272">
        <f t="shared" si="566"/>
        <v>6.2919834887209827E-2</v>
      </c>
      <c r="DY159" s="272">
        <f t="shared" si="457"/>
        <v>2.3757352134255796</v>
      </c>
      <c r="DZ159" s="22">
        <f t="shared" si="326"/>
        <v>1.9209848124850228</v>
      </c>
      <c r="EA159" s="216">
        <f t="shared" si="571"/>
        <v>1.2585492625305495E-4</v>
      </c>
      <c r="EB159" s="12">
        <f t="shared" si="458"/>
        <v>1</v>
      </c>
      <c r="EC159" s="7">
        <f>ROUND(MAX(DV159,DX159)/'Inputs-Imperial'!$E$21,0)</f>
        <v>1</v>
      </c>
      <c r="ED159" s="12">
        <f t="shared" si="459"/>
        <v>1</v>
      </c>
      <c r="EE159" s="2">
        <f t="shared" si="460"/>
        <v>2</v>
      </c>
      <c r="EF159" s="127">
        <f t="shared" si="461"/>
        <v>2</v>
      </c>
      <c r="EG159" s="2">
        <f t="shared" si="462"/>
        <v>1.5748031496062995E-2</v>
      </c>
      <c r="EH159" s="8">
        <f t="shared" si="328"/>
        <v>1.3244700095733689E-3</v>
      </c>
      <c r="EI159" s="138">
        <f t="shared" si="463"/>
        <v>0.25</v>
      </c>
      <c r="EJ159" s="12">
        <f t="shared" si="329"/>
        <v>109.78428203351903</v>
      </c>
      <c r="EK159" s="138">
        <f t="shared" si="464"/>
        <v>0.25</v>
      </c>
      <c r="EL159" s="116">
        <f t="shared" si="465"/>
        <v>2175570</v>
      </c>
      <c r="EM159" s="2">
        <f t="shared" si="330"/>
        <v>1.5748031496062995E-2</v>
      </c>
      <c r="EN159" s="8">
        <f t="shared" si="466"/>
        <v>2.5015748831999995</v>
      </c>
      <c r="EO159" s="116">
        <f t="shared" si="467"/>
        <v>2610.6840000000002</v>
      </c>
      <c r="EP159" s="217">
        <f t="shared" si="468"/>
        <v>2.5871867091583636</v>
      </c>
      <c r="EQ159" s="207">
        <f t="shared" si="469"/>
        <v>2</v>
      </c>
      <c r="ER159" s="144">
        <f t="shared" si="470"/>
        <v>107224.94027747173</v>
      </c>
      <c r="ES159" s="138">
        <f t="shared" si="572"/>
        <v>0.25</v>
      </c>
      <c r="ET159" s="116">
        <f t="shared" si="471"/>
        <v>2175570</v>
      </c>
      <c r="EU159" s="2">
        <f t="shared" si="332"/>
        <v>1.5748031496062995E-2</v>
      </c>
      <c r="EV159" s="8">
        <f t="shared" si="472"/>
        <v>2.5015748831999995</v>
      </c>
      <c r="EW159" s="116">
        <f t="shared" si="473"/>
        <v>2610.6840000000002</v>
      </c>
      <c r="EX159" s="217">
        <f t="shared" si="474"/>
        <v>2.5871867091583636</v>
      </c>
      <c r="EY159" s="207">
        <f t="shared" si="475"/>
        <v>2</v>
      </c>
      <c r="EZ159" s="144">
        <f t="shared" si="476"/>
        <v>107224.94027747173</v>
      </c>
      <c r="FA159" s="138">
        <f t="shared" si="573"/>
        <v>0.25</v>
      </c>
      <c r="FB159" s="116">
        <f t="shared" si="477"/>
        <v>2175570</v>
      </c>
      <c r="FC159" s="2">
        <f t="shared" si="334"/>
        <v>1.5748031496062995E-2</v>
      </c>
      <c r="FD159" s="8">
        <f t="shared" si="478"/>
        <v>2.5015748831999995</v>
      </c>
      <c r="FE159" s="116">
        <f t="shared" si="479"/>
        <v>2610.6840000000002</v>
      </c>
      <c r="FF159" s="217">
        <f t="shared" si="480"/>
        <v>2.5871867091583636</v>
      </c>
      <c r="FG159" s="207">
        <f t="shared" si="481"/>
        <v>2</v>
      </c>
      <c r="FH159" s="144">
        <f t="shared" si="482"/>
        <v>107224.94027747173</v>
      </c>
      <c r="FI159" s="128">
        <f t="shared" si="483"/>
        <v>0.25</v>
      </c>
      <c r="FJ159" s="2">
        <f t="shared" si="484"/>
        <v>1.5748031496062995E-2</v>
      </c>
      <c r="FK159" s="127">
        <f t="shared" si="485"/>
        <v>1.5748031496062995E-2</v>
      </c>
      <c r="FL159" s="216">
        <f t="shared" si="486"/>
        <v>0</v>
      </c>
      <c r="FM159" s="138">
        <f t="shared" si="487"/>
        <v>0</v>
      </c>
      <c r="FN159" s="138">
        <f t="shared" si="488"/>
        <v>0</v>
      </c>
      <c r="FO159" s="238">
        <f t="shared" si="489"/>
        <v>0.25</v>
      </c>
      <c r="FP159" s="216">
        <f t="shared" si="335"/>
        <v>0</v>
      </c>
      <c r="FQ159" s="138">
        <f t="shared" si="336"/>
        <v>0</v>
      </c>
      <c r="FR159" s="138">
        <f t="shared" si="337"/>
        <v>0</v>
      </c>
      <c r="FS159" s="238">
        <f t="shared" si="338"/>
        <v>0.25</v>
      </c>
      <c r="FT159" s="216">
        <f t="shared" si="490"/>
        <v>0</v>
      </c>
      <c r="FU159" s="138">
        <f t="shared" si="491"/>
        <v>0</v>
      </c>
      <c r="FV159" s="138">
        <f t="shared" si="492"/>
        <v>0</v>
      </c>
      <c r="FW159" s="238">
        <f t="shared" si="493"/>
        <v>1.5748031496062995E-2</v>
      </c>
      <c r="FX159" s="216">
        <f t="shared" si="339"/>
        <v>0</v>
      </c>
      <c r="FY159" s="138">
        <f t="shared" si="340"/>
        <v>0</v>
      </c>
      <c r="FZ159" s="138">
        <f t="shared" si="341"/>
        <v>0</v>
      </c>
      <c r="GA159" s="238">
        <f t="shared" si="342"/>
        <v>1.5748031496062995E-2</v>
      </c>
      <c r="GB159" s="216">
        <f t="shared" si="494"/>
        <v>0</v>
      </c>
      <c r="GC159" s="138">
        <f t="shared" si="495"/>
        <v>0</v>
      </c>
      <c r="GD159" s="138">
        <f t="shared" si="496"/>
        <v>0</v>
      </c>
      <c r="GE159" s="238">
        <f t="shared" si="497"/>
        <v>1.5748031496062995E-2</v>
      </c>
      <c r="GF159" s="216">
        <f t="shared" si="343"/>
        <v>0</v>
      </c>
      <c r="GG159" s="138">
        <f t="shared" si="344"/>
        <v>0</v>
      </c>
      <c r="GH159" s="138">
        <f t="shared" si="345"/>
        <v>0</v>
      </c>
      <c r="GI159" s="238">
        <f t="shared" si="346"/>
        <v>1.5748031496062995E-2</v>
      </c>
      <c r="GJ159" s="216">
        <f t="shared" si="498"/>
        <v>0.25</v>
      </c>
      <c r="GK159" s="216">
        <f t="shared" si="499"/>
        <v>1.5748031496062995E-2</v>
      </c>
      <c r="GL159" s="17">
        <f t="shared" si="500"/>
        <v>1.5748031496062995E-2</v>
      </c>
      <c r="GM159" s="216">
        <f t="shared" si="347"/>
        <v>3.8837730920346303E-5</v>
      </c>
      <c r="GN159" s="2">
        <f t="shared" si="501"/>
        <v>1</v>
      </c>
      <c r="GO159" s="2">
        <f t="shared" si="502"/>
        <v>2</v>
      </c>
      <c r="GP159" s="142">
        <f t="shared" si="503"/>
        <v>2</v>
      </c>
      <c r="GQ159" s="2">
        <f t="shared" si="504"/>
        <v>1.5748031496062995E-2</v>
      </c>
      <c r="GR159" s="8">
        <f t="shared" si="348"/>
        <v>4.0871987593437867E-4</v>
      </c>
      <c r="GS159" s="138">
        <f t="shared" si="505"/>
        <v>0.25</v>
      </c>
      <c r="GT159" s="12">
        <f t="shared" si="349"/>
        <v>33.878470488537786</v>
      </c>
      <c r="GU159" s="138">
        <f t="shared" si="506"/>
        <v>0.25</v>
      </c>
      <c r="GV159" s="116">
        <f t="shared" si="507"/>
        <v>2175570</v>
      </c>
      <c r="GW159" s="2">
        <f t="shared" si="350"/>
        <v>1.5748031496062995E-2</v>
      </c>
      <c r="GX159" s="8">
        <f t="shared" si="351"/>
        <v>1.2507874415999998</v>
      </c>
      <c r="GY159" s="116">
        <f t="shared" si="508"/>
        <v>2610.6840000000002</v>
      </c>
      <c r="GZ159" s="217">
        <f t="shared" si="509"/>
        <v>10.348746836633454</v>
      </c>
      <c r="HA159" s="207">
        <f t="shared" si="510"/>
        <v>2</v>
      </c>
      <c r="HB159" s="144">
        <f t="shared" si="511"/>
        <v>428899.76110988692</v>
      </c>
      <c r="HC159" s="138">
        <f t="shared" si="574"/>
        <v>0.25</v>
      </c>
      <c r="HD159" s="116">
        <f t="shared" si="512"/>
        <v>2175570</v>
      </c>
      <c r="HE159" s="2">
        <f t="shared" si="353"/>
        <v>1.5748031496062995E-2</v>
      </c>
      <c r="HF159" s="8">
        <f t="shared" si="513"/>
        <v>1.2507874415999998</v>
      </c>
      <c r="HG159" s="116">
        <f t="shared" si="514"/>
        <v>2610.6840000000002</v>
      </c>
      <c r="HH159" s="217">
        <f t="shared" si="515"/>
        <v>10.348746836633454</v>
      </c>
      <c r="HI159" s="207">
        <f t="shared" si="516"/>
        <v>2</v>
      </c>
      <c r="HJ159" s="144">
        <f t="shared" si="517"/>
        <v>428899.76110988692</v>
      </c>
      <c r="HK159" s="138">
        <f t="shared" si="575"/>
        <v>0.25</v>
      </c>
      <c r="HL159" s="116">
        <f t="shared" si="518"/>
        <v>2175570</v>
      </c>
      <c r="HM159" s="2">
        <f t="shared" si="355"/>
        <v>1.5748031496062995E-2</v>
      </c>
      <c r="HN159" s="8">
        <f t="shared" si="519"/>
        <v>1.2507874415999998</v>
      </c>
      <c r="HO159" s="116">
        <f t="shared" si="520"/>
        <v>2610.6840000000002</v>
      </c>
      <c r="HP159" s="217">
        <f t="shared" si="521"/>
        <v>10.348746836633454</v>
      </c>
      <c r="HQ159" s="207">
        <f t="shared" si="522"/>
        <v>2</v>
      </c>
      <c r="HR159" s="144">
        <f t="shared" si="523"/>
        <v>428899.76110988692</v>
      </c>
      <c r="HS159" s="128">
        <f t="shared" si="524"/>
        <v>0.25</v>
      </c>
      <c r="HT159" s="2">
        <f t="shared" si="525"/>
        <v>1.5748031496062995E-2</v>
      </c>
      <c r="HU159" s="127">
        <f t="shared" si="526"/>
        <v>1.5748031496062995E-2</v>
      </c>
      <c r="HV159" s="216">
        <f t="shared" si="527"/>
        <v>0</v>
      </c>
      <c r="HW159" s="138">
        <f t="shared" si="528"/>
        <v>0</v>
      </c>
      <c r="HX159" s="138">
        <f t="shared" si="529"/>
        <v>0</v>
      </c>
      <c r="HY159" s="238">
        <f t="shared" si="530"/>
        <v>0.25</v>
      </c>
      <c r="HZ159" s="138">
        <f t="shared" si="531"/>
        <v>0</v>
      </c>
      <c r="IA159" s="138">
        <f t="shared" si="532"/>
        <v>0</v>
      </c>
      <c r="IB159" s="138">
        <f t="shared" si="533"/>
        <v>0</v>
      </c>
      <c r="IC159" s="138">
        <f t="shared" si="534"/>
        <v>0.25</v>
      </c>
      <c r="ID159" s="216">
        <f t="shared" si="535"/>
        <v>0</v>
      </c>
      <c r="IE159" s="138">
        <f t="shared" si="536"/>
        <v>0</v>
      </c>
      <c r="IF159" s="138">
        <f t="shared" si="537"/>
        <v>0</v>
      </c>
      <c r="IG159" s="238">
        <f t="shared" si="538"/>
        <v>1.5748031496062995E-2</v>
      </c>
      <c r="IH159" s="138">
        <f t="shared" si="539"/>
        <v>0</v>
      </c>
      <c r="II159" s="138">
        <f t="shared" si="540"/>
        <v>0</v>
      </c>
      <c r="IJ159" s="138">
        <f t="shared" si="541"/>
        <v>0</v>
      </c>
      <c r="IK159" s="138">
        <f t="shared" si="542"/>
        <v>1.5748031496062995E-2</v>
      </c>
      <c r="IL159" s="216">
        <f t="shared" si="543"/>
        <v>0</v>
      </c>
      <c r="IM159" s="138">
        <f t="shared" si="544"/>
        <v>0</v>
      </c>
      <c r="IN159" s="138">
        <f t="shared" si="545"/>
        <v>0</v>
      </c>
      <c r="IO159" s="238">
        <f t="shared" si="546"/>
        <v>1.5748031496062995E-2</v>
      </c>
      <c r="IP159" s="138">
        <f t="shared" si="547"/>
        <v>0</v>
      </c>
      <c r="IQ159" s="138">
        <f t="shared" si="548"/>
        <v>0</v>
      </c>
      <c r="IR159" s="138">
        <f t="shared" si="549"/>
        <v>0</v>
      </c>
      <c r="IS159" s="138">
        <f t="shared" si="550"/>
        <v>1.5748031496062995E-2</v>
      </c>
      <c r="IT159" s="17">
        <f t="shared" si="551"/>
        <v>0.25</v>
      </c>
      <c r="IU159" s="17">
        <f t="shared" si="552"/>
        <v>1.5748031496062995E-2</v>
      </c>
      <c r="IV159" s="17">
        <f t="shared" si="553"/>
        <v>1.5748031496062995E-2</v>
      </c>
      <c r="IW159" s="253">
        <f t="shared" si="554"/>
        <v>6.9488191199999996</v>
      </c>
      <c r="IX159" s="116">
        <f t="shared" si="576"/>
        <v>8.1679671806025506E-2</v>
      </c>
      <c r="IY159" s="8">
        <f t="shared" si="357"/>
        <v>2.1118518544974117E-6</v>
      </c>
      <c r="IZ159" s="8">
        <f t="shared" si="555"/>
        <v>2.1118518544974117E-6</v>
      </c>
      <c r="JA159" s="8">
        <f t="shared" si="556"/>
        <v>1.0559259272487059E-6</v>
      </c>
      <c r="JB159" s="134">
        <f t="shared" si="557"/>
        <v>1.0275825646869968E-3</v>
      </c>
      <c r="JC159" s="170">
        <f t="shared" si="567"/>
        <v>6.9595306634633145E-5</v>
      </c>
      <c r="JD159" s="272">
        <f t="shared" si="568"/>
        <v>8.3423801540467545E-3</v>
      </c>
      <c r="JE159" s="8"/>
      <c r="JF159" s="8"/>
    </row>
    <row r="160" spans="1:266" ht="15.75" thickBot="1" x14ac:dyDescent="0.3">
      <c r="A160" s="190">
        <v>100</v>
      </c>
      <c r="B160" s="191">
        <f>A160/100*'Inputs-Imperial'!$E$5</f>
        <v>9.8425200000000004</v>
      </c>
      <c r="C160" s="192">
        <f>'Inputs-Imperial'!$E$10+('Inputs-Imperial'!$E$9-'Inputs-Imperial'!$E$10)*(100-A160)/100</f>
        <v>1.1482939999999999</v>
      </c>
      <c r="D160" s="191">
        <f t="shared" si="558"/>
        <v>9.8425199999999435E-2</v>
      </c>
      <c r="E160" s="192">
        <f t="shared" si="559"/>
        <v>0.11350544260855136</v>
      </c>
      <c r="F160" s="423">
        <f>Loads!P120</f>
        <v>0</v>
      </c>
      <c r="G160" s="423">
        <f>Loads!M120</f>
        <v>0</v>
      </c>
      <c r="H160" s="423">
        <f>Loads!N120</f>
        <v>0</v>
      </c>
      <c r="I160" s="423">
        <f>Loads!V120</f>
        <v>0</v>
      </c>
      <c r="J160" s="423">
        <f>Loads!Q120</f>
        <v>0</v>
      </c>
      <c r="K160" s="29">
        <v>100</v>
      </c>
      <c r="L160" s="168">
        <f t="shared" si="358"/>
        <v>118.11024</v>
      </c>
      <c r="M160" s="172">
        <f t="shared" si="359"/>
        <v>13.779527999999999</v>
      </c>
      <c r="N160" s="172">
        <f t="shared" si="360"/>
        <v>1.1811023999999932</v>
      </c>
      <c r="O160" s="137">
        <f t="shared" si="361"/>
        <v>16.344783735631395</v>
      </c>
      <c r="P160" s="153">
        <f t="shared" si="362"/>
        <v>0</v>
      </c>
      <c r="Q160" s="168">
        <f t="shared" si="363"/>
        <v>0</v>
      </c>
      <c r="R160" s="168">
        <f t="shared" si="364"/>
        <v>0</v>
      </c>
      <c r="S160" s="168">
        <f t="shared" si="365"/>
        <v>0</v>
      </c>
      <c r="T160" s="137">
        <f t="shared" si="366"/>
        <v>0</v>
      </c>
      <c r="U160" s="122">
        <f t="shared" si="313"/>
        <v>2.4803150399999998</v>
      </c>
      <c r="V160" s="122">
        <f t="shared" si="314"/>
        <v>2.4803150399999998</v>
      </c>
      <c r="W160" s="132">
        <f t="shared" si="315"/>
        <v>1.2401575199999999</v>
      </c>
      <c r="X160" s="317">
        <f t="shared" si="316"/>
        <v>3.4448819999999998</v>
      </c>
      <c r="Y160" s="172">
        <f t="shared" si="317"/>
        <v>10.334645999999999</v>
      </c>
      <c r="Z160" s="172">
        <f t="shared" si="569"/>
        <v>6.8897639999999996</v>
      </c>
      <c r="AA160" s="318">
        <f t="shared" si="367"/>
        <v>10.334645999999999</v>
      </c>
      <c r="AB160" s="170">
        <f t="shared" si="368"/>
        <v>1.8602362799999999</v>
      </c>
      <c r="AC160" s="172">
        <f t="shared" si="369"/>
        <v>10.334645999999999</v>
      </c>
      <c r="AD160" s="137">
        <f t="shared" si="370"/>
        <v>15.099188137575247</v>
      </c>
      <c r="AE160" s="153">
        <f t="shared" si="319"/>
        <v>0</v>
      </c>
      <c r="AF160" s="168">
        <f t="shared" si="320"/>
        <v>0</v>
      </c>
      <c r="AG160" s="218">
        <f t="shared" si="570"/>
        <v>0</v>
      </c>
      <c r="AH160" s="29">
        <f t="shared" si="371"/>
        <v>0</v>
      </c>
      <c r="AI160" s="29">
        <f t="shared" si="372"/>
        <v>3</v>
      </c>
      <c r="AJ160" s="123">
        <f t="shared" si="373"/>
        <v>2</v>
      </c>
      <c r="AK160" s="29">
        <f t="shared" si="374"/>
        <v>1.5748031496062995E-2</v>
      </c>
      <c r="AL160" s="122">
        <f t="shared" si="322"/>
        <v>0</v>
      </c>
      <c r="AM160" s="220">
        <f t="shared" si="375"/>
        <v>0.25</v>
      </c>
      <c r="AN160" s="168">
        <f t="shared" si="323"/>
        <v>0</v>
      </c>
      <c r="AO160" s="220">
        <f t="shared" si="376"/>
        <v>0.25</v>
      </c>
      <c r="AP160" s="221">
        <f t="shared" si="377"/>
        <v>2175570</v>
      </c>
      <c r="AQ160" s="29">
        <f t="shared" si="378"/>
        <v>1.5748031496062995E-2</v>
      </c>
      <c r="AR160" s="8">
        <f t="shared" si="379"/>
        <v>6.8897639999999996</v>
      </c>
      <c r="AS160" s="221">
        <f t="shared" si="380"/>
        <v>2610.6840000000002</v>
      </c>
      <c r="AT160" s="222">
        <f t="shared" si="381"/>
        <v>0.3410720214199206</v>
      </c>
      <c r="AU160" s="223">
        <f t="shared" si="382"/>
        <v>2.4150310063410632</v>
      </c>
      <c r="AV160" s="224">
        <f t="shared" si="383"/>
        <v>17068.951797209582</v>
      </c>
      <c r="AW160" s="220">
        <f t="shared" si="384"/>
        <v>0.25</v>
      </c>
      <c r="AX160" s="221">
        <f t="shared" si="385"/>
        <v>2175570</v>
      </c>
      <c r="AY160" s="29">
        <f t="shared" si="386"/>
        <v>1.5748031496062995E-2</v>
      </c>
      <c r="AZ160" s="8">
        <f t="shared" si="387"/>
        <v>6.8897639999999996</v>
      </c>
      <c r="BA160" s="221">
        <f t="shared" si="388"/>
        <v>2610.6840000000002</v>
      </c>
      <c r="BB160" s="222">
        <f t="shared" si="389"/>
        <v>0.3410720214199206</v>
      </c>
      <c r="BC160" s="223">
        <f t="shared" si="390"/>
        <v>2.4150310063410632</v>
      </c>
      <c r="BD160" s="224">
        <f t="shared" si="391"/>
        <v>17068.951797209582</v>
      </c>
      <c r="BE160" s="220">
        <f t="shared" si="392"/>
        <v>0.25</v>
      </c>
      <c r="BF160" s="221">
        <f t="shared" si="393"/>
        <v>2175570</v>
      </c>
      <c r="BG160" s="29">
        <f t="shared" si="394"/>
        <v>1.5748031496062995E-2</v>
      </c>
      <c r="BH160" s="8">
        <f t="shared" si="395"/>
        <v>6.8897639999999996</v>
      </c>
      <c r="BI160" s="221">
        <f t="shared" si="396"/>
        <v>2610.6840000000002</v>
      </c>
      <c r="BJ160" s="222">
        <f t="shared" si="397"/>
        <v>0.3410720214199206</v>
      </c>
      <c r="BK160" s="223">
        <f t="shared" si="398"/>
        <v>2.4150310063410632</v>
      </c>
      <c r="BL160" s="224">
        <f t="shared" si="399"/>
        <v>17068.951797209582</v>
      </c>
      <c r="BM160" s="218">
        <f t="shared" si="400"/>
        <v>0.25</v>
      </c>
      <c r="BN160" s="218">
        <f t="shared" si="401"/>
        <v>2.3622047244094495E-2</v>
      </c>
      <c r="BO160" s="267">
        <f t="shared" si="402"/>
        <v>1.5748031496062995E-2</v>
      </c>
      <c r="BP160" s="218">
        <f t="shared" si="403"/>
        <v>0</v>
      </c>
      <c r="BQ160" s="220">
        <f t="shared" si="404"/>
        <v>0</v>
      </c>
      <c r="BR160" s="220">
        <f t="shared" si="405"/>
        <v>0</v>
      </c>
      <c r="BS160" s="267">
        <f t="shared" si="406"/>
        <v>0.25</v>
      </c>
      <c r="BT160" s="220">
        <f t="shared" si="407"/>
        <v>0</v>
      </c>
      <c r="BU160" s="220">
        <f t="shared" si="408"/>
        <v>0</v>
      </c>
      <c r="BV160" s="220">
        <f t="shared" si="409"/>
        <v>0</v>
      </c>
      <c r="BW160" s="267">
        <f>IF(BS160&gt;0,MAX(BS$60:BS$160),0)</f>
        <v>0.25</v>
      </c>
      <c r="BX160" s="218">
        <f t="shared" si="411"/>
        <v>0</v>
      </c>
      <c r="BY160" s="220">
        <f t="shared" si="412"/>
        <v>0</v>
      </c>
      <c r="BZ160" s="220">
        <f t="shared" si="413"/>
        <v>0</v>
      </c>
      <c r="CA160" s="267">
        <f t="shared" si="414"/>
        <v>2.3622047244094495E-2</v>
      </c>
      <c r="CB160" s="220">
        <f t="shared" si="415"/>
        <v>0</v>
      </c>
      <c r="CC160" s="220">
        <f t="shared" si="416"/>
        <v>0</v>
      </c>
      <c r="CD160" s="220">
        <f t="shared" si="417"/>
        <v>0</v>
      </c>
      <c r="CE160" s="267">
        <f t="shared" si="418"/>
        <v>2.3622047244094495E-2</v>
      </c>
      <c r="CF160" s="218">
        <f t="shared" si="419"/>
        <v>0</v>
      </c>
      <c r="CG160" s="220">
        <f t="shared" si="420"/>
        <v>0</v>
      </c>
      <c r="CH160" s="220">
        <f t="shared" si="421"/>
        <v>0</v>
      </c>
      <c r="CI160" s="267">
        <f t="shared" si="422"/>
        <v>1.5748031496062995E-2</v>
      </c>
      <c r="CJ160" s="220">
        <f t="shared" si="423"/>
        <v>0</v>
      </c>
      <c r="CK160" s="220">
        <f t="shared" si="424"/>
        <v>0</v>
      </c>
      <c r="CL160" s="220">
        <f t="shared" si="425"/>
        <v>0</v>
      </c>
      <c r="CM160" s="267">
        <f t="shared" si="426"/>
        <v>1.5748031496062995E-2</v>
      </c>
      <c r="CN160" s="206">
        <f t="shared" si="427"/>
        <v>0.25</v>
      </c>
      <c r="CO160" s="206">
        <f t="shared" si="428"/>
        <v>2.3622047244094495E-2</v>
      </c>
      <c r="CP160" s="206">
        <f t="shared" si="429"/>
        <v>1.5748031496062995E-2</v>
      </c>
      <c r="CQ160" s="206">
        <f>$U160-IF('Inputs-Imperial'!$E$13,0,2)*($CO160+$CN160+$CP160)</f>
        <v>2.4803150399999998</v>
      </c>
      <c r="CR160" s="221">
        <f t="shared" si="430"/>
        <v>0</v>
      </c>
      <c r="CS160" s="122">
        <f t="shared" si="324"/>
        <v>0</v>
      </c>
      <c r="CT160" s="122">
        <f t="shared" si="431"/>
        <v>0</v>
      </c>
      <c r="CU160" s="122">
        <f t="shared" si="325"/>
        <v>0</v>
      </c>
      <c r="CV160" s="122">
        <f t="shared" si="432"/>
        <v>0</v>
      </c>
      <c r="CW160" s="218">
        <f t="shared" si="433"/>
        <v>2.4803150399999998</v>
      </c>
      <c r="CX160" s="221">
        <f t="shared" si="434"/>
        <v>0</v>
      </c>
      <c r="CY160" s="122">
        <f t="shared" si="435"/>
        <v>0</v>
      </c>
      <c r="CZ160" s="122">
        <f t="shared" si="436"/>
        <v>0</v>
      </c>
      <c r="DA160" s="122">
        <f t="shared" si="437"/>
        <v>0</v>
      </c>
      <c r="DB160" s="122">
        <f t="shared" si="438"/>
        <v>0</v>
      </c>
      <c r="DC160" s="218">
        <f t="shared" si="439"/>
        <v>2.4803150399999998</v>
      </c>
      <c r="DD160" s="221">
        <f t="shared" si="440"/>
        <v>0</v>
      </c>
      <c r="DE160" s="122">
        <f t="shared" si="441"/>
        <v>0</v>
      </c>
      <c r="DF160" s="122">
        <f t="shared" si="442"/>
        <v>0</v>
      </c>
      <c r="DG160" s="122">
        <f t="shared" si="443"/>
        <v>0</v>
      </c>
      <c r="DH160" s="122">
        <f t="shared" si="444"/>
        <v>0</v>
      </c>
      <c r="DI160" s="218">
        <f t="shared" si="445"/>
        <v>2.4803150399999998</v>
      </c>
      <c r="DJ160" s="221">
        <f t="shared" si="446"/>
        <v>0</v>
      </c>
      <c r="DK160" s="122">
        <f t="shared" si="447"/>
        <v>0</v>
      </c>
      <c r="DL160" s="122">
        <f t="shared" si="448"/>
        <v>0</v>
      </c>
      <c r="DM160" s="122">
        <f t="shared" si="449"/>
        <v>0</v>
      </c>
      <c r="DN160" s="122">
        <f t="shared" si="450"/>
        <v>0</v>
      </c>
      <c r="DO160" s="218">
        <f t="shared" si="451"/>
        <v>2.4803150399999998</v>
      </c>
      <c r="DP160" s="221">
        <f t="shared" si="452"/>
        <v>0</v>
      </c>
      <c r="DQ160" s="171">
        <f t="shared" si="453"/>
        <v>0</v>
      </c>
      <c r="DR160" s="122">
        <f t="shared" si="454"/>
        <v>0</v>
      </c>
      <c r="DS160" s="122">
        <f t="shared" si="455"/>
        <v>0</v>
      </c>
      <c r="DT160" s="132">
        <f t="shared" si="456"/>
        <v>0</v>
      </c>
      <c r="DU160" s="171">
        <f t="shared" si="566"/>
        <v>3.9589056222337476E-3</v>
      </c>
      <c r="DV160" s="171">
        <f t="shared" si="566"/>
        <v>6.2919834887209827E-2</v>
      </c>
      <c r="DW160" s="171">
        <f t="shared" si="566"/>
        <v>3.9589056222337476E-3</v>
      </c>
      <c r="DX160" s="303">
        <f t="shared" si="566"/>
        <v>6.2919834887209827E-2</v>
      </c>
      <c r="DY160" s="303">
        <f t="shared" si="457"/>
        <v>2.3544753702255798</v>
      </c>
      <c r="DZ160" s="356">
        <f t="shared" si="326"/>
        <v>0</v>
      </c>
      <c r="EA160" s="218">
        <f t="shared" si="571"/>
        <v>0</v>
      </c>
      <c r="EB160" s="168">
        <f t="shared" si="458"/>
        <v>0</v>
      </c>
      <c r="EC160" s="276">
        <f>ROUND(MAX(DV160,DX160)/'Inputs-Imperial'!$E$21,0)</f>
        <v>1</v>
      </c>
      <c r="ED160" s="168">
        <f t="shared" si="459"/>
        <v>1</v>
      </c>
      <c r="EE160" s="29">
        <f t="shared" si="460"/>
        <v>2</v>
      </c>
      <c r="EF160" s="123">
        <f t="shared" si="461"/>
        <v>2</v>
      </c>
      <c r="EG160" s="29">
        <f t="shared" si="462"/>
        <v>1.5748031496062995E-2</v>
      </c>
      <c r="EH160" s="122">
        <f t="shared" si="328"/>
        <v>0</v>
      </c>
      <c r="EI160" s="220">
        <f t="shared" si="463"/>
        <v>0.25</v>
      </c>
      <c r="EJ160" s="168">
        <f t="shared" si="329"/>
        <v>0</v>
      </c>
      <c r="EK160" s="220">
        <f t="shared" si="464"/>
        <v>0.25</v>
      </c>
      <c r="EL160" s="221">
        <f t="shared" si="465"/>
        <v>2175570</v>
      </c>
      <c r="EM160" s="29">
        <f t="shared" si="330"/>
        <v>1.5748031496062995E-2</v>
      </c>
      <c r="EN160" s="122">
        <f t="shared" si="466"/>
        <v>2.4803150399999998</v>
      </c>
      <c r="EO160" s="221">
        <f t="shared" si="467"/>
        <v>2610.6840000000002</v>
      </c>
      <c r="EP160" s="222">
        <f t="shared" si="468"/>
        <v>2.6317285603388934</v>
      </c>
      <c r="EQ160" s="223">
        <f t="shared" si="469"/>
        <v>2</v>
      </c>
      <c r="ER160" s="224">
        <f t="shared" si="470"/>
        <v>109070.95986151404</v>
      </c>
      <c r="ES160" s="220">
        <f t="shared" si="572"/>
        <v>0.25</v>
      </c>
      <c r="ET160" s="221">
        <f t="shared" si="471"/>
        <v>2175570</v>
      </c>
      <c r="EU160" s="29">
        <f t="shared" si="332"/>
        <v>1.5748031496062995E-2</v>
      </c>
      <c r="EV160" s="122">
        <f t="shared" si="472"/>
        <v>2.4803150399999998</v>
      </c>
      <c r="EW160" s="221">
        <f t="shared" si="473"/>
        <v>2610.6840000000002</v>
      </c>
      <c r="EX160" s="222">
        <f t="shared" si="474"/>
        <v>2.6317285603388934</v>
      </c>
      <c r="EY160" s="223">
        <f t="shared" si="475"/>
        <v>2</v>
      </c>
      <c r="EZ160" s="224">
        <f t="shared" si="476"/>
        <v>109070.95986151404</v>
      </c>
      <c r="FA160" s="220">
        <f t="shared" si="573"/>
        <v>0.25</v>
      </c>
      <c r="FB160" s="221">
        <f t="shared" si="477"/>
        <v>2175570</v>
      </c>
      <c r="FC160" s="29">
        <f t="shared" si="334"/>
        <v>1.5748031496062995E-2</v>
      </c>
      <c r="FD160" s="122">
        <f t="shared" si="478"/>
        <v>2.4803150399999998</v>
      </c>
      <c r="FE160" s="221">
        <f t="shared" si="479"/>
        <v>2610.6840000000002</v>
      </c>
      <c r="FF160" s="222">
        <f t="shared" si="480"/>
        <v>2.6317285603388934</v>
      </c>
      <c r="FG160" s="223">
        <f t="shared" si="481"/>
        <v>2</v>
      </c>
      <c r="FH160" s="224">
        <f t="shared" si="482"/>
        <v>109070.95986151404</v>
      </c>
      <c r="FI160" s="131">
        <f t="shared" si="483"/>
        <v>0.25</v>
      </c>
      <c r="FJ160" s="29">
        <f t="shared" si="484"/>
        <v>1.5748031496062995E-2</v>
      </c>
      <c r="FK160" s="123">
        <f t="shared" si="485"/>
        <v>1.5748031496062995E-2</v>
      </c>
      <c r="FL160" s="216">
        <f t="shared" si="486"/>
        <v>0</v>
      </c>
      <c r="FM160" s="138">
        <f t="shared" si="487"/>
        <v>0</v>
      </c>
      <c r="FN160" s="138">
        <f t="shared" si="488"/>
        <v>0</v>
      </c>
      <c r="FO160" s="238">
        <f t="shared" si="489"/>
        <v>0.25</v>
      </c>
      <c r="FP160" s="218">
        <f t="shared" si="335"/>
        <v>0</v>
      </c>
      <c r="FQ160" s="220">
        <f t="shared" si="336"/>
        <v>0</v>
      </c>
      <c r="FR160" s="220">
        <f t="shared" si="337"/>
        <v>0</v>
      </c>
      <c r="FS160" s="267">
        <f t="shared" si="338"/>
        <v>0.25</v>
      </c>
      <c r="FT160" s="216">
        <f t="shared" si="490"/>
        <v>0</v>
      </c>
      <c r="FU160" s="138">
        <f t="shared" si="491"/>
        <v>0</v>
      </c>
      <c r="FV160" s="138">
        <f t="shared" si="492"/>
        <v>0</v>
      </c>
      <c r="FW160" s="238">
        <f t="shared" si="493"/>
        <v>1.5748031496062995E-2</v>
      </c>
      <c r="FX160" s="218">
        <f t="shared" si="339"/>
        <v>0</v>
      </c>
      <c r="FY160" s="220">
        <f t="shared" si="340"/>
        <v>0</v>
      </c>
      <c r="FZ160" s="220">
        <f t="shared" si="341"/>
        <v>0</v>
      </c>
      <c r="GA160" s="267">
        <f t="shared" si="342"/>
        <v>1.5748031496062995E-2</v>
      </c>
      <c r="GB160" s="216">
        <f t="shared" si="494"/>
        <v>0</v>
      </c>
      <c r="GC160" s="138">
        <f t="shared" si="495"/>
        <v>0</v>
      </c>
      <c r="GD160" s="138">
        <f t="shared" si="496"/>
        <v>0</v>
      </c>
      <c r="GE160" s="238">
        <f t="shared" si="497"/>
        <v>1.5748031496062995E-2</v>
      </c>
      <c r="GF160" s="218">
        <f t="shared" si="343"/>
        <v>0</v>
      </c>
      <c r="GG160" s="220">
        <f t="shared" si="344"/>
        <v>0</v>
      </c>
      <c r="GH160" s="220">
        <f t="shared" si="345"/>
        <v>0</v>
      </c>
      <c r="GI160" s="267">
        <f t="shared" si="346"/>
        <v>1.5748031496062995E-2</v>
      </c>
      <c r="GJ160" s="218">
        <f t="shared" si="498"/>
        <v>0.25</v>
      </c>
      <c r="GK160" s="218">
        <f t="shared" si="499"/>
        <v>1.5748031496062995E-2</v>
      </c>
      <c r="GL160" s="206">
        <f t="shared" si="500"/>
        <v>1.5748031496062995E-2</v>
      </c>
      <c r="GM160" s="218">
        <f t="shared" si="347"/>
        <v>0</v>
      </c>
      <c r="GN160" s="29">
        <f t="shared" si="501"/>
        <v>0</v>
      </c>
      <c r="GO160" s="29">
        <f t="shared" si="502"/>
        <v>2</v>
      </c>
      <c r="GP160" s="219">
        <f t="shared" si="503"/>
        <v>2</v>
      </c>
      <c r="GQ160" s="29">
        <f t="shared" si="504"/>
        <v>1.5748031496062995E-2</v>
      </c>
      <c r="GR160" s="122">
        <f t="shared" si="348"/>
        <v>0</v>
      </c>
      <c r="GS160" s="220">
        <f t="shared" si="505"/>
        <v>0.25</v>
      </c>
      <c r="GT160" s="168">
        <f t="shared" si="349"/>
        <v>0</v>
      </c>
      <c r="GU160" s="220">
        <f t="shared" si="506"/>
        <v>0.25</v>
      </c>
      <c r="GV160" s="221">
        <f t="shared" si="507"/>
        <v>2175570</v>
      </c>
      <c r="GW160" s="29">
        <f t="shared" si="350"/>
        <v>1.5748031496062995E-2</v>
      </c>
      <c r="GX160" s="122">
        <f t="shared" si="351"/>
        <v>1.2401575199999999</v>
      </c>
      <c r="GY160" s="221">
        <f t="shared" si="508"/>
        <v>2610.6840000000002</v>
      </c>
      <c r="GZ160" s="222">
        <f t="shared" si="509"/>
        <v>10.526914241355573</v>
      </c>
      <c r="HA160" s="223">
        <f t="shared" si="510"/>
        <v>2</v>
      </c>
      <c r="HB160" s="224">
        <f t="shared" si="511"/>
        <v>436283.83944605617</v>
      </c>
      <c r="HC160" s="220">
        <f t="shared" si="574"/>
        <v>0.25</v>
      </c>
      <c r="HD160" s="221">
        <f t="shared" si="512"/>
        <v>2175570</v>
      </c>
      <c r="HE160" s="29">
        <f t="shared" si="353"/>
        <v>1.5748031496062995E-2</v>
      </c>
      <c r="HF160" s="122">
        <f t="shared" si="513"/>
        <v>1.2401575199999999</v>
      </c>
      <c r="HG160" s="221">
        <f t="shared" si="514"/>
        <v>2610.6840000000002</v>
      </c>
      <c r="HH160" s="222">
        <f t="shared" si="515"/>
        <v>10.526914241355573</v>
      </c>
      <c r="HI160" s="223">
        <f t="shared" si="516"/>
        <v>2</v>
      </c>
      <c r="HJ160" s="224">
        <f t="shared" si="517"/>
        <v>436283.83944605617</v>
      </c>
      <c r="HK160" s="220">
        <f t="shared" si="575"/>
        <v>0.25</v>
      </c>
      <c r="HL160" s="221">
        <f t="shared" si="518"/>
        <v>2175570</v>
      </c>
      <c r="HM160" s="29">
        <f t="shared" si="355"/>
        <v>1.5748031496062995E-2</v>
      </c>
      <c r="HN160" s="122">
        <f t="shared" si="519"/>
        <v>1.2401575199999999</v>
      </c>
      <c r="HO160" s="221">
        <f t="shared" si="520"/>
        <v>2610.6840000000002</v>
      </c>
      <c r="HP160" s="222">
        <f t="shared" si="521"/>
        <v>10.526914241355573</v>
      </c>
      <c r="HQ160" s="223">
        <f t="shared" si="522"/>
        <v>2</v>
      </c>
      <c r="HR160" s="224">
        <f t="shared" si="523"/>
        <v>436283.83944605617</v>
      </c>
      <c r="HS160" s="131">
        <f t="shared" si="524"/>
        <v>0.25</v>
      </c>
      <c r="HT160" s="29">
        <f t="shared" si="525"/>
        <v>1.5748031496062995E-2</v>
      </c>
      <c r="HU160" s="123">
        <f t="shared" si="526"/>
        <v>1.5748031496062995E-2</v>
      </c>
      <c r="HV160" s="218">
        <f t="shared" si="527"/>
        <v>0</v>
      </c>
      <c r="HW160" s="220">
        <f t="shared" si="528"/>
        <v>0</v>
      </c>
      <c r="HX160" s="220">
        <f t="shared" si="529"/>
        <v>0</v>
      </c>
      <c r="HY160" s="267">
        <f t="shared" si="530"/>
        <v>0.25</v>
      </c>
      <c r="HZ160" s="220">
        <f t="shared" si="531"/>
        <v>0</v>
      </c>
      <c r="IA160" s="220">
        <f t="shared" si="532"/>
        <v>0</v>
      </c>
      <c r="IB160" s="220">
        <f t="shared" si="533"/>
        <v>0</v>
      </c>
      <c r="IC160" s="220">
        <f t="shared" si="534"/>
        <v>0.25</v>
      </c>
      <c r="ID160" s="216">
        <f t="shared" si="535"/>
        <v>0</v>
      </c>
      <c r="IE160" s="138">
        <f t="shared" si="536"/>
        <v>0</v>
      </c>
      <c r="IF160" s="138">
        <f t="shared" si="537"/>
        <v>0</v>
      </c>
      <c r="IG160" s="238">
        <f t="shared" si="538"/>
        <v>1.5748031496062995E-2</v>
      </c>
      <c r="IH160" s="220">
        <f t="shared" si="539"/>
        <v>0</v>
      </c>
      <c r="II160" s="220">
        <f t="shared" si="540"/>
        <v>0</v>
      </c>
      <c r="IJ160" s="220">
        <f t="shared" si="541"/>
        <v>0</v>
      </c>
      <c r="IK160" s="220">
        <f t="shared" si="542"/>
        <v>1.5748031496062995E-2</v>
      </c>
      <c r="IL160" s="216">
        <f t="shared" si="543"/>
        <v>0</v>
      </c>
      <c r="IM160" s="138">
        <f t="shared" si="544"/>
        <v>0</v>
      </c>
      <c r="IN160" s="138">
        <f t="shared" si="545"/>
        <v>0</v>
      </c>
      <c r="IO160" s="238">
        <f t="shared" si="546"/>
        <v>1.5748031496062995E-2</v>
      </c>
      <c r="IP160" s="220">
        <f t="shared" si="547"/>
        <v>0</v>
      </c>
      <c r="IQ160" s="220">
        <f t="shared" si="548"/>
        <v>0</v>
      </c>
      <c r="IR160" s="220">
        <f t="shared" si="549"/>
        <v>0</v>
      </c>
      <c r="IS160" s="220">
        <f t="shared" si="550"/>
        <v>1.5748031496062995E-2</v>
      </c>
      <c r="IT160" s="206">
        <f t="shared" si="551"/>
        <v>0.25</v>
      </c>
      <c r="IU160" s="206">
        <f t="shared" si="552"/>
        <v>1.5748031496062995E-2</v>
      </c>
      <c r="IV160" s="206">
        <f t="shared" si="553"/>
        <v>1.5748031496062995E-2</v>
      </c>
      <c r="IW160" s="253">
        <f t="shared" si="554"/>
        <v>6.8897639999999996</v>
      </c>
      <c r="IX160" s="221">
        <f t="shared" si="576"/>
        <v>0</v>
      </c>
      <c r="IY160" s="122">
        <f t="shared" si="357"/>
        <v>0</v>
      </c>
      <c r="IZ160" s="122">
        <f t="shared" si="555"/>
        <v>0</v>
      </c>
      <c r="JA160" s="122">
        <f t="shared" si="556"/>
        <v>0</v>
      </c>
      <c r="JB160" s="132">
        <f t="shared" si="557"/>
        <v>0</v>
      </c>
      <c r="JC160" s="171">
        <f t="shared" si="567"/>
        <v>6.9595306634633145E-5</v>
      </c>
      <c r="JD160" s="303">
        <f t="shared" si="568"/>
        <v>8.3423801540467545E-3</v>
      </c>
      <c r="JE160" s="8"/>
      <c r="JF160" s="8"/>
    </row>
  </sheetData>
  <sheetProtection sheet="1" objects="1" scenarios="1"/>
  <mergeCells count="29">
    <mergeCell ref="IW57:JB57"/>
    <mergeCell ref="HV57:IV57"/>
    <mergeCell ref="GM57:HU57"/>
    <mergeCell ref="GU58:HB58"/>
    <mergeCell ref="HC58:HJ58"/>
    <mergeCell ref="HK58:HR58"/>
    <mergeCell ref="DO58:DT58"/>
    <mergeCell ref="CQ57:DT57"/>
    <mergeCell ref="CR58:CV58"/>
    <mergeCell ref="BP57:CP57"/>
    <mergeCell ref="FL57:GL57"/>
    <mergeCell ref="CW58:DB58"/>
    <mergeCell ref="DC58:DH58"/>
    <mergeCell ref="DI58:DN58"/>
    <mergeCell ref="EA57:FK57"/>
    <mergeCell ref="ES58:EZ58"/>
    <mergeCell ref="FA58:FH58"/>
    <mergeCell ref="EK58:ER58"/>
    <mergeCell ref="DU57:DX57"/>
    <mergeCell ref="K58:O58"/>
    <mergeCell ref="A58:J58"/>
    <mergeCell ref="P58:T58"/>
    <mergeCell ref="AG57:BO57"/>
    <mergeCell ref="AO58:AV58"/>
    <mergeCell ref="AW58:BD58"/>
    <mergeCell ref="BE58:BL58"/>
    <mergeCell ref="AB58:AD58"/>
    <mergeCell ref="U58:W58"/>
    <mergeCell ref="X58:AA58"/>
  </mergeCells>
  <conditionalFormatting sqref="CN60:CP160">
    <cfRule type="colorScale" priority="13">
      <colorScale>
        <cfvo type="min"/>
        <cfvo type="max"/>
        <color rgb="FFFCFCFF"/>
        <color rgb="FFF8696B"/>
      </colorScale>
    </cfRule>
  </conditionalFormatting>
  <conditionalFormatting sqref="CO60:CP160">
    <cfRule type="colorScale" priority="12">
      <colorScale>
        <cfvo type="min"/>
        <cfvo type="max"/>
        <color rgb="FFFCFCFF"/>
        <color rgb="FF63BE7B"/>
      </colorScale>
    </cfRule>
  </conditionalFormatting>
  <conditionalFormatting sqref="DU60:DU160">
    <cfRule type="colorScale" priority="3">
      <colorScale>
        <cfvo type="min"/>
        <cfvo type="max"/>
        <color rgb="FFFCFCFF"/>
        <color rgb="FFF8696B"/>
      </colorScale>
    </cfRule>
  </conditionalFormatting>
  <conditionalFormatting sqref="DW60:DW160">
    <cfRule type="colorScale" priority="2">
      <colorScale>
        <cfvo type="min"/>
        <cfvo type="max"/>
        <color rgb="FFFCFCFF"/>
        <color rgb="FF63BE7B"/>
      </colorScale>
    </cfRule>
  </conditionalFormatting>
  <conditionalFormatting sqref="GJ60:GL160">
    <cfRule type="colorScale" priority="10">
      <colorScale>
        <cfvo type="min"/>
        <cfvo type="max"/>
        <color rgb="FFFCFCFF"/>
        <color rgb="FFF8696B"/>
      </colorScale>
    </cfRule>
  </conditionalFormatting>
  <conditionalFormatting sqref="GK60:GL160">
    <cfRule type="colorScale" priority="9">
      <colorScale>
        <cfvo type="min"/>
        <cfvo type="max"/>
        <color rgb="FFFCFCFF"/>
        <color rgb="FF63BE7B"/>
      </colorScale>
    </cfRule>
  </conditionalFormatting>
  <conditionalFormatting sqref="IT60:IV160">
    <cfRule type="colorScale" priority="5">
      <colorScale>
        <cfvo type="min"/>
        <cfvo type="max"/>
        <color rgb="FFFCFCFF"/>
        <color rgb="FFF8696B"/>
      </colorScale>
    </cfRule>
  </conditionalFormatting>
  <conditionalFormatting sqref="IU60:IV160">
    <cfRule type="colorScale" priority="4">
      <colorScale>
        <cfvo type="min"/>
        <cfvo type="max"/>
        <color rgb="FFFCFCFF"/>
        <color rgb="FF63BE7B"/>
      </colorScale>
    </cfRule>
  </conditionalFormatting>
  <conditionalFormatting sqref="JC60:JC160">
    <cfRule type="colorScale" priority="1">
      <colorScale>
        <cfvo type="min"/>
        <cfvo type="max"/>
        <color rgb="FFFCFCFF"/>
        <color rgb="FFF8696B"/>
      </colorScale>
    </cfRule>
  </conditionalFormatting>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H57"/>
  <sheetViews>
    <sheetView zoomScale="85" zoomScaleNormal="85" workbookViewId="0">
      <selection activeCell="H53" sqref="H53"/>
    </sheetView>
  </sheetViews>
  <sheetFormatPr defaultRowHeight="15" x14ac:dyDescent="0.25"/>
  <cols>
    <col min="2" max="2" width="9.5703125" customWidth="1"/>
    <col min="3" max="3" width="11.85546875" customWidth="1"/>
    <col min="4" max="4" width="13.140625" customWidth="1"/>
    <col min="5" max="5" width="13.42578125" bestFit="1" customWidth="1"/>
    <col min="6" max="6" width="14.85546875" customWidth="1"/>
    <col min="7" max="7" width="16.85546875" customWidth="1"/>
    <col min="8" max="8" width="17.85546875" customWidth="1"/>
    <col min="9" max="9" width="12.42578125" bestFit="1" customWidth="1"/>
    <col min="12" max="12" width="11.140625" customWidth="1"/>
    <col min="13" max="13" width="10.140625" customWidth="1"/>
    <col min="14" max="15" width="15.140625" customWidth="1"/>
  </cols>
  <sheetData>
    <row r="1" spans="1:8" x14ac:dyDescent="0.25">
      <c r="A1" s="352" t="s">
        <v>129</v>
      </c>
    </row>
    <row r="2" spans="1:8" x14ac:dyDescent="0.25">
      <c r="A2" s="5" t="s">
        <v>590</v>
      </c>
    </row>
    <row r="4" spans="1:8" ht="15.75" thickBot="1" x14ac:dyDescent="0.3"/>
    <row r="5" spans="1:8" ht="15.75" thickBot="1" x14ac:dyDescent="0.3">
      <c r="B5" s="441" t="s">
        <v>417</v>
      </c>
      <c r="C5" s="442"/>
      <c r="D5" s="442"/>
      <c r="E5" s="442"/>
      <c r="F5" s="442"/>
      <c r="G5" s="442"/>
      <c r="H5" s="443"/>
    </row>
    <row r="6" spans="1:8" ht="45.75" thickBot="1" x14ac:dyDescent="0.3">
      <c r="B6" s="164" t="s">
        <v>401</v>
      </c>
      <c r="C6" s="252" t="s">
        <v>404</v>
      </c>
      <c r="D6" s="252" t="s">
        <v>405</v>
      </c>
      <c r="E6" s="165" t="s">
        <v>406</v>
      </c>
      <c r="F6" s="252" t="s">
        <v>402</v>
      </c>
      <c r="G6" s="252" t="s">
        <v>411</v>
      </c>
      <c r="H6" s="162" t="s">
        <v>403</v>
      </c>
    </row>
    <row r="7" spans="1:8" x14ac:dyDescent="0.25">
      <c r="B7" s="129">
        <v>1</v>
      </c>
      <c r="C7" s="166">
        <v>0</v>
      </c>
      <c r="D7" s="166">
        <f>'Inputs-Imperial'!$E$6*'Inputs-Imperial'!$E$5*12</f>
        <v>29.527560000000001</v>
      </c>
      <c r="E7" s="166">
        <f>D7-C7</f>
        <v>29.527560000000001</v>
      </c>
      <c r="F7" s="24">
        <f>MAX(Sizing!CB60:CB160)/'Inputs-Imperial'!$E$28</f>
        <v>3</v>
      </c>
      <c r="G7" s="24">
        <f>MAX(Sizing!CJ60:CJ160)/'Inputs-Imperial'!$E$28</f>
        <v>2</v>
      </c>
      <c r="H7" s="121">
        <f>MAX(Sizing!BT60:BT160)</f>
        <v>0.25</v>
      </c>
    </row>
    <row r="8" spans="1:8" x14ac:dyDescent="0.25">
      <c r="B8" s="128">
        <v>2</v>
      </c>
      <c r="C8" s="12">
        <f>D7</f>
        <v>29.527560000000001</v>
      </c>
      <c r="D8" s="12">
        <f>'Inputs-Imperial'!$E$7*'Inputs-Imperial'!$E$5*12</f>
        <v>59.055120000000002</v>
      </c>
      <c r="E8" s="12">
        <f t="shared" ref="E8:E10" si="0">D8-C8</f>
        <v>29.527560000000001</v>
      </c>
      <c r="F8" s="2">
        <f>MAX(Sizing!CC60:CC160)/'Inputs-Imperial'!$E$28</f>
        <v>3</v>
      </c>
      <c r="G8" s="2">
        <f>MAX(Sizing!CK60:CK160)/'Inputs-Imperial'!$E$28</f>
        <v>2</v>
      </c>
      <c r="H8" s="127">
        <f>MAX(Sizing!BU60:BU160)</f>
        <v>0.25</v>
      </c>
    </row>
    <row r="9" spans="1:8" x14ac:dyDescent="0.25">
      <c r="B9" s="128">
        <v>3</v>
      </c>
      <c r="C9" s="12">
        <f>D8</f>
        <v>59.055120000000002</v>
      </c>
      <c r="D9" s="12">
        <f>'Inputs-Imperial'!$E$8*'Inputs-Imperial'!$E$5*12</f>
        <v>88.582680000000011</v>
      </c>
      <c r="E9" s="12">
        <f t="shared" si="0"/>
        <v>29.527560000000008</v>
      </c>
      <c r="F9" s="2">
        <f>MAX(Sizing!CD60:CD160)/'Inputs-Imperial'!$E$28</f>
        <v>3</v>
      </c>
      <c r="G9" s="2">
        <f>MAX(Sizing!CL60:CL160)/'Inputs-Imperial'!$E$28</f>
        <v>2</v>
      </c>
      <c r="H9" s="127">
        <f>MAX(Sizing!BV60:BV160)</f>
        <v>0.25</v>
      </c>
    </row>
    <row r="10" spans="1:8" ht="15.75" thickBot="1" x14ac:dyDescent="0.3">
      <c r="B10" s="131">
        <v>4</v>
      </c>
      <c r="C10" s="168">
        <f>D9</f>
        <v>88.582680000000011</v>
      </c>
      <c r="D10" s="168">
        <f>'Inputs-Imperial'!$E$5*12</f>
        <v>118.11024</v>
      </c>
      <c r="E10" s="168">
        <f t="shared" si="0"/>
        <v>29.527559999999994</v>
      </c>
      <c r="F10" s="29">
        <f>MAX(Sizing!CE60:CE160)/'Inputs-Imperial'!$E$28</f>
        <v>3</v>
      </c>
      <c r="G10" s="29">
        <f>MAX(Sizing!CM60:CM160)/'Inputs-Imperial'!$E$28</f>
        <v>2</v>
      </c>
      <c r="H10" s="123">
        <f>MAX(Sizing!BW60:BW160)</f>
        <v>0.25</v>
      </c>
    </row>
    <row r="11" spans="1:8" ht="15.75" thickBot="1" x14ac:dyDescent="0.3"/>
    <row r="12" spans="1:8" ht="15.75" thickBot="1" x14ac:dyDescent="0.3">
      <c r="B12" s="444" t="s">
        <v>418</v>
      </c>
      <c r="C12" s="445"/>
      <c r="D12" s="445"/>
      <c r="E12" s="445"/>
      <c r="F12" s="445"/>
      <c r="G12" s="445"/>
      <c r="H12" s="446"/>
    </row>
    <row r="13" spans="1:8" ht="45.75" thickBot="1" x14ac:dyDescent="0.3">
      <c r="B13" s="164" t="str">
        <f t="shared" ref="B13:H17" si="1">B6</f>
        <v>Zone</v>
      </c>
      <c r="C13" s="252" t="str">
        <f t="shared" si="1"/>
        <v>BL [in]
Inboard</v>
      </c>
      <c r="D13" s="252" t="str">
        <f t="shared" si="1"/>
        <v>BL [in]
Outboard</v>
      </c>
      <c r="E13" s="165" t="str">
        <f t="shared" si="1"/>
        <v>dSpan [in]</v>
      </c>
      <c r="F13" s="252" t="str">
        <f t="shared" si="1"/>
        <v>OML Plies
[-]</v>
      </c>
      <c r="G13" s="252" t="str">
        <f t="shared" si="1"/>
        <v>IML Plies
[-]</v>
      </c>
      <c r="H13" s="162" t="str">
        <f t="shared" si="1"/>
        <v>Core 
Thickness
 [in]</v>
      </c>
    </row>
    <row r="14" spans="1:8" x14ac:dyDescent="0.25">
      <c r="B14" s="129">
        <f t="shared" si="1"/>
        <v>1</v>
      </c>
      <c r="C14" s="166">
        <f t="shared" si="1"/>
        <v>0</v>
      </c>
      <c r="D14" s="166">
        <f t="shared" si="1"/>
        <v>29.527560000000001</v>
      </c>
      <c r="E14" s="166">
        <f t="shared" si="1"/>
        <v>29.527560000000001</v>
      </c>
      <c r="F14" s="24">
        <f t="shared" si="1"/>
        <v>3</v>
      </c>
      <c r="G14" s="24">
        <f t="shared" si="1"/>
        <v>2</v>
      </c>
      <c r="H14" s="121">
        <f t="shared" si="1"/>
        <v>0.25</v>
      </c>
    </row>
    <row r="15" spans="1:8" x14ac:dyDescent="0.25">
      <c r="B15" s="128">
        <f t="shared" si="1"/>
        <v>2</v>
      </c>
      <c r="C15" s="12">
        <f t="shared" si="1"/>
        <v>29.527560000000001</v>
      </c>
      <c r="D15" s="12">
        <f t="shared" si="1"/>
        <v>59.055120000000002</v>
      </c>
      <c r="E15" s="12">
        <f t="shared" si="1"/>
        <v>29.527560000000001</v>
      </c>
      <c r="F15" s="2">
        <f t="shared" si="1"/>
        <v>3</v>
      </c>
      <c r="G15" s="2">
        <f t="shared" si="1"/>
        <v>2</v>
      </c>
      <c r="H15" s="127">
        <f t="shared" si="1"/>
        <v>0.25</v>
      </c>
    </row>
    <row r="16" spans="1:8" x14ac:dyDescent="0.25">
      <c r="B16" s="128">
        <f t="shared" si="1"/>
        <v>3</v>
      </c>
      <c r="C16" s="12">
        <f t="shared" si="1"/>
        <v>59.055120000000002</v>
      </c>
      <c r="D16" s="12">
        <f t="shared" si="1"/>
        <v>88.582680000000011</v>
      </c>
      <c r="E16" s="12">
        <f t="shared" si="1"/>
        <v>29.527560000000008</v>
      </c>
      <c r="F16" s="2">
        <f t="shared" si="1"/>
        <v>3</v>
      </c>
      <c r="G16" s="2">
        <f t="shared" si="1"/>
        <v>2</v>
      </c>
      <c r="H16" s="127">
        <f t="shared" si="1"/>
        <v>0.25</v>
      </c>
    </row>
    <row r="17" spans="2:8" ht="15.75" thickBot="1" x14ac:dyDescent="0.3">
      <c r="B17" s="131">
        <f t="shared" si="1"/>
        <v>4</v>
      </c>
      <c r="C17" s="168">
        <f t="shared" si="1"/>
        <v>88.582680000000011</v>
      </c>
      <c r="D17" s="168">
        <f t="shared" si="1"/>
        <v>118.11024</v>
      </c>
      <c r="E17" s="168">
        <f t="shared" si="1"/>
        <v>29.527559999999994</v>
      </c>
      <c r="F17" s="29">
        <f t="shared" si="1"/>
        <v>3</v>
      </c>
      <c r="G17" s="29">
        <f t="shared" si="1"/>
        <v>2</v>
      </c>
      <c r="H17" s="123">
        <f t="shared" si="1"/>
        <v>0.25</v>
      </c>
    </row>
    <row r="18" spans="2:8" ht="15.75" thickBot="1" x14ac:dyDescent="0.3"/>
    <row r="19" spans="2:8" ht="15.75" thickBot="1" x14ac:dyDescent="0.3">
      <c r="B19" s="447" t="s">
        <v>407</v>
      </c>
      <c r="C19" s="448"/>
      <c r="D19" s="448"/>
      <c r="E19" s="448"/>
      <c r="F19" s="448"/>
      <c r="G19" s="448"/>
      <c r="H19" s="449"/>
    </row>
    <row r="20" spans="2:8" ht="45.75" thickBot="1" x14ac:dyDescent="0.3">
      <c r="B20" s="164" t="s">
        <v>401</v>
      </c>
      <c r="C20" s="252" t="s">
        <v>404</v>
      </c>
      <c r="D20" s="252" t="s">
        <v>405</v>
      </c>
      <c r="E20" s="165" t="s">
        <v>406</v>
      </c>
      <c r="F20" s="252" t="s">
        <v>410</v>
      </c>
      <c r="G20" s="252" t="s">
        <v>412</v>
      </c>
      <c r="H20" s="162" t="s">
        <v>403</v>
      </c>
    </row>
    <row r="21" spans="2:8" x14ac:dyDescent="0.25">
      <c r="B21" s="129">
        <v>1</v>
      </c>
      <c r="C21" s="166">
        <v>0</v>
      </c>
      <c r="D21" s="166">
        <f>'Inputs-Imperial'!$E$6*'Inputs-Imperial'!$E$5*12</f>
        <v>29.527560000000001</v>
      </c>
      <c r="E21" s="166">
        <f>D21-C21</f>
        <v>29.527560000000001</v>
      </c>
      <c r="F21" s="24">
        <f>MAX(Sizing!FX60:FX160)/'Inputs-Imperial'!$E$28</f>
        <v>3</v>
      </c>
      <c r="G21" s="24">
        <f>MAX(Sizing!GF60:GF160)/'Inputs-Imperial'!$E$28</f>
        <v>3</v>
      </c>
      <c r="H21" s="121">
        <f>MAX(Sizing!FP60:FP160)</f>
        <v>0.25</v>
      </c>
    </row>
    <row r="22" spans="2:8" x14ac:dyDescent="0.25">
      <c r="B22" s="128">
        <v>2</v>
      </c>
      <c r="C22" s="12">
        <f>D21</f>
        <v>29.527560000000001</v>
      </c>
      <c r="D22" s="12">
        <f>'Inputs-Imperial'!$E$7*'Inputs-Imperial'!$E$5*12</f>
        <v>59.055120000000002</v>
      </c>
      <c r="E22" s="12">
        <f t="shared" ref="E22:E24" si="2">D22-C22</f>
        <v>29.527560000000001</v>
      </c>
      <c r="F22" s="2">
        <f>MAX(Sizing!FY60:FY160)/'Inputs-Imperial'!$E$28</f>
        <v>2</v>
      </c>
      <c r="G22" s="2">
        <f>MAX(Sizing!GG60:GG160)/'Inputs-Imperial'!$E$28</f>
        <v>2</v>
      </c>
      <c r="H22" s="127">
        <f>MAX(Sizing!FQ60:FQ160)</f>
        <v>0.25</v>
      </c>
    </row>
    <row r="23" spans="2:8" x14ac:dyDescent="0.25">
      <c r="B23" s="128">
        <v>3</v>
      </c>
      <c r="C23" s="12">
        <f>D22</f>
        <v>59.055120000000002</v>
      </c>
      <c r="D23" s="12">
        <f>'Inputs-Imperial'!$E$8*'Inputs-Imperial'!$E$5*12</f>
        <v>88.582680000000011</v>
      </c>
      <c r="E23" s="12">
        <f t="shared" si="2"/>
        <v>29.527560000000008</v>
      </c>
      <c r="F23" s="2">
        <f>MAX(Sizing!FZ60:FZ160)/'Inputs-Imperial'!$E$28</f>
        <v>2</v>
      </c>
      <c r="G23" s="2">
        <f>MAX(Sizing!GH60:GH160)/'Inputs-Imperial'!$E$28</f>
        <v>2</v>
      </c>
      <c r="H23" s="127">
        <f>MAX(Sizing!FR60:FR160)</f>
        <v>0.25</v>
      </c>
    </row>
    <row r="24" spans="2:8" ht="15.75" thickBot="1" x14ac:dyDescent="0.3">
      <c r="B24" s="131">
        <v>4</v>
      </c>
      <c r="C24" s="168">
        <f>D23</f>
        <v>88.582680000000011</v>
      </c>
      <c r="D24" s="168">
        <f>'Inputs-Imperial'!$E$5*12</f>
        <v>118.11024</v>
      </c>
      <c r="E24" s="168">
        <f t="shared" si="2"/>
        <v>29.527559999999994</v>
      </c>
      <c r="F24" s="29">
        <f>MAX(Sizing!GA60:GA160)/'Inputs-Imperial'!$E$28</f>
        <v>2</v>
      </c>
      <c r="G24" s="29">
        <f>MAX(Sizing!GI60:GI160)/'Inputs-Imperial'!$E$28</f>
        <v>2</v>
      </c>
      <c r="H24" s="123">
        <f>MAX(Sizing!FS60:FS160)</f>
        <v>0.25</v>
      </c>
    </row>
    <row r="25" spans="2:8" ht="15.75" thickBot="1" x14ac:dyDescent="0.3"/>
    <row r="26" spans="2:8" ht="15.75" thickBot="1" x14ac:dyDescent="0.3">
      <c r="B26" s="456" t="s">
        <v>420</v>
      </c>
      <c r="C26" s="457"/>
      <c r="D26" s="457"/>
      <c r="E26" s="457"/>
      <c r="F26" s="457"/>
      <c r="G26" s="457"/>
      <c r="H26" s="458"/>
    </row>
    <row r="27" spans="2:8" ht="45.75" thickBot="1" x14ac:dyDescent="0.3">
      <c r="B27" s="163" t="s">
        <v>401</v>
      </c>
      <c r="C27" s="125" t="s">
        <v>404</v>
      </c>
      <c r="D27" s="125" t="s">
        <v>405</v>
      </c>
      <c r="E27" s="266" t="s">
        <v>406</v>
      </c>
      <c r="F27" s="124" t="s">
        <v>408</v>
      </c>
      <c r="G27" s="154" t="s">
        <v>413</v>
      </c>
      <c r="H27" s="119" t="s">
        <v>415</v>
      </c>
    </row>
    <row r="28" spans="2:8" x14ac:dyDescent="0.25">
      <c r="B28" s="129">
        <v>1</v>
      </c>
      <c r="C28" s="24">
        <v>0</v>
      </c>
      <c r="D28" s="166">
        <f>Sizing!L69</f>
        <v>10.629921599999999</v>
      </c>
      <c r="E28" s="167">
        <f>D28-C28</f>
        <v>10.629921599999999</v>
      </c>
      <c r="F28" s="216">
        <f>Sizing!DU69</f>
        <v>0.41283788277202987</v>
      </c>
      <c r="G28" s="238">
        <f t="shared" ref="G28:G37" si="3">SQRT(F28)</f>
        <v>0.64252461647164139</v>
      </c>
      <c r="H28" s="195">
        <f>G28/2+$H$7+$F$7*'Inputs-Imperial'!$E$28+$G$7*'Inputs-Imperial'!$E$28</f>
        <v>0.6106323869759781</v>
      </c>
    </row>
    <row r="29" spans="2:8" x14ac:dyDescent="0.25">
      <c r="B29" s="128">
        <v>2</v>
      </c>
      <c r="C29" s="12">
        <f>D28</f>
        <v>10.629921599999999</v>
      </c>
      <c r="D29" s="12">
        <f>Sizing!L79</f>
        <v>22.440945600000003</v>
      </c>
      <c r="E29" s="152">
        <f t="shared" ref="E29:E37" si="4">D29-C29</f>
        <v>11.811024000000003</v>
      </c>
      <c r="F29" s="216">
        <f>Sizing!DU79</f>
        <v>0.33770780740629297</v>
      </c>
      <c r="G29" s="238">
        <f t="shared" si="3"/>
        <v>0.58112632654724306</v>
      </c>
      <c r="H29" s="272">
        <f>G29/2+$H$7+$F$7*'Inputs-Imperial'!$E$28+$G$7*'Inputs-Imperial'!$E$28</f>
        <v>0.57993324201377894</v>
      </c>
    </row>
    <row r="30" spans="2:8" x14ac:dyDescent="0.25">
      <c r="B30" s="128">
        <v>3</v>
      </c>
      <c r="C30" s="12">
        <f t="shared" ref="C30:C37" si="5">D29</f>
        <v>22.440945600000003</v>
      </c>
      <c r="D30" s="12">
        <f>Sizing!L89</f>
        <v>34.251969600000002</v>
      </c>
      <c r="E30" s="152">
        <f t="shared" si="4"/>
        <v>11.811024</v>
      </c>
      <c r="F30" s="216">
        <f>Sizing!DU89</f>
        <v>0.26897785437563354</v>
      </c>
      <c r="G30" s="238">
        <f t="shared" si="3"/>
        <v>0.51863074954695232</v>
      </c>
      <c r="H30" s="272">
        <f>G30/2+$H$8+$F$8*'Inputs-Imperial'!$E$28+$G$8*'Inputs-Imperial'!$E$28</f>
        <v>0.54868545351363363</v>
      </c>
    </row>
    <row r="31" spans="2:8" x14ac:dyDescent="0.25">
      <c r="B31" s="128">
        <v>4</v>
      </c>
      <c r="C31" s="12">
        <f t="shared" si="5"/>
        <v>34.251969600000002</v>
      </c>
      <c r="D31" s="12">
        <f>Sizing!L99</f>
        <v>46.062993599999999</v>
      </c>
      <c r="E31" s="152">
        <f t="shared" si="4"/>
        <v>11.811023999999996</v>
      </c>
      <c r="F31" s="216">
        <f>Sizing!DU99</f>
        <v>0.20712205586855234</v>
      </c>
      <c r="G31" s="238">
        <f t="shared" si="3"/>
        <v>0.45510664230326536</v>
      </c>
      <c r="H31" s="272">
        <f>G31/2+$H$8+$F$8*'Inputs-Imperial'!$E$28+$G$8*'Inputs-Imperial'!$E$28</f>
        <v>0.51692339989179015</v>
      </c>
    </row>
    <row r="32" spans="2:8" x14ac:dyDescent="0.25">
      <c r="B32" s="128">
        <v>5</v>
      </c>
      <c r="C32" s="12">
        <f t="shared" si="5"/>
        <v>46.062993599999999</v>
      </c>
      <c r="D32" s="12">
        <f>Sizing!L109</f>
        <v>57.874017600000002</v>
      </c>
      <c r="E32" s="152">
        <f t="shared" si="4"/>
        <v>11.811024000000003</v>
      </c>
      <c r="F32" s="216">
        <f>Sizing!DU109</f>
        <v>0.15260733333097529</v>
      </c>
      <c r="G32" s="238">
        <f t="shared" si="3"/>
        <v>0.39064988587093596</v>
      </c>
      <c r="H32" s="272">
        <f>G32/2+$H$8+$F$8*'Inputs-Imperial'!$E$28+$G$8*'Inputs-Imperial'!$E$28</f>
        <v>0.4846950216756255</v>
      </c>
    </row>
    <row r="33" spans="2:8" x14ac:dyDescent="0.25">
      <c r="B33" s="128">
        <v>6</v>
      </c>
      <c r="C33" s="12">
        <f t="shared" si="5"/>
        <v>57.874017600000002</v>
      </c>
      <c r="D33" s="12">
        <f>Sizing!L119</f>
        <v>69.685041599999991</v>
      </c>
      <c r="E33" s="152">
        <f t="shared" si="4"/>
        <v>11.811023999999989</v>
      </c>
      <c r="F33" s="216">
        <f>Sizing!DU119</f>
        <v>0.10588389379166488</v>
      </c>
      <c r="G33" s="238">
        <f t="shared" si="3"/>
        <v>0.32539805437596714</v>
      </c>
      <c r="H33" s="272">
        <f>G33/2+$H$9+$F$9*'Inputs-Imperial'!$E$28+$G$9*'Inputs-Imperial'!$E$28</f>
        <v>0.45206910592814109</v>
      </c>
    </row>
    <row r="34" spans="2:8" x14ac:dyDescent="0.25">
      <c r="B34" s="128">
        <v>7</v>
      </c>
      <c r="C34" s="12">
        <f t="shared" si="5"/>
        <v>69.685041599999991</v>
      </c>
      <c r="D34" s="12">
        <f>Sizing!L129</f>
        <v>81.496065600000009</v>
      </c>
      <c r="E34" s="152">
        <f t="shared" si="4"/>
        <v>11.811024000000018</v>
      </c>
      <c r="F34" s="216">
        <f>Sizing!DU129</f>
        <v>6.7368736237725546E-2</v>
      </c>
      <c r="G34" s="238">
        <f t="shared" si="3"/>
        <v>0.25955488097457452</v>
      </c>
      <c r="H34" s="272">
        <f>G34/2+$H$9+$F$9*'Inputs-Imperial'!$E$28+$G$9*'Inputs-Imperial'!$E$28</f>
        <v>0.41914751922744475</v>
      </c>
    </row>
    <row r="35" spans="2:8" x14ac:dyDescent="0.25">
      <c r="B35" s="128">
        <v>8</v>
      </c>
      <c r="C35" s="12">
        <f t="shared" si="5"/>
        <v>81.496065600000009</v>
      </c>
      <c r="D35" s="12">
        <f>Sizing!L139</f>
        <v>93.307089600000012</v>
      </c>
      <c r="E35" s="152">
        <f t="shared" si="4"/>
        <v>11.811024000000003</v>
      </c>
      <c r="F35" s="216">
        <f>Sizing!DU139</f>
        <v>3.7417273971028842E-2</v>
      </c>
      <c r="G35" s="238">
        <f t="shared" si="3"/>
        <v>0.19343545169132995</v>
      </c>
      <c r="H35" s="272">
        <f>G35/2+$H$9+$F$9*'Inputs-Imperial'!$E$28+$G$9*'Inputs-Imperial'!$E$28</f>
        <v>0.38608780458582248</v>
      </c>
    </row>
    <row r="36" spans="2:8" x14ac:dyDescent="0.25">
      <c r="B36" s="128">
        <v>9</v>
      </c>
      <c r="C36" s="12">
        <f t="shared" si="5"/>
        <v>93.307089600000012</v>
      </c>
      <c r="D36" s="12">
        <f>Sizing!L149</f>
        <v>105.11811360000002</v>
      </c>
      <c r="E36" s="152">
        <f t="shared" si="4"/>
        <v>11.811024000000003</v>
      </c>
      <c r="F36" s="216">
        <f>Sizing!DU149</f>
        <v>1.6272075519057922E-2</v>
      </c>
      <c r="G36" s="238">
        <f t="shared" si="3"/>
        <v>0.12756204576227964</v>
      </c>
      <c r="H36" s="272">
        <f>G36/2+$H$10+$F$10*'Inputs-Imperial'!$E$28+$G$10*'Inputs-Imperial'!$E$28</f>
        <v>0.35315110162129737</v>
      </c>
    </row>
    <row r="37" spans="2:8" ht="15.75" thickBot="1" x14ac:dyDescent="0.3">
      <c r="B37" s="131">
        <v>10</v>
      </c>
      <c r="C37" s="168">
        <f t="shared" si="5"/>
        <v>105.11811360000002</v>
      </c>
      <c r="D37" s="168">
        <f>Sizing!L160</f>
        <v>118.11024</v>
      </c>
      <c r="E37" s="137">
        <f t="shared" si="4"/>
        <v>12.992126399999989</v>
      </c>
      <c r="F37" s="218">
        <f>Sizing!DU160</f>
        <v>3.9589056222337476E-3</v>
      </c>
      <c r="G37" s="267">
        <f t="shared" si="3"/>
        <v>6.2919834887209827E-2</v>
      </c>
      <c r="H37" s="303">
        <f>G37/2+$H$10+$F$10*'Inputs-Imperial'!$E$28+$G$10*'Inputs-Imperial'!$E$28</f>
        <v>0.32082999618376246</v>
      </c>
    </row>
    <row r="38" spans="2:8" ht="15.75" thickBot="1" x14ac:dyDescent="0.3"/>
    <row r="39" spans="2:8" ht="15.75" thickBot="1" x14ac:dyDescent="0.3">
      <c r="B39" s="453" t="s">
        <v>419</v>
      </c>
      <c r="C39" s="454"/>
      <c r="D39" s="454"/>
      <c r="E39" s="454"/>
      <c r="F39" s="454"/>
      <c r="G39" s="454"/>
      <c r="H39" s="455"/>
    </row>
    <row r="40" spans="2:8" ht="45.75" thickBot="1" x14ac:dyDescent="0.3">
      <c r="B40" s="163" t="str">
        <f t="shared" ref="B40:E50" si="6">B27</f>
        <v>Zone</v>
      </c>
      <c r="C40" s="125" t="str">
        <f t="shared" si="6"/>
        <v>BL [in]
Inboard</v>
      </c>
      <c r="D40" s="125" t="str">
        <f t="shared" si="6"/>
        <v>BL [in]
Outboard</v>
      </c>
      <c r="E40" s="266" t="str">
        <f t="shared" si="6"/>
        <v>dSpan [in]</v>
      </c>
      <c r="F40" s="124" t="s">
        <v>409</v>
      </c>
      <c r="G40" s="154" t="s">
        <v>413</v>
      </c>
      <c r="H40" s="119" t="s">
        <v>416</v>
      </c>
    </row>
    <row r="41" spans="2:8" x14ac:dyDescent="0.25">
      <c r="B41" s="129">
        <f t="shared" si="6"/>
        <v>1</v>
      </c>
      <c r="C41" s="24">
        <f t="shared" si="6"/>
        <v>0</v>
      </c>
      <c r="D41" s="166">
        <f t="shared" si="6"/>
        <v>10.629921599999999</v>
      </c>
      <c r="E41" s="167">
        <f t="shared" si="6"/>
        <v>10.629921599999999</v>
      </c>
      <c r="F41" s="311">
        <f>Sizing!DW69</f>
        <v>0.41283788277202987</v>
      </c>
      <c r="G41" s="238">
        <f t="shared" ref="G41:G50" si="7">SQRT(F41)</f>
        <v>0.64252461647164139</v>
      </c>
      <c r="H41" s="195">
        <f>G41/2+$H$7+$F$7*'Inputs-Imperial'!$E$28+$G$7*'Inputs-Imperial'!$E$28</f>
        <v>0.6106323869759781</v>
      </c>
    </row>
    <row r="42" spans="2:8" x14ac:dyDescent="0.25">
      <c r="B42" s="128">
        <f t="shared" si="6"/>
        <v>2</v>
      </c>
      <c r="C42" s="12">
        <f t="shared" si="6"/>
        <v>10.629921599999999</v>
      </c>
      <c r="D42" s="12">
        <f t="shared" si="6"/>
        <v>22.440945600000003</v>
      </c>
      <c r="E42" s="152">
        <f t="shared" si="6"/>
        <v>11.811024000000003</v>
      </c>
      <c r="F42" s="311">
        <f>Sizing!DW79</f>
        <v>0.33770780740629297</v>
      </c>
      <c r="G42" s="238">
        <f t="shared" si="7"/>
        <v>0.58112632654724306</v>
      </c>
      <c r="H42" s="272">
        <f>G42/2+$H$7+$F$7*'Inputs-Imperial'!$E$28+$G$7*'Inputs-Imperial'!$E$28</f>
        <v>0.57993324201377894</v>
      </c>
    </row>
    <row r="43" spans="2:8" x14ac:dyDescent="0.25">
      <c r="B43" s="128">
        <f t="shared" si="6"/>
        <v>3</v>
      </c>
      <c r="C43" s="12">
        <f t="shared" si="6"/>
        <v>22.440945600000003</v>
      </c>
      <c r="D43" s="12">
        <f t="shared" si="6"/>
        <v>34.251969600000002</v>
      </c>
      <c r="E43" s="152">
        <f t="shared" si="6"/>
        <v>11.811024</v>
      </c>
      <c r="F43" s="311">
        <f>Sizing!DW89</f>
        <v>0.26897785437563354</v>
      </c>
      <c r="G43" s="238">
        <f t="shared" si="7"/>
        <v>0.51863074954695232</v>
      </c>
      <c r="H43" s="272">
        <f>G43/2+$H$8+$F$8*'Inputs-Imperial'!$E$28+$G$8*'Inputs-Imperial'!$E$28</f>
        <v>0.54868545351363363</v>
      </c>
    </row>
    <row r="44" spans="2:8" x14ac:dyDescent="0.25">
      <c r="B44" s="128">
        <f t="shared" si="6"/>
        <v>4</v>
      </c>
      <c r="C44" s="12">
        <f t="shared" si="6"/>
        <v>34.251969600000002</v>
      </c>
      <c r="D44" s="12">
        <f t="shared" si="6"/>
        <v>46.062993599999999</v>
      </c>
      <c r="E44" s="152">
        <f t="shared" si="6"/>
        <v>11.811023999999996</v>
      </c>
      <c r="F44" s="311">
        <f>Sizing!DW99</f>
        <v>0.20712205586855234</v>
      </c>
      <c r="G44" s="238">
        <f t="shared" si="7"/>
        <v>0.45510664230326536</v>
      </c>
      <c r="H44" s="272">
        <f>G44/2+$H$8+$F$8*'Inputs-Imperial'!$E$28+$G$8*'Inputs-Imperial'!$E$28</f>
        <v>0.51692339989179015</v>
      </c>
    </row>
    <row r="45" spans="2:8" x14ac:dyDescent="0.25">
      <c r="B45" s="128">
        <f t="shared" si="6"/>
        <v>5</v>
      </c>
      <c r="C45" s="12">
        <f t="shared" si="6"/>
        <v>46.062993599999999</v>
      </c>
      <c r="D45" s="12">
        <f t="shared" si="6"/>
        <v>57.874017600000002</v>
      </c>
      <c r="E45" s="152">
        <f t="shared" si="6"/>
        <v>11.811024000000003</v>
      </c>
      <c r="F45" s="311">
        <f>Sizing!DW109</f>
        <v>0.15260733333097529</v>
      </c>
      <c r="G45" s="238">
        <f t="shared" si="7"/>
        <v>0.39064988587093596</v>
      </c>
      <c r="H45" s="272">
        <f>G45/2+$H$8+$F$8*'Inputs-Imperial'!$E$28+$G$8*'Inputs-Imperial'!$E$28</f>
        <v>0.4846950216756255</v>
      </c>
    </row>
    <row r="46" spans="2:8" x14ac:dyDescent="0.25">
      <c r="B46" s="128">
        <f t="shared" si="6"/>
        <v>6</v>
      </c>
      <c r="C46" s="12">
        <f t="shared" si="6"/>
        <v>57.874017600000002</v>
      </c>
      <c r="D46" s="12">
        <f t="shared" si="6"/>
        <v>69.685041599999991</v>
      </c>
      <c r="E46" s="152">
        <f t="shared" si="6"/>
        <v>11.811023999999989</v>
      </c>
      <c r="F46" s="311">
        <f>Sizing!DW119</f>
        <v>0.10588389379166488</v>
      </c>
      <c r="G46" s="238">
        <f t="shared" si="7"/>
        <v>0.32539805437596714</v>
      </c>
      <c r="H46" s="272">
        <f>G46/2+$H$9+$F$9*'Inputs-Imperial'!$E$28+$G$9*'Inputs-Imperial'!$E$28</f>
        <v>0.45206910592814109</v>
      </c>
    </row>
    <row r="47" spans="2:8" x14ac:dyDescent="0.25">
      <c r="B47" s="128">
        <f t="shared" si="6"/>
        <v>7</v>
      </c>
      <c r="C47" s="12">
        <f t="shared" si="6"/>
        <v>69.685041599999991</v>
      </c>
      <c r="D47" s="12">
        <f t="shared" si="6"/>
        <v>81.496065600000009</v>
      </c>
      <c r="E47" s="152">
        <f t="shared" si="6"/>
        <v>11.811024000000018</v>
      </c>
      <c r="F47" s="311">
        <f>Sizing!DW129</f>
        <v>6.7368736237725546E-2</v>
      </c>
      <c r="G47" s="238">
        <f t="shared" si="7"/>
        <v>0.25955488097457452</v>
      </c>
      <c r="H47" s="272">
        <f>G47/2+$H$9+$F$9*'Inputs-Imperial'!$E$28+$G$9*'Inputs-Imperial'!$E$28</f>
        <v>0.41914751922744475</v>
      </c>
    </row>
    <row r="48" spans="2:8" x14ac:dyDescent="0.25">
      <c r="B48" s="128">
        <f t="shared" si="6"/>
        <v>8</v>
      </c>
      <c r="C48" s="12">
        <f t="shared" si="6"/>
        <v>81.496065600000009</v>
      </c>
      <c r="D48" s="12">
        <f t="shared" si="6"/>
        <v>93.307089600000012</v>
      </c>
      <c r="E48" s="152">
        <f t="shared" si="6"/>
        <v>11.811024000000003</v>
      </c>
      <c r="F48" s="311">
        <f>Sizing!DW139</f>
        <v>3.7417273971028842E-2</v>
      </c>
      <c r="G48" s="238">
        <f t="shared" si="7"/>
        <v>0.19343545169132995</v>
      </c>
      <c r="H48" s="272">
        <f>G48/2+$H$9+$F$9*'Inputs-Imperial'!$E$28+$G$9*'Inputs-Imperial'!$E$28</f>
        <v>0.38608780458582248</v>
      </c>
    </row>
    <row r="49" spans="2:8" x14ac:dyDescent="0.25">
      <c r="B49" s="128">
        <f t="shared" si="6"/>
        <v>9</v>
      </c>
      <c r="C49" s="12">
        <f t="shared" si="6"/>
        <v>93.307089600000012</v>
      </c>
      <c r="D49" s="12">
        <f t="shared" si="6"/>
        <v>105.11811360000002</v>
      </c>
      <c r="E49" s="152">
        <f t="shared" si="6"/>
        <v>11.811024000000003</v>
      </c>
      <c r="F49" s="311">
        <f>Sizing!DW149</f>
        <v>1.6272075519057922E-2</v>
      </c>
      <c r="G49" s="238">
        <f t="shared" si="7"/>
        <v>0.12756204576227964</v>
      </c>
      <c r="H49" s="272">
        <f>G49/2+$H$10+$F$10*'Inputs-Imperial'!$E$28+$G$10*'Inputs-Imperial'!$E$28</f>
        <v>0.35315110162129737</v>
      </c>
    </row>
    <row r="50" spans="2:8" ht="15.75" thickBot="1" x14ac:dyDescent="0.3">
      <c r="B50" s="131">
        <f t="shared" si="6"/>
        <v>10</v>
      </c>
      <c r="C50" s="168">
        <f t="shared" si="6"/>
        <v>105.11811360000002</v>
      </c>
      <c r="D50" s="168">
        <f t="shared" si="6"/>
        <v>118.11024</v>
      </c>
      <c r="E50" s="137">
        <f t="shared" si="6"/>
        <v>12.992126399999989</v>
      </c>
      <c r="F50" s="317">
        <f>Sizing!DW160</f>
        <v>3.9589056222337476E-3</v>
      </c>
      <c r="G50" s="267">
        <f t="shared" si="7"/>
        <v>6.2919834887209827E-2</v>
      </c>
      <c r="H50" s="303">
        <f>G50/2+$H$10+$F$10*'Inputs-Imperial'!$E$28+$G$10*'Inputs-Imperial'!$E$28</f>
        <v>0.32082999618376246</v>
      </c>
    </row>
    <row r="51" spans="2:8" ht="15.75" thickBot="1" x14ac:dyDescent="0.3"/>
    <row r="52" spans="2:8" ht="15.75" thickBot="1" x14ac:dyDescent="0.3">
      <c r="B52" s="450" t="s">
        <v>387</v>
      </c>
      <c r="C52" s="451"/>
      <c r="D52" s="451"/>
      <c r="E52" s="451"/>
      <c r="F52" s="451"/>
      <c r="G52" s="451"/>
      <c r="H52" s="452"/>
    </row>
    <row r="53" spans="2:8" ht="45.75" thickBot="1" x14ac:dyDescent="0.3">
      <c r="B53" s="163" t="s">
        <v>401</v>
      </c>
      <c r="C53" s="125" t="s">
        <v>404</v>
      </c>
      <c r="D53" s="125" t="s">
        <v>405</v>
      </c>
      <c r="E53" s="266" t="s">
        <v>406</v>
      </c>
      <c r="F53" s="125" t="s">
        <v>410</v>
      </c>
      <c r="G53" s="125" t="s">
        <v>412</v>
      </c>
      <c r="H53" s="154" t="s">
        <v>403</v>
      </c>
    </row>
    <row r="54" spans="2:8" x14ac:dyDescent="0.25">
      <c r="B54" s="129">
        <v>1</v>
      </c>
      <c r="C54" s="166">
        <v>0</v>
      </c>
      <c r="D54" s="166">
        <f>'Inputs-Imperial'!$E$6*'Inputs-Imperial'!$E$5*12</f>
        <v>29.527560000000001</v>
      </c>
      <c r="E54" s="166">
        <f>D54-C54</f>
        <v>29.527560000000001</v>
      </c>
      <c r="F54" s="24">
        <f>MAX(Sizing!IH60:IH160)/'Inputs-Imperial'!$E$28</f>
        <v>2</v>
      </c>
      <c r="G54" s="24">
        <f>MAX(Sizing!IP60:IP160)/'Inputs-Imperial'!$E$28</f>
        <v>2</v>
      </c>
      <c r="H54" s="121">
        <f>MAX(Sizing!HZ60:HZ160)</f>
        <v>0.25</v>
      </c>
    </row>
    <row r="55" spans="2:8" x14ac:dyDescent="0.25">
      <c r="B55" s="128">
        <v>2</v>
      </c>
      <c r="C55" s="12">
        <f>D54</f>
        <v>29.527560000000001</v>
      </c>
      <c r="D55" s="12">
        <f>'Inputs-Imperial'!$E$7*'Inputs-Imperial'!$E$5*12</f>
        <v>59.055120000000002</v>
      </c>
      <c r="E55" s="12">
        <f t="shared" ref="E55:E57" si="8">D55-C55</f>
        <v>29.527560000000001</v>
      </c>
      <c r="F55" s="2">
        <f>MAX(Sizing!II60:II160)/'Inputs-Imperial'!$E$28</f>
        <v>2</v>
      </c>
      <c r="G55" s="2">
        <f>MAX(Sizing!IQ60:IQ160)/'Inputs-Imperial'!$E$28</f>
        <v>2</v>
      </c>
      <c r="H55" s="127">
        <f>MAX(Sizing!IA60:IA160)</f>
        <v>0.25</v>
      </c>
    </row>
    <row r="56" spans="2:8" x14ac:dyDescent="0.25">
      <c r="B56" s="128">
        <v>3</v>
      </c>
      <c r="C56" s="12">
        <f>D55</f>
        <v>59.055120000000002</v>
      </c>
      <c r="D56" s="12">
        <f>'Inputs-Imperial'!$E$8*'Inputs-Imperial'!$E$5*12</f>
        <v>88.582680000000011</v>
      </c>
      <c r="E56" s="12">
        <f t="shared" si="8"/>
        <v>29.527560000000008</v>
      </c>
      <c r="F56" s="2">
        <f>MAX(Sizing!IJ60:IJ160)/'Inputs-Imperial'!$E$28</f>
        <v>2</v>
      </c>
      <c r="G56" s="2">
        <f>MAX(Sizing!IR60:IR160)/'Inputs-Imperial'!$E$28</f>
        <v>2</v>
      </c>
      <c r="H56" s="127">
        <f>MAX(Sizing!IB60:IB160)</f>
        <v>0.25</v>
      </c>
    </row>
    <row r="57" spans="2:8" ht="15.75" thickBot="1" x14ac:dyDescent="0.3">
      <c r="B57" s="131">
        <v>4</v>
      </c>
      <c r="C57" s="168">
        <f>D56</f>
        <v>88.582680000000011</v>
      </c>
      <c r="D57" s="168">
        <f>'Inputs-Imperial'!$E$5*12</f>
        <v>118.11024</v>
      </c>
      <c r="E57" s="168">
        <f t="shared" si="8"/>
        <v>29.527559999999994</v>
      </c>
      <c r="F57" s="29">
        <f>MAX(Sizing!IK60:IK160)/'Inputs-Imperial'!$E$28</f>
        <v>2</v>
      </c>
      <c r="G57" s="29">
        <f>MAX(Sizing!IS60:IS160)/'Inputs-Imperial'!$E$28</f>
        <v>2</v>
      </c>
      <c r="H57" s="123">
        <f>MAX(Sizing!IC60:IC160)</f>
        <v>0.25</v>
      </c>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BU148"/>
  <sheetViews>
    <sheetView zoomScale="70" zoomScaleNormal="70" workbookViewId="0">
      <selection activeCell="H36" sqref="H36"/>
    </sheetView>
  </sheetViews>
  <sheetFormatPr defaultRowHeight="15" x14ac:dyDescent="0.25"/>
  <cols>
    <col min="1" max="1" width="39.140625" customWidth="1"/>
    <col min="2" max="2" width="47.140625" customWidth="1"/>
    <col min="3" max="3" width="16" customWidth="1"/>
    <col min="4" max="4" width="9.140625" bestFit="1" customWidth="1"/>
    <col min="5" max="5" width="11" customWidth="1"/>
    <col min="6" max="6" width="13.28515625" customWidth="1"/>
    <col min="7" max="7" width="12" customWidth="1"/>
    <col min="8" max="8" width="6.7109375" customWidth="1"/>
    <col min="9" max="9" width="7.5703125" customWidth="1"/>
    <col min="10" max="10" width="9.85546875" customWidth="1"/>
    <col min="11" max="11" width="8.140625" bestFit="1" customWidth="1"/>
    <col min="12" max="12" width="5.42578125" customWidth="1"/>
    <col min="13" max="13" width="5.85546875" bestFit="1" customWidth="1"/>
    <col min="14" max="14" width="11.85546875" customWidth="1"/>
    <col min="15" max="15" width="11" customWidth="1"/>
    <col min="16" max="16" width="8.85546875" customWidth="1"/>
    <col min="17" max="17" width="12.85546875" bestFit="1" customWidth="1"/>
    <col min="18" max="18" width="16.42578125" bestFit="1" customWidth="1"/>
    <col min="19" max="19" width="9.140625" bestFit="1" customWidth="1"/>
    <col min="20" max="20" width="9.5703125" bestFit="1" customWidth="1"/>
    <col min="21" max="21" width="9.5703125" customWidth="1"/>
    <col min="22" max="22" width="12.42578125" customWidth="1"/>
    <col min="23" max="23" width="11.140625" customWidth="1"/>
    <col min="24" max="25" width="10.85546875" customWidth="1"/>
    <col min="26" max="26" width="9.85546875" customWidth="1"/>
    <col min="27" max="27" width="10.85546875" customWidth="1"/>
    <col min="28" max="28" width="13.5703125" customWidth="1"/>
    <col min="29" max="29" width="14.85546875" customWidth="1"/>
    <col min="30" max="30" width="14.42578125" customWidth="1"/>
    <col min="31" max="31" width="16.140625" customWidth="1"/>
    <col min="32" max="32" width="14.42578125" customWidth="1"/>
    <col min="33" max="33" width="13.140625" customWidth="1"/>
    <col min="38" max="38" width="10.5703125" customWidth="1"/>
    <col min="39" max="39" width="12.140625" customWidth="1"/>
    <col min="40" max="40" width="11.85546875" customWidth="1"/>
    <col min="41" max="42" width="10.140625" customWidth="1"/>
    <col min="43" max="43" width="9.85546875" customWidth="1"/>
    <col min="44" max="44" width="10.5703125" customWidth="1"/>
    <col min="45" max="45" width="10" customWidth="1"/>
    <col min="46" max="46" width="10.5703125" customWidth="1"/>
    <col min="56" max="57" width="11" customWidth="1"/>
    <col min="58" max="58" width="10.85546875" customWidth="1"/>
    <col min="59" max="59" width="11" customWidth="1"/>
  </cols>
  <sheetData>
    <row r="1" spans="1:19" x14ac:dyDescent="0.25">
      <c r="A1" s="4" t="s">
        <v>129</v>
      </c>
    </row>
    <row r="2" spans="1:19" x14ac:dyDescent="0.25">
      <c r="A2" t="s">
        <v>595</v>
      </c>
    </row>
    <row r="3" spans="1:19" x14ac:dyDescent="0.25">
      <c r="A3" t="s">
        <v>361</v>
      </c>
    </row>
    <row r="8" spans="1:19" x14ac:dyDescent="0.25">
      <c r="R8" s="41"/>
    </row>
    <row r="9" spans="1:19" ht="15.75" thickBot="1" x14ac:dyDescent="0.3">
      <c r="R9" s="11"/>
      <c r="S9" s="138"/>
    </row>
    <row r="10" spans="1:19" ht="15.75" thickBot="1" x14ac:dyDescent="0.3">
      <c r="H10" s="758" t="s">
        <v>423</v>
      </c>
      <c r="I10" s="759"/>
      <c r="J10" s="759"/>
      <c r="K10" s="759"/>
      <c r="L10" s="759"/>
      <c r="M10" s="759"/>
      <c r="N10" s="759"/>
      <c r="O10" s="759"/>
      <c r="P10" s="760"/>
      <c r="Q10" s="159"/>
      <c r="R10" s="159"/>
    </row>
    <row r="11" spans="1:19" ht="15.75" thickBot="1" x14ac:dyDescent="0.3">
      <c r="A11" s="197" t="s">
        <v>152</v>
      </c>
      <c r="B11" s="124" t="str">
        <f>'Inputs-Imperial'!B1</f>
        <v>Description</v>
      </c>
      <c r="C11" s="125" t="str">
        <f>'Inputs-Imperial'!C1</f>
        <v>Symbol</v>
      </c>
      <c r="D11" s="125" t="str">
        <f>'Inputs-Imperial'!D1</f>
        <v>Unit</v>
      </c>
      <c r="E11" s="120" t="s">
        <v>152</v>
      </c>
      <c r="F11" s="174"/>
      <c r="H11" s="800" t="s">
        <v>360</v>
      </c>
      <c r="I11" s="801"/>
      <c r="J11" s="801"/>
      <c r="K11" s="801"/>
      <c r="L11" s="801"/>
      <c r="M11" s="801"/>
      <c r="N11" s="335">
        <f>SUM($AB$46:$AB$146)+SUM($AE$46:$AE$146)</f>
        <v>17.825755355321789</v>
      </c>
      <c r="O11" s="336"/>
      <c r="P11" s="336"/>
      <c r="Q11" s="2"/>
      <c r="R11" s="2"/>
    </row>
    <row r="12" spans="1:19" x14ac:dyDescent="0.25">
      <c r="A12" s="273" t="str">
        <f>'Inputs-Imperial'!A5</f>
        <v>Planform</v>
      </c>
      <c r="B12" s="203"/>
      <c r="C12" s="203"/>
      <c r="D12" s="203"/>
      <c r="E12" s="271"/>
      <c r="F12" s="174"/>
      <c r="H12" s="332"/>
      <c r="I12" s="333" t="s">
        <v>376</v>
      </c>
      <c r="J12" s="333"/>
      <c r="K12" s="333"/>
      <c r="L12" s="333"/>
      <c r="M12" s="333"/>
      <c r="N12" s="337"/>
      <c r="O12" s="338">
        <f>SUM(AB46:AB146)</f>
        <v>8.9903809618144681</v>
      </c>
      <c r="P12" s="338"/>
      <c r="Q12" s="2"/>
      <c r="R12" s="11"/>
    </row>
    <row r="13" spans="1:19" x14ac:dyDescent="0.25">
      <c r="A13" s="306"/>
      <c r="B13" s="2" t="str">
        <f>'Inputs-Imperial'!B5</f>
        <v>Half-Span</v>
      </c>
      <c r="C13" s="2" t="str">
        <f>'Inputs-Imperial'!C5</f>
        <v>b/2</v>
      </c>
      <c r="D13" s="2" t="str">
        <f>'Inputs-Imperial'!D5</f>
        <v>ft</v>
      </c>
      <c r="E13" s="272">
        <f>'Inputs-Imperial'!E5</f>
        <v>9.8425200000000004</v>
      </c>
      <c r="F13" s="174"/>
      <c r="H13" s="332"/>
      <c r="I13" s="333"/>
      <c r="J13" s="333" t="s">
        <v>377</v>
      </c>
      <c r="K13" s="333"/>
      <c r="L13" s="333"/>
      <c r="M13" s="333"/>
      <c r="N13" s="337"/>
      <c r="O13" s="338"/>
      <c r="P13" s="338">
        <f>SUM(Z46:Z146)</f>
        <v>7.2558144868422882</v>
      </c>
      <c r="Q13" s="2"/>
      <c r="R13" s="11"/>
    </row>
    <row r="14" spans="1:19" x14ac:dyDescent="0.25">
      <c r="A14" s="306"/>
      <c r="B14" s="425" t="str">
        <f>'Inputs-Imperial'!B6</f>
        <v>Core Zone Split (% Half-Span)</v>
      </c>
      <c r="C14" s="425" t="str">
        <f>'Inputs-Imperial'!C6</f>
        <v>Core_Split1</v>
      </c>
      <c r="D14" s="425" t="str">
        <f>'Inputs-Imperial'!D6</f>
        <v>-</v>
      </c>
      <c r="E14" s="426">
        <f>'Inputs-Imperial'!E6</f>
        <v>0.25</v>
      </c>
      <c r="F14" s="174"/>
      <c r="H14" s="332"/>
      <c r="I14" s="333"/>
      <c r="J14" s="333" t="s">
        <v>378</v>
      </c>
      <c r="K14" s="333"/>
      <c r="L14" s="333"/>
      <c r="M14" s="333"/>
      <c r="N14" s="337"/>
      <c r="O14" s="338"/>
      <c r="P14" s="338">
        <f>SUM(AA46:AA146)</f>
        <v>1.7345664749721796</v>
      </c>
      <c r="Q14" s="2"/>
      <c r="R14" s="11"/>
    </row>
    <row r="15" spans="1:19" x14ac:dyDescent="0.25">
      <c r="A15" s="306"/>
      <c r="B15" s="425" t="str">
        <f>'Inputs-Imperial'!B7</f>
        <v>Core Zone Split (% Half-Span)</v>
      </c>
      <c r="C15" s="425" t="str">
        <f>'Inputs-Imperial'!C7</f>
        <v>Core_Split2</v>
      </c>
      <c r="D15" s="425" t="str">
        <f>'Inputs-Imperial'!D7</f>
        <v>-</v>
      </c>
      <c r="E15" s="426">
        <f>'Inputs-Imperial'!E7</f>
        <v>0.5</v>
      </c>
      <c r="F15" s="174"/>
      <c r="H15" s="332"/>
      <c r="I15" s="333" t="s">
        <v>379</v>
      </c>
      <c r="J15" s="333"/>
      <c r="K15" s="333"/>
      <c r="L15" s="333"/>
      <c r="M15" s="333"/>
      <c r="N15" s="337"/>
      <c r="O15" s="338">
        <f>SUM(AE46:AE146)</f>
        <v>8.835374393507319</v>
      </c>
      <c r="P15" s="338"/>
      <c r="Q15" s="11"/>
      <c r="R15" s="11"/>
    </row>
    <row r="16" spans="1:19" ht="15.75" thickBot="1" x14ac:dyDescent="0.3">
      <c r="A16" s="306"/>
      <c r="B16" s="425" t="str">
        <f>'Inputs-Imperial'!B8</f>
        <v>Core Zone Split (% Half-Span)</v>
      </c>
      <c r="C16" s="425" t="str">
        <f>'Inputs-Imperial'!C8</f>
        <v>Core_Split3</v>
      </c>
      <c r="D16" s="425" t="str">
        <f>'Inputs-Imperial'!D8</f>
        <v>-</v>
      </c>
      <c r="E16" s="426">
        <f>'Inputs-Imperial'!E8</f>
        <v>0.75</v>
      </c>
      <c r="F16" s="174"/>
      <c r="H16" s="332"/>
      <c r="I16" s="333"/>
      <c r="J16" s="333" t="s">
        <v>380</v>
      </c>
      <c r="K16" s="333"/>
      <c r="L16" s="333"/>
      <c r="M16" s="333"/>
      <c r="N16" s="337"/>
      <c r="O16" s="338"/>
      <c r="P16" s="338">
        <f>SUM(AC46:AC146)</f>
        <v>7.1307142370691468</v>
      </c>
      <c r="Q16" s="2"/>
      <c r="R16" s="2"/>
    </row>
    <row r="17" spans="1:19" ht="15.75" thickBot="1" x14ac:dyDescent="0.3">
      <c r="A17" s="273" t="str">
        <f>'Inputs-Imperial'!A11</f>
        <v>Main Spar</v>
      </c>
      <c r="B17" s="24" t="str">
        <f>'Inputs-Imperial'!B11</f>
        <v>Spar Height/Chord</v>
      </c>
      <c r="C17" s="347" t="str">
        <f>'Inputs-Imperial'!C11</f>
        <v>Spar_t/c</v>
      </c>
      <c r="D17" s="347" t="str">
        <f>'Inputs-Imperial'!D11</f>
        <v>-</v>
      </c>
      <c r="E17" s="427">
        <f>'Inputs-Imperial'!E11</f>
        <v>0.18</v>
      </c>
      <c r="F17" s="175"/>
      <c r="H17" s="331"/>
      <c r="I17" s="330"/>
      <c r="J17" s="330" t="s">
        <v>381</v>
      </c>
      <c r="K17" s="330"/>
      <c r="L17" s="330"/>
      <c r="M17" s="330"/>
      <c r="N17" s="337"/>
      <c r="O17" s="338"/>
      <c r="P17" s="338">
        <f>SUM(AD46:AD146)</f>
        <v>1.7046601564381765</v>
      </c>
      <c r="Q17" s="2"/>
      <c r="R17" s="2"/>
    </row>
    <row r="18" spans="1:19" ht="15.75" thickBot="1" x14ac:dyDescent="0.3">
      <c r="A18" s="275"/>
      <c r="B18" s="276" t="str">
        <f>'Inputs-Imperial'!B12</f>
        <v>Spar Location % Chord</v>
      </c>
      <c r="C18" s="29" t="str">
        <f>'Inputs-Imperial'!C12</f>
        <v>Spar_x/c</v>
      </c>
      <c r="D18" s="277" t="str">
        <f>'Inputs-Imperial'!D12</f>
        <v>-</v>
      </c>
      <c r="E18" s="206">
        <f>'Inputs-Imperial'!E12</f>
        <v>0.25</v>
      </c>
      <c r="F18" s="138"/>
      <c r="H18" s="802" t="s">
        <v>371</v>
      </c>
      <c r="I18" s="803"/>
      <c r="J18" s="803"/>
      <c r="K18" s="803"/>
      <c r="L18" s="803"/>
      <c r="M18" s="803"/>
      <c r="N18" s="339">
        <f>SUM($AR$46:$AR$146)+SUM($AS$46:$AS$146)+SUM($AT$46:$AT$146)</f>
        <v>3.7400866287837844</v>
      </c>
      <c r="O18" s="340"/>
      <c r="P18" s="340"/>
      <c r="Q18" s="2"/>
    </row>
    <row r="19" spans="1:19" x14ac:dyDescent="0.25">
      <c r="A19" s="156"/>
      <c r="B19" s="7"/>
      <c r="C19" s="2"/>
      <c r="D19" s="6"/>
      <c r="E19" s="17"/>
      <c r="F19" s="138"/>
      <c r="H19" s="332"/>
      <c r="I19" s="333" t="s">
        <v>382</v>
      </c>
      <c r="J19" s="334"/>
      <c r="K19" s="333"/>
      <c r="L19" s="333"/>
      <c r="M19" s="333"/>
      <c r="N19" s="337"/>
      <c r="O19" s="338">
        <f>SUM(AS46:AS146)</f>
        <v>1.13833083492537</v>
      </c>
      <c r="P19" s="338"/>
    </row>
    <row r="20" spans="1:19" x14ac:dyDescent="0.25">
      <c r="A20" s="307"/>
      <c r="B20" s="13"/>
      <c r="C20" s="1"/>
      <c r="D20" s="10"/>
      <c r="E20" s="16"/>
      <c r="F20" s="138"/>
      <c r="H20" s="332"/>
      <c r="I20" s="333" t="s">
        <v>383</v>
      </c>
      <c r="J20" s="334"/>
      <c r="K20" s="333"/>
      <c r="L20" s="333"/>
      <c r="M20" s="333"/>
      <c r="N20" s="337"/>
      <c r="O20" s="338">
        <f>SUM(AT46:AT146)</f>
        <v>1.13833083492537</v>
      </c>
      <c r="P20" s="338"/>
    </row>
    <row r="21" spans="1:19" x14ac:dyDescent="0.25">
      <c r="A21" s="156" t="str">
        <f>'Inputs-Imperial'!A14</f>
        <v>Aft Shear Web</v>
      </c>
      <c r="B21" s="2" t="str">
        <f>'Inputs-Imperial'!B14</f>
        <v>Aft Web Height/Chord</v>
      </c>
      <c r="C21" s="2" t="str">
        <f>'Inputs-Imperial'!C14</f>
        <v>AW_t/c</v>
      </c>
      <c r="D21" s="6" t="str">
        <f>'Inputs-Imperial'!D14</f>
        <v>-</v>
      </c>
      <c r="E21" s="17">
        <f>'Inputs-Imperial'!E14</f>
        <v>0.09</v>
      </c>
      <c r="F21" s="138"/>
      <c r="H21" s="332"/>
      <c r="I21" s="333" t="s">
        <v>384</v>
      </c>
      <c r="J21" s="333"/>
      <c r="K21" s="333"/>
      <c r="L21" s="333"/>
      <c r="M21" s="333"/>
      <c r="N21" s="337"/>
      <c r="O21" s="338">
        <f>SUM(AR46:AR146)</f>
        <v>1.4634249589330446</v>
      </c>
      <c r="P21" s="340"/>
    </row>
    <row r="22" spans="1:19" x14ac:dyDescent="0.25">
      <c r="A22" s="26"/>
      <c r="B22" s="13" t="str">
        <f>'Inputs-Imperial'!B15</f>
        <v>Aft Web Location % Chord</v>
      </c>
      <c r="C22" s="1" t="str">
        <f>'Inputs-Imperial'!C15</f>
        <v>AW_x/c_tip</v>
      </c>
      <c r="D22" s="10" t="str">
        <f>'Inputs-Imperial'!D15</f>
        <v>-</v>
      </c>
      <c r="E22" s="16">
        <f>'Inputs-Imperial'!E15</f>
        <v>0.75</v>
      </c>
      <c r="F22" s="138"/>
      <c r="H22" s="332"/>
      <c r="I22" s="333"/>
      <c r="J22" s="333" t="s">
        <v>385</v>
      </c>
      <c r="K22" s="333"/>
      <c r="L22" s="333"/>
      <c r="M22" s="333"/>
      <c r="N22" s="337"/>
      <c r="O22" s="340"/>
      <c r="P22" s="338">
        <f>SUM(AP46:AP146)</f>
        <v>1.1610388493114576</v>
      </c>
    </row>
    <row r="23" spans="1:19" ht="15.75" thickBot="1" x14ac:dyDescent="0.3">
      <c r="A23" s="157" t="e">
        <f>'Inputs-Imperial'!#REF!</f>
        <v>#REF!</v>
      </c>
      <c r="B23" s="3" t="str">
        <f>'Inputs-Imperial'!B16</f>
        <v>Factor of Safety, Stress</v>
      </c>
      <c r="C23" s="3" t="str">
        <f>'Inputs-Imperial'!C16</f>
        <v>FS_stress</v>
      </c>
      <c r="D23" s="3" t="str">
        <f>'Inputs-Imperial'!D16</f>
        <v>-</v>
      </c>
      <c r="E23" s="15">
        <f>'Inputs-Imperial'!E16</f>
        <v>1.5</v>
      </c>
      <c r="F23" s="2"/>
      <c r="H23" s="332"/>
      <c r="I23" s="333"/>
      <c r="J23" s="333" t="s">
        <v>386</v>
      </c>
      <c r="K23" s="333"/>
      <c r="L23" s="333"/>
      <c r="M23" s="333"/>
      <c r="N23" s="337"/>
      <c r="O23" s="340"/>
      <c r="P23" s="338">
        <f>SUM(AQ46:AQ146)</f>
        <v>0.3023861096215868</v>
      </c>
    </row>
    <row r="24" spans="1:19" x14ac:dyDescent="0.25">
      <c r="A24" s="26"/>
      <c r="B24" s="1" t="str">
        <f>'Inputs-Imperial'!B17</f>
        <v>Factor of Safety, Buckling/Wrinkling/Crimp</v>
      </c>
      <c r="C24" s="1" t="str">
        <f>'Inputs-Imperial'!C17</f>
        <v>FS_buckling</v>
      </c>
      <c r="D24" s="1" t="str">
        <f>'Inputs-Imperial'!D17</f>
        <v>-</v>
      </c>
      <c r="E24" s="19">
        <f>'Inputs-Imperial'!E17</f>
        <v>1.8</v>
      </c>
      <c r="F24" s="11"/>
      <c r="H24" s="429" t="s">
        <v>387</v>
      </c>
      <c r="I24" s="430"/>
      <c r="J24" s="430"/>
      <c r="K24" s="430"/>
      <c r="L24" s="430"/>
      <c r="M24" s="439"/>
      <c r="N24" s="435">
        <f>SUM($BG$46:$BG$146)+SUM($BH$46:$BH$146)+SUM($BI$46:$BI$146)</f>
        <v>0.6932352292904308</v>
      </c>
      <c r="O24" s="340"/>
      <c r="P24" s="340"/>
    </row>
    <row r="25" spans="1:19" x14ac:dyDescent="0.25">
      <c r="A25" s="157" t="str">
        <f>'Inputs-Imperial'!A18</f>
        <v>Materials - Spar Caps</v>
      </c>
      <c r="B25" s="2" t="str">
        <f>'Inputs-Imperial'!B20</f>
        <v>Spar Cap Modulus</v>
      </c>
      <c r="C25" s="2" t="str">
        <f>'Inputs-Imperial'!C20</f>
        <v>E11_Cap</v>
      </c>
      <c r="D25" s="2" t="str">
        <f>'Inputs-Imperial'!D20</f>
        <v>psi</v>
      </c>
      <c r="E25" s="74">
        <f>'Inputs-Imperial'!E20</f>
        <v>15954180</v>
      </c>
      <c r="F25" s="116"/>
      <c r="H25" s="341"/>
      <c r="I25" s="333" t="s">
        <v>382</v>
      </c>
      <c r="J25" s="334"/>
      <c r="K25" s="333"/>
      <c r="L25" s="333"/>
      <c r="M25" s="440"/>
      <c r="N25" s="437"/>
      <c r="O25" s="338">
        <f>SUM(BH46:BH146)</f>
        <v>1.8040582143018735E-2</v>
      </c>
      <c r="P25" s="436"/>
    </row>
    <row r="26" spans="1:19" x14ac:dyDescent="0.25">
      <c r="A26" s="26"/>
      <c r="B26" s="1" t="str">
        <f>'Inputs-Imperial'!B22</f>
        <v>Spar Cap Density</v>
      </c>
      <c r="C26" s="1" t="str">
        <f>'Inputs-Imperial'!C22</f>
        <v>rho_Cap</v>
      </c>
      <c r="D26" s="1" t="str">
        <f>'Inputs-Imperial'!D22</f>
        <v>lb/in^3</v>
      </c>
      <c r="E26" s="16">
        <f>'Inputs-Imperial'!E22</f>
        <v>6.141640685118082E-2</v>
      </c>
      <c r="F26" s="138"/>
      <c r="H26" s="341"/>
      <c r="I26" s="333" t="s">
        <v>383</v>
      </c>
      <c r="J26" s="334"/>
      <c r="K26" s="333"/>
      <c r="L26" s="333"/>
      <c r="M26" s="440"/>
      <c r="N26" s="437"/>
      <c r="O26" s="338">
        <f>SUM(BI46:BI146)</f>
        <v>1.8040582143018735E-2</v>
      </c>
      <c r="P26" s="436"/>
    </row>
    <row r="27" spans="1:19" x14ac:dyDescent="0.25">
      <c r="A27" s="157" t="str">
        <f>'Inputs-Imperial'!A23</f>
        <v>Material - Skins and Webs</v>
      </c>
      <c r="B27" s="2" t="str">
        <f>'Inputs-Imperial'!B24</f>
        <v>Bias Shear Modulus</v>
      </c>
      <c r="C27" s="2" t="str">
        <f>'Inputs-Imperial'!C24</f>
        <v>G12_Bias</v>
      </c>
      <c r="D27" s="2" t="str">
        <f>'Inputs-Imperial'!D24</f>
        <v>psi</v>
      </c>
      <c r="E27" s="74">
        <f>'Inputs-Imperial'!E24</f>
        <v>3770988.0000000005</v>
      </c>
      <c r="F27" s="116"/>
      <c r="H27" s="332"/>
      <c r="I27" s="333" t="s">
        <v>385</v>
      </c>
      <c r="J27" s="334"/>
      <c r="K27" s="333"/>
      <c r="L27" s="333"/>
      <c r="M27" s="440"/>
      <c r="N27" s="434"/>
      <c r="O27" s="338">
        <f>SUM(BE46:BE146)</f>
        <v>0.50596101019360007</v>
      </c>
      <c r="P27" s="338"/>
    </row>
    <row r="28" spans="1:19" x14ac:dyDescent="0.25">
      <c r="A28" s="25"/>
      <c r="B28" s="2" t="str">
        <f>'Inputs-Imperial'!B25</f>
        <v>Bias Skin Compression Modulus</v>
      </c>
      <c r="C28" s="2" t="str">
        <f>'Inputs-Imperial'!C25</f>
        <v>E11_Bias</v>
      </c>
      <c r="D28" s="2" t="str">
        <f>'Inputs-Imperial'!D25</f>
        <v>psi</v>
      </c>
      <c r="E28" s="74">
        <f>'Inputs-Imperial'!E25</f>
        <v>2175570</v>
      </c>
      <c r="F28" s="116"/>
      <c r="G28" s="116"/>
      <c r="H28" s="332"/>
      <c r="I28" s="333" t="s">
        <v>397</v>
      </c>
      <c r="J28" s="334"/>
      <c r="K28" s="333"/>
      <c r="L28" s="333"/>
      <c r="M28" s="440"/>
      <c r="N28" s="434"/>
      <c r="O28" s="338">
        <f>SUM(BF46:BF146)</f>
        <v>0.1511930548107934</v>
      </c>
      <c r="P28" s="338"/>
    </row>
    <row r="29" spans="1:19" ht="15.75" thickBot="1" x14ac:dyDescent="0.3">
      <c r="A29" s="25"/>
      <c r="B29" s="2" t="str">
        <f>'Inputs-Imperial'!B26</f>
        <v>Warp Fabric Modulus</v>
      </c>
      <c r="C29" s="2" t="str">
        <f>'Inputs-Imperial'!C26</f>
        <v>E11=E22</v>
      </c>
      <c r="D29" s="2" t="str">
        <f>'Inputs-Imperial'!D26</f>
        <v>psi</v>
      </c>
      <c r="E29" s="74">
        <f>'Inputs-Imperial'!E26</f>
        <v>7687014.0000000009</v>
      </c>
      <c r="F29" s="116"/>
      <c r="G29" s="116"/>
      <c r="H29" s="431" t="s">
        <v>400</v>
      </c>
      <c r="I29" s="432"/>
      <c r="J29" s="432"/>
      <c r="K29" s="432"/>
      <c r="L29" s="432"/>
      <c r="M29" s="433"/>
      <c r="N29" s="438">
        <f>SUM(N11:N28)*(E36-1)</f>
        <v>1.1129538606698013</v>
      </c>
      <c r="O29" s="342"/>
      <c r="P29" s="342"/>
    </row>
    <row r="30" spans="1:19" ht="15.75" thickBot="1" x14ac:dyDescent="0.3">
      <c r="A30" s="25"/>
      <c r="B30" s="2" t="str">
        <f>'Inputs-Imperial'!B27</f>
        <v>Skin Density</v>
      </c>
      <c r="C30" s="2" t="str">
        <f>'Inputs-Imperial'!C27</f>
        <v>rho_Bias</v>
      </c>
      <c r="D30" s="2" t="str">
        <f>'Inputs-Imperial'!D27</f>
        <v>lb/in^3</v>
      </c>
      <c r="E30" s="17">
        <f>'Inputs-Imperial'!E27</f>
        <v>6.141640685118082E-2</v>
      </c>
      <c r="F30" s="138"/>
      <c r="G30" s="138"/>
      <c r="H30" s="428" t="s">
        <v>398</v>
      </c>
      <c r="I30" s="358"/>
      <c r="J30" s="358"/>
      <c r="K30" s="358"/>
      <c r="L30" s="358"/>
      <c r="M30" s="359"/>
      <c r="N30" s="329">
        <f>SUM(N11:N29)</f>
        <v>23.372031074065806</v>
      </c>
      <c r="O30" s="160" t="s">
        <v>399</v>
      </c>
      <c r="P30" s="146"/>
      <c r="R30" s="41"/>
      <c r="S30" s="346"/>
    </row>
    <row r="31" spans="1:19" x14ac:dyDescent="0.25">
      <c r="A31" s="26"/>
      <c r="B31" s="1" t="str">
        <f>'Inputs-Imperial'!B28</f>
        <v>Skin Cured Ply Thickness</v>
      </c>
      <c r="C31" s="1" t="str">
        <f>'Inputs-Imperial'!C28</f>
        <v>CPT_Bias</v>
      </c>
      <c r="D31" s="1" t="str">
        <f>'Inputs-Imperial'!D28</f>
        <v>in</v>
      </c>
      <c r="E31" s="20">
        <f>'Inputs-Imperial'!E28</f>
        <v>7.8740157480314977E-3</v>
      </c>
      <c r="F31" s="2"/>
      <c r="G31" s="2"/>
    </row>
    <row r="32" spans="1:19" x14ac:dyDescent="0.25">
      <c r="A32" s="157" t="str">
        <f>'Inputs-Imperial'!A29</f>
        <v>Material - Skin and Web Core</v>
      </c>
      <c r="B32" s="3" t="str">
        <f>'Inputs-Imperial'!B29</f>
        <v>Core Modulus (E11=E22=E33)</v>
      </c>
      <c r="C32" s="3" t="str">
        <f>'Inputs-Imperial'!C29</f>
        <v>E_Core</v>
      </c>
      <c r="D32" s="3" t="str">
        <f>'Inputs-Imperial'!D29</f>
        <v>psi</v>
      </c>
      <c r="E32" s="73">
        <f>'Inputs-Imperial'!E29</f>
        <v>8267.1660000000011</v>
      </c>
      <c r="F32" s="116"/>
      <c r="G32" s="116"/>
    </row>
    <row r="33" spans="1:73" x14ac:dyDescent="0.25">
      <c r="A33" s="225"/>
      <c r="B33" s="2" t="str">
        <f>'Inputs-Imperial'!B30</f>
        <v>Core Shear Modulus (G12=G13)</v>
      </c>
      <c r="C33" s="2" t="str">
        <f>'Inputs-Imperial'!C30</f>
        <v>G_Core</v>
      </c>
      <c r="D33" s="2" t="str">
        <f>'Inputs-Imperial'!D30</f>
        <v>psi</v>
      </c>
      <c r="E33" s="74">
        <f>'Inputs-Imperial'!E30</f>
        <v>2610.6840000000002</v>
      </c>
      <c r="F33" s="116"/>
    </row>
    <row r="34" spans="1:73" ht="15.75" thickBot="1" x14ac:dyDescent="0.3">
      <c r="A34" s="26"/>
      <c r="B34" s="1" t="str">
        <f>'Inputs-Imperial'!B33</f>
        <v>Core Density</v>
      </c>
      <c r="C34" s="1" t="str">
        <f>'Inputs-Imperial'!C33</f>
        <v>rho_Core</v>
      </c>
      <c r="D34" s="1" t="str">
        <f>'Inputs-Imperial'!D33</f>
        <v>lb/in^3</v>
      </c>
      <c r="E34" s="18">
        <f>'Inputs-Imperial'!E33</f>
        <v>2.312147081456219E-3</v>
      </c>
      <c r="F34" s="2"/>
    </row>
    <row r="35" spans="1:73" x14ac:dyDescent="0.25">
      <c r="A35" s="157" t="str">
        <f>'Inputs-Imperial'!A34</f>
        <v>Manufacturing Weight Factors</v>
      </c>
      <c r="B35" s="3" t="str">
        <f>'Inputs-Imperial'!B34</f>
        <v>As-Built Sandwich Weight Factor  (W_built/W_laminate)</v>
      </c>
      <c r="C35" s="3" t="str">
        <f>'Inputs-Imperial'!C34</f>
        <v>K_Fab</v>
      </c>
      <c r="D35" s="3" t="str">
        <f>'Inputs-Imperial'!D34</f>
        <v>-</v>
      </c>
      <c r="E35" s="195">
        <f>'Inputs-Imperial'!E34</f>
        <v>1.25</v>
      </c>
      <c r="F35" s="8"/>
    </row>
    <row r="36" spans="1:73" ht="15.75" thickBot="1" x14ac:dyDescent="0.3">
      <c r="A36" s="28"/>
      <c r="B36" s="29" t="str">
        <f>'Inputs-Imperial'!B35</f>
        <v>Bonded Joint Weight  (W_joints/W_laminate)</v>
      </c>
      <c r="C36" s="29" t="str">
        <f>'Inputs-Imperial'!C35</f>
        <v>K_Fab</v>
      </c>
      <c r="D36" s="29" t="str">
        <f>'Inputs-Imperial'!D35</f>
        <v>-</v>
      </c>
      <c r="E36" s="30">
        <f>'Inputs-Imperial'!E35</f>
        <v>1.05</v>
      </c>
      <c r="F36" s="2"/>
    </row>
    <row r="37" spans="1:73" ht="15.75" thickBot="1" x14ac:dyDescent="0.3"/>
    <row r="38" spans="1:73" ht="15.75" thickBot="1" x14ac:dyDescent="0.3">
      <c r="A38" s="229" t="s">
        <v>358</v>
      </c>
      <c r="B38" s="208"/>
      <c r="C38" s="208"/>
      <c r="D38" s="208"/>
      <c r="E38" s="196"/>
    </row>
    <row r="39" spans="1:73" x14ac:dyDescent="0.25">
      <c r="A39" s="158"/>
      <c r="B39" s="24" t="s">
        <v>354</v>
      </c>
      <c r="C39" s="24" t="s">
        <v>357</v>
      </c>
      <c r="D39" s="24" t="s">
        <v>14</v>
      </c>
      <c r="E39" s="293">
        <f>1.044*('Inputs-Imperial'!E11/0.182)</f>
        <v>1.0325274725274727</v>
      </c>
    </row>
    <row r="40" spans="1:73" ht="15.75" thickBot="1" x14ac:dyDescent="0.3">
      <c r="A40" s="227"/>
      <c r="B40" s="29" t="s">
        <v>355</v>
      </c>
      <c r="C40" s="29" t="s">
        <v>356</v>
      </c>
      <c r="D40" s="29" t="s">
        <v>14</v>
      </c>
      <c r="E40" s="206">
        <f>1.026*('Inputs-Imperial'!E11/0.182)</f>
        <v>1.0147252747252749</v>
      </c>
    </row>
    <row r="43" spans="1:73" ht="15.75" thickBot="1" x14ac:dyDescent="0.3">
      <c r="V43" s="80" t="s">
        <v>359</v>
      </c>
      <c r="BL43" s="4" t="s">
        <v>814</v>
      </c>
    </row>
    <row r="44" spans="1:73" ht="15" customHeight="1" thickBot="1" x14ac:dyDescent="0.3">
      <c r="A44" s="770" t="s">
        <v>155</v>
      </c>
      <c r="B44" s="771"/>
      <c r="C44" s="771"/>
      <c r="D44" s="771"/>
      <c r="E44" s="771"/>
      <c r="F44" s="771"/>
      <c r="G44" s="771"/>
      <c r="H44" s="771"/>
      <c r="I44" s="771"/>
      <c r="J44" s="772"/>
      <c r="K44" s="758" t="s">
        <v>13</v>
      </c>
      <c r="L44" s="759"/>
      <c r="M44" s="759"/>
      <c r="N44" s="759"/>
      <c r="O44" s="760"/>
      <c r="P44" s="543" t="s">
        <v>372</v>
      </c>
      <c r="Q44" s="544"/>
      <c r="R44" s="544"/>
      <c r="S44" s="545"/>
      <c r="T44" s="807" t="s">
        <v>360</v>
      </c>
      <c r="U44" s="808"/>
      <c r="V44" s="808"/>
      <c r="W44" s="808"/>
      <c r="X44" s="808"/>
      <c r="Y44" s="808"/>
      <c r="Z44" s="808"/>
      <c r="AA44" s="808"/>
      <c r="AB44" s="808"/>
      <c r="AC44" s="808"/>
      <c r="AD44" s="808"/>
      <c r="AE44" s="808"/>
      <c r="AF44" s="785" t="s">
        <v>371</v>
      </c>
      <c r="AG44" s="786"/>
      <c r="AH44" s="786"/>
      <c r="AI44" s="786"/>
      <c r="AJ44" s="786"/>
      <c r="AK44" s="786"/>
      <c r="AL44" s="786"/>
      <c r="AM44" s="786"/>
      <c r="AN44" s="786"/>
      <c r="AO44" s="786"/>
      <c r="AP44" s="786"/>
      <c r="AQ44" s="786"/>
      <c r="AR44" s="786"/>
      <c r="AS44" s="786"/>
      <c r="AT44" s="787"/>
      <c r="AU44" s="804" t="s">
        <v>387</v>
      </c>
      <c r="AV44" s="805"/>
      <c r="AW44" s="805"/>
      <c r="AX44" s="805"/>
      <c r="AY44" s="805"/>
      <c r="AZ44" s="805"/>
      <c r="BA44" s="805"/>
      <c r="BB44" s="805"/>
      <c r="BC44" s="805"/>
      <c r="BD44" s="805"/>
      <c r="BE44" s="805"/>
      <c r="BF44" s="805"/>
      <c r="BG44" s="805"/>
      <c r="BH44" s="805"/>
      <c r="BI44" s="806"/>
      <c r="BJ44" s="561"/>
    </row>
    <row r="45" spans="1:73" ht="87.6" customHeight="1" thickBot="1" x14ac:dyDescent="0.3">
      <c r="A45" s="176" t="s">
        <v>130</v>
      </c>
      <c r="B45" s="177" t="s">
        <v>132</v>
      </c>
      <c r="C45" s="177" t="s">
        <v>131</v>
      </c>
      <c r="D45" s="178" t="s">
        <v>145</v>
      </c>
      <c r="E45" s="178" t="s">
        <v>153</v>
      </c>
      <c r="F45" s="178" t="str">
        <f>Sizing!F59</f>
        <v>Lead-Lag Shear [lbs] -
 Vx</v>
      </c>
      <c r="G45" s="178" t="str">
        <f>Sizing!G59</f>
        <v>Shear [lbs] -
 OB Edge - Vz</v>
      </c>
      <c r="H45" s="178" t="str">
        <f>Sizing!H59</f>
        <v>Moment [ft-lbs] -
 OB Edge - Mx</v>
      </c>
      <c r="I45" s="178" t="str">
        <f>Sizing!I59</f>
        <v>Wing Torsion
[ft-lbs] -
 My</v>
      </c>
      <c r="J45" s="178" t="str">
        <f>Sizing!J59</f>
        <v>Lead-Lag Moment
[ft-lbs] -
Mz</v>
      </c>
      <c r="K45" s="163" t="s">
        <v>176</v>
      </c>
      <c r="L45" s="125" t="s">
        <v>173</v>
      </c>
      <c r="M45" s="125" t="s">
        <v>174</v>
      </c>
      <c r="N45" s="125" t="s">
        <v>175</v>
      </c>
      <c r="O45" s="154" t="s">
        <v>156</v>
      </c>
      <c r="P45" s="125" t="s">
        <v>373</v>
      </c>
      <c r="Q45" s="125" t="s">
        <v>374</v>
      </c>
      <c r="R45" s="125" t="s">
        <v>163</v>
      </c>
      <c r="S45" s="125" t="s">
        <v>375</v>
      </c>
      <c r="T45" s="310" t="str">
        <f>Sizing!CN59</f>
        <v>Wing Skin As-Built Core Thickness
[in]</v>
      </c>
      <c r="U45" s="125" t="str">
        <f>Sizing!CO59</f>
        <v>As-built Skin Facesheet OML Thickness [in]</v>
      </c>
      <c r="V45" s="154" t="str">
        <f>Sizing!CP59</f>
        <v>As-built Skin Facesheet IML Thickness [in]</v>
      </c>
      <c r="W45" s="310" t="s">
        <v>362</v>
      </c>
      <c r="X45" s="120" t="s">
        <v>363</v>
      </c>
      <c r="Y45" s="310" t="s">
        <v>364</v>
      </c>
      <c r="Z45" s="308" t="s">
        <v>365</v>
      </c>
      <c r="AA45" s="309" t="s">
        <v>367</v>
      </c>
      <c r="AB45" s="309" t="s">
        <v>366</v>
      </c>
      <c r="AC45" s="308" t="s">
        <v>368</v>
      </c>
      <c r="AD45" s="309" t="s">
        <v>369</v>
      </c>
      <c r="AE45" s="309" t="s">
        <v>370</v>
      </c>
      <c r="AF45" s="161" t="str">
        <f>Sizing!DU59</f>
        <v>As-built
Vert Spar
Comp.
Cap Area [in^2]</v>
      </c>
      <c r="AG45" s="252" t="str">
        <f>Sizing!DV59</f>
        <v>As-built 
Comp Cap Square
Side Length 
[in]</v>
      </c>
      <c r="AH45" s="252" t="str">
        <f>Sizing!DW59</f>
        <v>As-built
Vert Spar
Tension
Cap Area [in^2]</v>
      </c>
      <c r="AI45" s="162" t="str">
        <f>Sizing!DX59</f>
        <v>As-built
Tension
 Cap Square
Side Length 
[in]</v>
      </c>
      <c r="AJ45" s="320" t="str">
        <f>Sizing!GJ59</f>
        <v>As-Built Spar Core Thickness
[in]</v>
      </c>
      <c r="AK45" s="321" t="str">
        <f>Sizing!GK59</f>
        <v>As-built Facesheet 1 Thickness [in]</v>
      </c>
      <c r="AL45" s="322" t="str">
        <f>Sizing!GL59</f>
        <v>As-built Facesheet 2 Thickness [in]</v>
      </c>
      <c r="AM45" s="323" t="s">
        <v>388</v>
      </c>
      <c r="AN45" s="324" t="s">
        <v>389</v>
      </c>
      <c r="AO45" s="323" t="s">
        <v>390</v>
      </c>
      <c r="AP45" s="310" t="s">
        <v>391</v>
      </c>
      <c r="AQ45" s="120" t="s">
        <v>392</v>
      </c>
      <c r="AR45" s="312" t="s">
        <v>393</v>
      </c>
      <c r="AS45" s="312" t="s">
        <v>394</v>
      </c>
      <c r="AT45" s="312" t="s">
        <v>395</v>
      </c>
      <c r="AU45" s="124" t="str">
        <f>Sizing!JC59</f>
        <v>As-Built
Drag Spar
Cap Area 
[in^2]</v>
      </c>
      <c r="AV45" s="124" t="str">
        <f>Sizing!JD59</f>
        <v xml:space="preserve">
 As-Built
Cap Square
Side Length 
[in]</v>
      </c>
      <c r="AW45" s="124" t="str">
        <f>Sizing!JC59</f>
        <v>As-Built
Drag Spar
Cap Area 
[in^2]</v>
      </c>
      <c r="AX45" s="124" t="str">
        <f>Sizing!JD59</f>
        <v xml:space="preserve">
 As-Built
Cap Square
Side Length 
[in]</v>
      </c>
      <c r="AY45" s="325" t="str">
        <f>Sizing!IT59</f>
        <v>As-Built Aft Web Core Thickness
[in]</v>
      </c>
      <c r="AZ45" s="326" t="str">
        <f>Sizing!IU59</f>
        <v>As-built Skin Facesheet 1 Thickness [in]</v>
      </c>
      <c r="BA45" s="327" t="str">
        <f>Sizing!IV59</f>
        <v>As-built Skin Facesheet 2 Thickness [in]</v>
      </c>
      <c r="BB45" s="327" t="s">
        <v>388</v>
      </c>
      <c r="BC45" s="327" t="s">
        <v>389</v>
      </c>
      <c r="BD45" s="327" t="s">
        <v>390</v>
      </c>
      <c r="BE45" s="327" t="s">
        <v>391</v>
      </c>
      <c r="BF45" s="327" t="s">
        <v>392</v>
      </c>
      <c r="BG45" s="328" t="s">
        <v>393</v>
      </c>
      <c r="BH45" s="328" t="s">
        <v>394</v>
      </c>
      <c r="BI45" s="328" t="s">
        <v>395</v>
      </c>
      <c r="BJ45" s="561"/>
      <c r="BK45" s="563" t="s">
        <v>813</v>
      </c>
      <c r="BL45" s="563" t="s">
        <v>815</v>
      </c>
      <c r="BM45" s="563" t="s">
        <v>816</v>
      </c>
      <c r="BN45" s="563" t="s">
        <v>817</v>
      </c>
      <c r="BO45" s="563" t="s">
        <v>818</v>
      </c>
      <c r="BP45" s="563" t="s">
        <v>821</v>
      </c>
      <c r="BQ45" s="563" t="s">
        <v>820</v>
      </c>
      <c r="BR45" s="563" t="s">
        <v>819</v>
      </c>
      <c r="BS45" s="563" t="s">
        <v>822</v>
      </c>
      <c r="BT45" s="563" t="s">
        <v>823</v>
      </c>
      <c r="BU45" s="563" t="s">
        <v>824</v>
      </c>
    </row>
    <row r="46" spans="1:73" x14ac:dyDescent="0.25">
      <c r="A46" s="180">
        <v>0</v>
      </c>
      <c r="B46" s="181">
        <f>A46/100*'Inputs-Imperial'!$E$5</f>
        <v>0</v>
      </c>
      <c r="C46" s="182">
        <f>'Inputs-Imperial'!$E$10+('Inputs-Imperial'!$E$9-'Inputs-Imperial'!$E$10)*(100-A46)/100</f>
        <v>2.1325460000000001</v>
      </c>
      <c r="D46" s="183">
        <v>0</v>
      </c>
      <c r="E46" s="183">
        <v>0</v>
      </c>
      <c r="F46" s="184">
        <f>Sizing!F60</f>
        <v>121.20459691555001</v>
      </c>
      <c r="G46" s="184">
        <f>Sizing!G60</f>
        <v>1212.0459691554993</v>
      </c>
      <c r="H46" s="184">
        <f>Sizing!H60</f>
        <v>5274.2445856614158</v>
      </c>
      <c r="I46" s="184">
        <f>Sizing!I60</f>
        <v>-1144.4473362741128</v>
      </c>
      <c r="J46" s="185">
        <f>Sizing!J60</f>
        <v>527.42445856614165</v>
      </c>
      <c r="K46" s="129">
        <v>0</v>
      </c>
      <c r="L46" s="166">
        <f>B46*12</f>
        <v>0</v>
      </c>
      <c r="M46" s="173">
        <f>C46*12</f>
        <v>25.590552000000002</v>
      </c>
      <c r="N46" s="173">
        <f>D46*12</f>
        <v>0</v>
      </c>
      <c r="O46" s="167">
        <f>E46*12*12</f>
        <v>0</v>
      </c>
      <c r="P46" s="130">
        <f t="shared" ref="P46:P77" si="0">M46*$E$17</f>
        <v>4.6062993600000004</v>
      </c>
      <c r="Q46" s="166">
        <v>0</v>
      </c>
      <c r="R46" s="130">
        <f t="shared" ref="R46:R77" si="1">M46*$E$21</f>
        <v>2.3031496800000002</v>
      </c>
      <c r="S46" s="167">
        <v>0</v>
      </c>
      <c r="T46" s="293">
        <f>Sizing!CN60</f>
        <v>0.25</v>
      </c>
      <c r="U46" s="293">
        <f>Sizing!CO60</f>
        <v>2.3622047244094495E-2</v>
      </c>
      <c r="V46" s="293">
        <f>Sizing!CP60</f>
        <v>1.5748031496062995E-2</v>
      </c>
      <c r="W46" s="128">
        <f>(U46*$E$30+V46*$E$30)*$E$35</f>
        <v>3.0224609670856709E-3</v>
      </c>
      <c r="X46" s="2">
        <f>T46*$E$34*$E$35</f>
        <v>7.2254596295506844E-4</v>
      </c>
      <c r="Y46" s="2">
        <f>W46+X46</f>
        <v>3.7450069300407392E-3</v>
      </c>
      <c r="Z46" s="128">
        <f t="shared" ref="Z46:AB47" si="2">$O46*$E$39*W46</f>
        <v>0</v>
      </c>
      <c r="AA46" s="2">
        <f t="shared" si="2"/>
        <v>0</v>
      </c>
      <c r="AB46" s="126">
        <f t="shared" si="2"/>
        <v>0</v>
      </c>
      <c r="AC46" s="314">
        <f t="shared" ref="AC46:AE47" si="3">$O46*$E$40*W46</f>
        <v>0</v>
      </c>
      <c r="AD46" s="313">
        <f t="shared" si="3"/>
        <v>0</v>
      </c>
      <c r="AE46" s="315">
        <f t="shared" si="3"/>
        <v>0</v>
      </c>
      <c r="AF46" s="202">
        <f>Sizing!DU60</f>
        <v>0.41283788277202987</v>
      </c>
      <c r="AG46" s="202">
        <f>Sizing!DV60</f>
        <v>0.64252461647164139</v>
      </c>
      <c r="AH46" s="202">
        <f>Sizing!DW60</f>
        <v>0.41283788277202987</v>
      </c>
      <c r="AI46" s="195">
        <f>Sizing!DX60</f>
        <v>0.64252461647164139</v>
      </c>
      <c r="AJ46" s="240">
        <f>Sizing!GJ60</f>
        <v>0.25</v>
      </c>
      <c r="AK46" s="240">
        <f>Sizing!GK60</f>
        <v>2.3622047244094495E-2</v>
      </c>
      <c r="AL46" s="293">
        <f>Sizing!GL60</f>
        <v>2.3622047244094495E-2</v>
      </c>
      <c r="AM46" s="216">
        <f>(AK46*$E$30+AL46*$E$30)*$E$35</f>
        <v>3.6269531605028051E-3</v>
      </c>
      <c r="AN46" s="138">
        <f>AJ46*$E$34*$E$35</f>
        <v>7.2254596295506844E-4</v>
      </c>
      <c r="AO46" s="138">
        <f>AM46+AN46</f>
        <v>4.3494991234578739E-3</v>
      </c>
      <c r="AP46" s="314">
        <f t="shared" ref="AP46:AR47" si="4">AM46*$Q46</f>
        <v>0</v>
      </c>
      <c r="AQ46" s="173">
        <f t="shared" si="4"/>
        <v>0</v>
      </c>
      <c r="AR46" s="315">
        <f t="shared" si="4"/>
        <v>0</v>
      </c>
      <c r="AS46" s="11">
        <f>AF46*$N46*$E$26</f>
        <v>0</v>
      </c>
      <c r="AT46" s="315">
        <f>AH46*$N46*$E$26</f>
        <v>0</v>
      </c>
      <c r="AU46" s="202">
        <f>Sizing!JC60</f>
        <v>6.3945696655626945E-3</v>
      </c>
      <c r="AV46" s="195">
        <f>Sizing!JD60</f>
        <v>7.9966053207362275E-2</v>
      </c>
      <c r="AW46" s="202">
        <f>Sizing!JC60</f>
        <v>6.3945696655626945E-3</v>
      </c>
      <c r="AX46" s="195">
        <f>Sizing!JD60</f>
        <v>7.9966053207362275E-2</v>
      </c>
      <c r="AY46" s="240">
        <f>Sizing!IT60</f>
        <v>0.25</v>
      </c>
      <c r="AZ46" s="240">
        <f>Sizing!IU60</f>
        <v>1.5748031496062995E-2</v>
      </c>
      <c r="BA46" s="293">
        <f>Sizing!IV60</f>
        <v>1.5748031496062995E-2</v>
      </c>
      <c r="BB46" s="216">
        <f>(AZ46*$E$30+BA46*$E$30)*$E$35</f>
        <v>2.4179687736685367E-3</v>
      </c>
      <c r="BC46" s="138">
        <f>AY46*$E$34*$E$35</f>
        <v>7.2254596295506844E-4</v>
      </c>
      <c r="BD46" s="138">
        <f>BB46+BC46</f>
        <v>3.1405147366236051E-3</v>
      </c>
      <c r="BE46" s="314">
        <f>BB46*$S46</f>
        <v>0</v>
      </c>
      <c r="BF46" s="173">
        <f>BC46*$S46</f>
        <v>0</v>
      </c>
      <c r="BG46" s="315">
        <f>BD46*$S46</f>
        <v>0</v>
      </c>
      <c r="BH46" s="315">
        <f>AU46*$N46*$E$26</f>
        <v>0</v>
      </c>
      <c r="BI46" s="315">
        <f>AW46*$N46*$E$26</f>
        <v>0</v>
      </c>
      <c r="BJ46" s="561"/>
      <c r="BK46">
        <f>0.5*C46</f>
        <v>1.066273</v>
      </c>
      <c r="BL46">
        <f>0.5*C46</f>
        <v>1.066273</v>
      </c>
      <c r="BM46">
        <f>C46*'Inputs-Imperial'!$E$12</f>
        <v>0.53313650000000001</v>
      </c>
      <c r="BN46">
        <f>C46*'Inputs-Imperial'!$E$12</f>
        <v>0.53313650000000001</v>
      </c>
      <c r="BO46">
        <f>C46*'Inputs-Imperial'!$E$12</f>
        <v>0.53313650000000001</v>
      </c>
      <c r="BP46">
        <f>C46*'Weight '!$E$15</f>
        <v>1.066273</v>
      </c>
      <c r="BQ46">
        <f>C46*'Weight '!$E$15</f>
        <v>1.066273</v>
      </c>
      <c r="BR46">
        <f>C46*'Weight '!$E$15</f>
        <v>1.066273</v>
      </c>
      <c r="BS46">
        <f>(BK46*AB46+BL46*AE46+BM46*AR46+BN46*AS46+BO46*AT46+BP46*BG46+BQ46*BH46+BR46*BI46)</f>
        <v>0</v>
      </c>
      <c r="BT46" s="564">
        <f>(AB46 +AE46+AR46+AS46+AT46+BG46+BH46+BI46)</f>
        <v>0</v>
      </c>
      <c r="BU46" t="e">
        <f>BS46/BT46</f>
        <v>#DIV/0!</v>
      </c>
    </row>
    <row r="47" spans="1:73" x14ac:dyDescent="0.25">
      <c r="A47" s="186">
        <v>1</v>
      </c>
      <c r="B47" s="187">
        <f>A47/100*'Inputs-Imperial'!$E$5</f>
        <v>9.8425200000000004E-2</v>
      </c>
      <c r="C47" s="188">
        <f>'Inputs-Imperial'!$E$10+('Inputs-Imperial'!$E$9-'Inputs-Imperial'!$E$10)*(100-A47)/100</f>
        <v>2.1227034800000002</v>
      </c>
      <c r="D47" s="187">
        <f>B47-B46</f>
        <v>9.8425200000000004E-2</v>
      </c>
      <c r="E47" s="188">
        <f>D47*AVERAGE(C46:C47)</f>
        <v>0.20941189055944801</v>
      </c>
      <c r="F47" s="423">
        <f>Sizing!F61</f>
        <v>119.6467004745565</v>
      </c>
      <c r="G47" s="423">
        <f>Sizing!G61</f>
        <v>1196.4670047455641</v>
      </c>
      <c r="H47" s="423">
        <f>Sizing!H61</f>
        <v>5154.9487187380919</v>
      </c>
      <c r="I47" s="423">
        <f>Sizing!I61</f>
        <v>-1126.4054492731311</v>
      </c>
      <c r="J47" s="189">
        <f>Sizing!J61</f>
        <v>515.4948718738093</v>
      </c>
      <c r="K47" s="128">
        <v>1</v>
      </c>
      <c r="L47" s="12">
        <f t="shared" ref="L47:N110" si="5">B47*12</f>
        <v>1.1811024000000001</v>
      </c>
      <c r="M47" s="11">
        <f t="shared" si="5"/>
        <v>25.472441760000002</v>
      </c>
      <c r="N47" s="11">
        <f t="shared" si="5"/>
        <v>1.1811024000000001</v>
      </c>
      <c r="O47" s="152">
        <f>E47*12*12</f>
        <v>30.155312240560512</v>
      </c>
      <c r="P47" s="8">
        <f t="shared" si="0"/>
        <v>4.5850395168000002</v>
      </c>
      <c r="Q47" s="12">
        <f>AVERAGE(P46:P47)*$N47</f>
        <v>5.4279562033008926</v>
      </c>
      <c r="R47" s="8">
        <f t="shared" si="1"/>
        <v>2.2925197584000001</v>
      </c>
      <c r="S47" s="12">
        <f>AVERAGE(R46:R47)*$N47</f>
        <v>2.7139781016504463</v>
      </c>
      <c r="T47" s="17">
        <f>Sizing!CN61</f>
        <v>0.25</v>
      </c>
      <c r="U47" s="17">
        <f>Sizing!CO61</f>
        <v>2.3622047244094495E-2</v>
      </c>
      <c r="V47" s="17">
        <f>Sizing!CP61</f>
        <v>1.5748031496062995E-2</v>
      </c>
      <c r="W47" s="128">
        <f t="shared" ref="W47:W110" si="6">(U47*$E$30+V47*$E$30)*$E$35</f>
        <v>3.0224609670856709E-3</v>
      </c>
      <c r="X47" s="2">
        <f t="shared" ref="X47:X110" si="7">T47*$E$34*$E$35</f>
        <v>7.2254596295506844E-4</v>
      </c>
      <c r="Y47" s="2">
        <f t="shared" ref="Y47:Y110" si="8">W47+X47</f>
        <v>3.7450069300407392E-3</v>
      </c>
      <c r="Z47" s="216">
        <f t="shared" si="2"/>
        <v>9.4107913894344461E-2</v>
      </c>
      <c r="AA47" s="138">
        <f t="shared" si="2"/>
        <v>2.2497327180389166E-2</v>
      </c>
      <c r="AB47" s="17">
        <f t="shared" si="2"/>
        <v>0.11660524107473363</v>
      </c>
      <c r="AC47" s="311">
        <f t="shared" si="3"/>
        <v>9.2485363654786795E-2</v>
      </c>
      <c r="AD47" s="316">
        <f t="shared" si="3"/>
        <v>2.2109442229003143E-2</v>
      </c>
      <c r="AE47" s="21">
        <f t="shared" si="3"/>
        <v>0.11459480588378994</v>
      </c>
      <c r="AF47" s="170">
        <f>Sizing!DU61</f>
        <v>0.41283788277202987</v>
      </c>
      <c r="AG47" s="170">
        <f>Sizing!DV61</f>
        <v>0.64252461647164139</v>
      </c>
      <c r="AH47" s="170">
        <f>Sizing!DW61</f>
        <v>0.41283788277202987</v>
      </c>
      <c r="AI47" s="272">
        <f>Sizing!DX61</f>
        <v>0.64252461647164139</v>
      </c>
      <c r="AJ47" s="216">
        <f>Sizing!GJ61</f>
        <v>0.25</v>
      </c>
      <c r="AK47" s="216">
        <f>Sizing!GK61</f>
        <v>2.3622047244094495E-2</v>
      </c>
      <c r="AL47" s="17">
        <f>Sizing!GL61</f>
        <v>2.3622047244094495E-2</v>
      </c>
      <c r="AM47" s="216">
        <f t="shared" ref="AM47:AM110" si="9">(AK47*$E$30+AL47*$E$30)*$E$35</f>
        <v>3.6269531605028051E-3</v>
      </c>
      <c r="AN47" s="138">
        <f t="shared" ref="AN47:AN110" si="10">AJ47*$E$34*$E$35</f>
        <v>7.2254596295506844E-4</v>
      </c>
      <c r="AO47" s="138">
        <f t="shared" ref="AO47:AO110" si="11">AM47+AN47</f>
        <v>4.3494991234578739E-3</v>
      </c>
      <c r="AP47" s="311">
        <f t="shared" si="4"/>
        <v>1.9686942906632979E-2</v>
      </c>
      <c r="AQ47" s="11">
        <f t="shared" si="4"/>
        <v>3.921947841791981E-3</v>
      </c>
      <c r="AR47" s="21">
        <f t="shared" si="4"/>
        <v>2.3608890748424961E-2</v>
      </c>
      <c r="AS47" s="11">
        <f t="shared" ref="AS47:AS110" si="12">AF47*$N47*$E$26</f>
        <v>2.9946874232205947E-2</v>
      </c>
      <c r="AT47" s="21">
        <f>AH47*$N47*$E$26</f>
        <v>2.9946874232205947E-2</v>
      </c>
      <c r="AU47" s="170">
        <f>Sizing!JC61</f>
        <v>6.3945696655626945E-3</v>
      </c>
      <c r="AV47" s="272">
        <f>Sizing!JD61</f>
        <v>7.9966053207362275E-2</v>
      </c>
      <c r="AW47" s="170">
        <f>Sizing!JC61</f>
        <v>6.3945696655626945E-3</v>
      </c>
      <c r="AX47" s="272">
        <f>Sizing!JD61</f>
        <v>7.9966053207362275E-2</v>
      </c>
      <c r="AY47" s="216">
        <f>Sizing!IT61</f>
        <v>0.25</v>
      </c>
      <c r="AZ47" s="216">
        <f>Sizing!IU61</f>
        <v>1.5748031496062995E-2</v>
      </c>
      <c r="BA47" s="17">
        <f>Sizing!IV61</f>
        <v>1.5748031496062995E-2</v>
      </c>
      <c r="BB47" s="216">
        <f t="shared" ref="BB47:BB110" si="13">(AZ47*$E$30+BA47*$E$30)*$E$35</f>
        <v>2.4179687736685367E-3</v>
      </c>
      <c r="BC47" s="138">
        <f t="shared" ref="BC47:BC110" si="14">AY47*$E$34*$E$35</f>
        <v>7.2254596295506844E-4</v>
      </c>
      <c r="BD47" s="138">
        <f t="shared" ref="BD47:BD110" si="15">BB47+BC47</f>
        <v>3.1405147366236051E-3</v>
      </c>
      <c r="BE47" s="311">
        <f t="shared" ref="BE47:BE110" si="16">BB47*$S47</f>
        <v>6.5623143022109929E-3</v>
      </c>
      <c r="BF47" s="11">
        <f t="shared" ref="BF47:BF110" si="17">BC47*$S47</f>
        <v>1.9609739208959905E-3</v>
      </c>
      <c r="BG47" s="21">
        <f t="shared" ref="BG47:BG110" si="18">BD47*$S47</f>
        <v>8.5232882231069829E-3</v>
      </c>
      <c r="BH47" s="21">
        <f t="shared" ref="BH47:BH110" si="19">AU47*$N47*$E$26</f>
        <v>4.6385610801475454E-4</v>
      </c>
      <c r="BI47" s="21">
        <f t="shared" ref="BI47:BI110" si="20">AW47*$N47*$E$26</f>
        <v>4.6385610801475454E-4</v>
      </c>
      <c r="BJ47" s="561"/>
      <c r="BK47">
        <f t="shared" ref="BK47:BK110" si="21">0.5*C47</f>
        <v>1.0613517400000001</v>
      </c>
      <c r="BL47">
        <f t="shared" ref="BL47:BL110" si="22">0.5*C47</f>
        <v>1.0613517400000001</v>
      </c>
      <c r="BM47">
        <f>C47*'Inputs-Imperial'!$E$12</f>
        <v>0.53067587000000005</v>
      </c>
      <c r="BN47">
        <f>C47*'Inputs-Imperial'!$E$12</f>
        <v>0.53067587000000005</v>
      </c>
      <c r="BO47">
        <f>C47*'Inputs-Imperial'!$E$12</f>
        <v>0.53067587000000005</v>
      </c>
      <c r="BP47">
        <f>C47*'Weight '!$E$15</f>
        <v>1.0613517400000001</v>
      </c>
      <c r="BQ47">
        <f>C47*'Weight '!$E$15</f>
        <v>1.0613517400000001</v>
      </c>
      <c r="BR47">
        <f>C47*'Weight '!$E$15</f>
        <v>1.0613517400000001</v>
      </c>
      <c r="BS47">
        <f t="shared" ref="BS47:BS110" si="23">(BK47*AB47+BL47*AE47+BM47*AR47+BN47*AS47+BO47*AT47+BP47*BG47+BQ47*BH47+BR47*BI47)</f>
        <v>0.29972824359989736</v>
      </c>
      <c r="BT47" s="564">
        <f t="shared" ref="BT47:BT110" si="24">(AB47 +AE47+AR47+AS47+AT47+BG47+BH47+BI47)</f>
        <v>0.32415368661049693</v>
      </c>
      <c r="BU47">
        <f>BS47/BT47</f>
        <v>0.92464857251508237</v>
      </c>
    </row>
    <row r="48" spans="1:73" x14ac:dyDescent="0.25">
      <c r="A48" s="186">
        <v>2</v>
      </c>
      <c r="B48" s="187">
        <f>A48/100*'Inputs-Imperial'!$E$5</f>
        <v>0.19685040000000001</v>
      </c>
      <c r="C48" s="188">
        <f>'Inputs-Imperial'!$E$10+('Inputs-Imperial'!$E$9-'Inputs-Imperial'!$E$10)*(100-A48)/100</f>
        <v>2.1128609599999999</v>
      </c>
      <c r="D48" s="187">
        <f t="shared" ref="D48:D111" si="25">B48-B47</f>
        <v>9.8425200000000004E-2</v>
      </c>
      <c r="E48" s="188">
        <f t="shared" ref="E48:E111" si="26">D48*AVERAGE(C47:C48)</f>
        <v>0.20844313855994401</v>
      </c>
      <c r="F48" s="423">
        <f>Sizing!F62</f>
        <v>118.0925180353431</v>
      </c>
      <c r="G48" s="423">
        <f>Sizing!G62</f>
        <v>1180.9251803534303</v>
      </c>
      <c r="H48" s="423">
        <f>Sizing!H62</f>
        <v>5037.1862145026089</v>
      </c>
      <c r="I48" s="423">
        <f>Sizing!I62</f>
        <v>-1108.4499800077406</v>
      </c>
      <c r="J48" s="189">
        <f>Sizing!J62</f>
        <v>503.71862145026103</v>
      </c>
      <c r="K48" s="128">
        <v>2</v>
      </c>
      <c r="L48" s="12">
        <f t="shared" si="5"/>
        <v>2.3622048000000002</v>
      </c>
      <c r="M48" s="11">
        <f t="shared" si="5"/>
        <v>25.354331519999999</v>
      </c>
      <c r="N48" s="11">
        <f t="shared" si="5"/>
        <v>1.1811024000000001</v>
      </c>
      <c r="O48" s="152">
        <f t="shared" ref="O48:O110" si="27">E48*12*12</f>
        <v>30.015811952631935</v>
      </c>
      <c r="P48" s="8">
        <f t="shared" si="0"/>
        <v>4.5637796736</v>
      </c>
      <c r="Q48" s="12">
        <f t="shared" ref="Q48:Q111" si="28">AVERAGE(P47:P48)*$N48</f>
        <v>5.4028461514737494</v>
      </c>
      <c r="R48" s="8">
        <f t="shared" si="1"/>
        <v>2.2818898368</v>
      </c>
      <c r="S48" s="12">
        <f t="shared" ref="S48:S111" si="29">AVERAGE(R47:R48)*$N48</f>
        <v>2.7014230757368747</v>
      </c>
      <c r="T48" s="17">
        <f>Sizing!CN62</f>
        <v>0.25</v>
      </c>
      <c r="U48" s="17">
        <f>Sizing!CO62</f>
        <v>2.3622047244094495E-2</v>
      </c>
      <c r="V48" s="17">
        <f>Sizing!CP62</f>
        <v>1.5748031496062995E-2</v>
      </c>
      <c r="W48" s="128">
        <f t="shared" si="6"/>
        <v>3.0224609670856709E-3</v>
      </c>
      <c r="X48" s="2">
        <f t="shared" si="7"/>
        <v>7.2254596295506844E-4</v>
      </c>
      <c r="Y48" s="2">
        <f t="shared" si="8"/>
        <v>3.7450069300407392E-3</v>
      </c>
      <c r="Z48" s="216">
        <f t="shared" ref="Z48:Z111" si="30">$O48*$E$39*W48</f>
        <v>9.3672565025133922E-2</v>
      </c>
      <c r="AA48" s="138">
        <f t="shared" ref="AA48:AA111" si="31">$O48*$E$39*X48</f>
        <v>2.2393253191890835E-2</v>
      </c>
      <c r="AB48" s="17">
        <f t="shared" ref="AB48:AB111" si="32">$O48*$E$39*Y48</f>
        <v>0.11606581821702475</v>
      </c>
      <c r="AC48" s="311">
        <f t="shared" ref="AC48:AC111" si="33">$O48*$E$40*W48</f>
        <v>9.2057520800562648E-2</v>
      </c>
      <c r="AD48" s="316">
        <f t="shared" ref="AD48:AD111" si="34">$O48*$E$40*X48</f>
        <v>2.2007162619616851E-2</v>
      </c>
      <c r="AE48" s="21">
        <f t="shared" ref="AE48:AE111" si="35">$O48*$E$40*Y48</f>
        <v>0.11406468342017949</v>
      </c>
      <c r="AF48" s="170">
        <f>Sizing!DU62</f>
        <v>0.41283788277202987</v>
      </c>
      <c r="AG48" s="170">
        <f>Sizing!DV62</f>
        <v>0.64252461647164139</v>
      </c>
      <c r="AH48" s="170">
        <f>Sizing!DW62</f>
        <v>0.41283788277202987</v>
      </c>
      <c r="AI48" s="272">
        <f>Sizing!DX62</f>
        <v>0.64252461647164139</v>
      </c>
      <c r="AJ48" s="216">
        <f>Sizing!GJ62</f>
        <v>0.25</v>
      </c>
      <c r="AK48" s="216">
        <f>Sizing!GK62</f>
        <v>2.3622047244094495E-2</v>
      </c>
      <c r="AL48" s="17">
        <f>Sizing!GL62</f>
        <v>2.3622047244094495E-2</v>
      </c>
      <c r="AM48" s="216">
        <f t="shared" si="9"/>
        <v>3.6269531605028051E-3</v>
      </c>
      <c r="AN48" s="138">
        <f t="shared" si="10"/>
        <v>7.2254596295506844E-4</v>
      </c>
      <c r="AO48" s="138">
        <f t="shared" si="11"/>
        <v>4.3494991234578739E-3</v>
      </c>
      <c r="AP48" s="311">
        <f t="shared" ref="AP48:AP111" si="36">AM48*$Q48</f>
        <v>1.9595869924798132E-2</v>
      </c>
      <c r="AQ48" s="11">
        <f t="shared" ref="AQ48:AQ111" si="37">AN48*$Q48</f>
        <v>3.9038046752146857E-3</v>
      </c>
      <c r="AR48" s="21">
        <f t="shared" ref="AR48:AR111" si="38">AO48*$Q48</f>
        <v>2.3499674600012819E-2</v>
      </c>
      <c r="AS48" s="11">
        <f t="shared" si="12"/>
        <v>2.9946874232205947E-2</v>
      </c>
      <c r="AT48" s="21">
        <f t="shared" ref="AT48:AT110" si="39">AH48*$N48*$E$26</f>
        <v>2.9946874232205947E-2</v>
      </c>
      <c r="AU48" s="170">
        <f>Sizing!JC62</f>
        <v>6.3945696655626945E-3</v>
      </c>
      <c r="AV48" s="272">
        <f>Sizing!JD62</f>
        <v>7.9966053207362275E-2</v>
      </c>
      <c r="AW48" s="170">
        <f>Sizing!JC62</f>
        <v>6.3945696655626945E-3</v>
      </c>
      <c r="AX48" s="272">
        <f>Sizing!JD62</f>
        <v>7.9966053207362275E-2</v>
      </c>
      <c r="AY48" s="216">
        <f>Sizing!IT62</f>
        <v>0.25</v>
      </c>
      <c r="AZ48" s="216">
        <f>Sizing!IU62</f>
        <v>1.5748031496062995E-2</v>
      </c>
      <c r="BA48" s="17">
        <f>Sizing!IV62</f>
        <v>1.5748031496062995E-2</v>
      </c>
      <c r="BB48" s="216">
        <f t="shared" si="13"/>
        <v>2.4179687736685367E-3</v>
      </c>
      <c r="BC48" s="138">
        <f t="shared" si="14"/>
        <v>7.2254596295506844E-4</v>
      </c>
      <c r="BD48" s="138">
        <f t="shared" si="15"/>
        <v>3.1405147366236051E-3</v>
      </c>
      <c r="BE48" s="311">
        <f t="shared" si="16"/>
        <v>6.5319566415993771E-3</v>
      </c>
      <c r="BF48" s="11">
        <f t="shared" si="17"/>
        <v>1.9519023376073428E-3</v>
      </c>
      <c r="BG48" s="21">
        <f t="shared" si="18"/>
        <v>8.4838589792067196E-3</v>
      </c>
      <c r="BH48" s="21">
        <f t="shared" si="19"/>
        <v>4.6385610801475454E-4</v>
      </c>
      <c r="BI48" s="21">
        <f t="shared" si="20"/>
        <v>4.6385610801475454E-4</v>
      </c>
      <c r="BJ48" s="561"/>
      <c r="BK48">
        <f t="shared" si="21"/>
        <v>1.0564304799999999</v>
      </c>
      <c r="BL48">
        <f t="shared" si="22"/>
        <v>1.0564304799999999</v>
      </c>
      <c r="BM48">
        <f>C48*'Inputs-Imperial'!$E$12</f>
        <v>0.52821523999999997</v>
      </c>
      <c r="BN48">
        <f>C48*'Inputs-Imperial'!$E$12</f>
        <v>0.52821523999999997</v>
      </c>
      <c r="BO48">
        <f>C48*'Inputs-Imperial'!$E$12</f>
        <v>0.52821523999999997</v>
      </c>
      <c r="BP48">
        <f>C48*'Weight '!$E$15</f>
        <v>1.0564304799999999</v>
      </c>
      <c r="BQ48">
        <f>C48*'Weight '!$E$15</f>
        <v>1.0564304799999999</v>
      </c>
      <c r="BR48">
        <f>C48*'Weight '!$E$15</f>
        <v>1.0564304799999999</v>
      </c>
      <c r="BS48">
        <f t="shared" si="23"/>
        <v>0.29710922396096667</v>
      </c>
      <c r="BT48" s="564">
        <f t="shared" si="24"/>
        <v>0.32293549589686515</v>
      </c>
      <c r="BU48">
        <f t="shared" ref="BU48:BU110" si="40">BS48/BT48</f>
        <v>0.92002653079627228</v>
      </c>
    </row>
    <row r="49" spans="1:73" x14ac:dyDescent="0.25">
      <c r="A49" s="186">
        <v>3</v>
      </c>
      <c r="B49" s="187">
        <f>A49/100*'Inputs-Imperial'!$E$5</f>
        <v>0.29527560000000003</v>
      </c>
      <c r="C49" s="188">
        <f>'Inputs-Imperial'!$E$10+('Inputs-Imperial'!$E$9-'Inputs-Imperial'!$E$10)*(100-A49)/100</f>
        <v>2.10301844</v>
      </c>
      <c r="D49" s="187">
        <f t="shared" si="25"/>
        <v>9.8425200000000018E-2</v>
      </c>
      <c r="E49" s="188">
        <f t="shared" si="26"/>
        <v>0.20747438656044007</v>
      </c>
      <c r="F49" s="423">
        <f>Sizing!F63</f>
        <v>116.54212680447908</v>
      </c>
      <c r="G49" s="423">
        <f>Sizing!G63</f>
        <v>1165.4212680447899</v>
      </c>
      <c r="H49" s="423">
        <f>Sizing!H63</f>
        <v>4920.9534174412865</v>
      </c>
      <c r="I49" s="423">
        <f>Sizing!I63</f>
        <v>-1090.5825019030292</v>
      </c>
      <c r="J49" s="189">
        <f>Sizing!J63</f>
        <v>492.09534174412875</v>
      </c>
      <c r="K49" s="128">
        <v>3</v>
      </c>
      <c r="L49" s="12">
        <f t="shared" si="5"/>
        <v>3.5433072000000001</v>
      </c>
      <c r="M49" s="11">
        <f t="shared" si="5"/>
        <v>25.236221280000002</v>
      </c>
      <c r="N49" s="11">
        <f t="shared" si="5"/>
        <v>1.1811024000000003</v>
      </c>
      <c r="O49" s="152">
        <f t="shared" si="27"/>
        <v>29.876311664703373</v>
      </c>
      <c r="P49" s="8">
        <f t="shared" si="0"/>
        <v>4.5425198303999998</v>
      </c>
      <c r="Q49" s="12">
        <f t="shared" si="28"/>
        <v>5.3777360996466053</v>
      </c>
      <c r="R49" s="8">
        <f t="shared" si="1"/>
        <v>2.2712599151999999</v>
      </c>
      <c r="S49" s="12">
        <f t="shared" si="29"/>
        <v>2.6888680498233026</v>
      </c>
      <c r="T49" s="17">
        <f>Sizing!CN63</f>
        <v>0.25</v>
      </c>
      <c r="U49" s="17">
        <f>Sizing!CO63</f>
        <v>2.3622047244094495E-2</v>
      </c>
      <c r="V49" s="17">
        <f>Sizing!CP63</f>
        <v>1.5748031496062995E-2</v>
      </c>
      <c r="W49" s="128">
        <f t="shared" si="6"/>
        <v>3.0224609670856709E-3</v>
      </c>
      <c r="X49" s="2">
        <f t="shared" si="7"/>
        <v>7.2254596295506844E-4</v>
      </c>
      <c r="Y49" s="2">
        <f t="shared" si="8"/>
        <v>3.7450069300407392E-3</v>
      </c>
      <c r="Z49" s="216">
        <f t="shared" si="30"/>
        <v>9.3237216155923425E-2</v>
      </c>
      <c r="AA49" s="138">
        <f t="shared" si="31"/>
        <v>2.2289179203392514E-2</v>
      </c>
      <c r="AB49" s="17">
        <f t="shared" si="32"/>
        <v>0.11552639535931594</v>
      </c>
      <c r="AC49" s="311">
        <f t="shared" si="33"/>
        <v>9.1629677946338542E-2</v>
      </c>
      <c r="AD49" s="316">
        <f t="shared" si="34"/>
        <v>2.1904883010230573E-2</v>
      </c>
      <c r="AE49" s="21">
        <f t="shared" si="35"/>
        <v>0.11353456095656912</v>
      </c>
      <c r="AF49" s="170">
        <f>Sizing!DU63</f>
        <v>0.41283788277202987</v>
      </c>
      <c r="AG49" s="170">
        <f>Sizing!DV63</f>
        <v>0.64252461647164139</v>
      </c>
      <c r="AH49" s="170">
        <f>Sizing!DW63</f>
        <v>0.41283788277202987</v>
      </c>
      <c r="AI49" s="272">
        <f>Sizing!DX63</f>
        <v>0.64252461647164139</v>
      </c>
      <c r="AJ49" s="216">
        <f>Sizing!GJ63</f>
        <v>0.25</v>
      </c>
      <c r="AK49" s="216">
        <f>Sizing!GK63</f>
        <v>2.3622047244094495E-2</v>
      </c>
      <c r="AL49" s="17">
        <f>Sizing!GL63</f>
        <v>2.3622047244094495E-2</v>
      </c>
      <c r="AM49" s="216">
        <f t="shared" si="9"/>
        <v>3.6269531605028051E-3</v>
      </c>
      <c r="AN49" s="138">
        <f t="shared" si="10"/>
        <v>7.2254596295506844E-4</v>
      </c>
      <c r="AO49" s="138">
        <f t="shared" si="11"/>
        <v>4.3494991234578739E-3</v>
      </c>
      <c r="AP49" s="311">
        <f t="shared" si="36"/>
        <v>1.9504796942963282E-2</v>
      </c>
      <c r="AQ49" s="11">
        <f t="shared" si="37"/>
        <v>3.8856615086373903E-3</v>
      </c>
      <c r="AR49" s="21">
        <f t="shared" si="38"/>
        <v>2.3390458451600676E-2</v>
      </c>
      <c r="AS49" s="11">
        <f t="shared" si="12"/>
        <v>2.9946874232205954E-2</v>
      </c>
      <c r="AT49" s="21">
        <f t="shared" si="39"/>
        <v>2.9946874232205954E-2</v>
      </c>
      <c r="AU49" s="170">
        <f>Sizing!JC63</f>
        <v>6.3945696655626945E-3</v>
      </c>
      <c r="AV49" s="272">
        <f>Sizing!JD63</f>
        <v>7.9966053207362275E-2</v>
      </c>
      <c r="AW49" s="170">
        <f>Sizing!JC63</f>
        <v>6.3945696655626945E-3</v>
      </c>
      <c r="AX49" s="272">
        <f>Sizing!JD63</f>
        <v>7.9966053207362275E-2</v>
      </c>
      <c r="AY49" s="216">
        <f>Sizing!IT63</f>
        <v>0.25</v>
      </c>
      <c r="AZ49" s="216">
        <f>Sizing!IU63</f>
        <v>1.5748031496062995E-2</v>
      </c>
      <c r="BA49" s="17">
        <f>Sizing!IV63</f>
        <v>1.5748031496062995E-2</v>
      </c>
      <c r="BB49" s="216">
        <f t="shared" si="13"/>
        <v>2.4179687736685367E-3</v>
      </c>
      <c r="BC49" s="138">
        <f t="shared" si="14"/>
        <v>7.2254596295506844E-4</v>
      </c>
      <c r="BD49" s="138">
        <f t="shared" si="15"/>
        <v>3.1405147366236051E-3</v>
      </c>
      <c r="BE49" s="311">
        <f t="shared" si="16"/>
        <v>6.5015989809877606E-3</v>
      </c>
      <c r="BF49" s="11">
        <f t="shared" si="17"/>
        <v>1.9428307543186952E-3</v>
      </c>
      <c r="BG49" s="21">
        <f t="shared" si="18"/>
        <v>8.4444297353064562E-3</v>
      </c>
      <c r="BH49" s="21">
        <f t="shared" si="19"/>
        <v>4.638561080147546E-4</v>
      </c>
      <c r="BI49" s="21">
        <f t="shared" si="20"/>
        <v>4.638561080147546E-4</v>
      </c>
      <c r="BJ49" s="561"/>
      <c r="BK49">
        <f t="shared" si="21"/>
        <v>1.05150922</v>
      </c>
      <c r="BL49">
        <f t="shared" si="22"/>
        <v>1.05150922</v>
      </c>
      <c r="BM49">
        <f>C49*'Inputs-Imperial'!$E$12</f>
        <v>0.52575461000000001</v>
      </c>
      <c r="BN49">
        <f>C49*'Inputs-Imperial'!$E$12</f>
        <v>0.52575461000000001</v>
      </c>
      <c r="BO49">
        <f>C49*'Inputs-Imperial'!$E$12</f>
        <v>0.52575461000000001</v>
      </c>
      <c r="BP49">
        <f>C49*'Weight '!$E$15</f>
        <v>1.05150922</v>
      </c>
      <c r="BQ49">
        <f>C49*'Weight '!$E$15</f>
        <v>1.05150922</v>
      </c>
      <c r="BR49">
        <f>C49*'Weight '!$E$15</f>
        <v>1.05150922</v>
      </c>
      <c r="BS49">
        <f t="shared" si="23"/>
        <v>0.29450165690743652</v>
      </c>
      <c r="BT49" s="564">
        <f t="shared" si="24"/>
        <v>0.3217173051832336</v>
      </c>
      <c r="BU49">
        <f t="shared" si="40"/>
        <v>0.91540508441006474</v>
      </c>
    </row>
    <row r="50" spans="1:73" x14ac:dyDescent="0.25">
      <c r="A50" s="186">
        <v>4</v>
      </c>
      <c r="B50" s="187">
        <f>A50/100*'Inputs-Imperial'!$E$5</f>
        <v>0.39370080000000002</v>
      </c>
      <c r="C50" s="188">
        <f>'Inputs-Imperial'!$E$10+('Inputs-Imperial'!$E$9-'Inputs-Imperial'!$E$10)*(100-A50)/100</f>
        <v>2.0931759200000002</v>
      </c>
      <c r="D50" s="187">
        <f t="shared" si="25"/>
        <v>9.842519999999999E-2</v>
      </c>
      <c r="E50" s="188">
        <f t="shared" si="26"/>
        <v>0.20650563456093596</v>
      </c>
      <c r="F50" s="423">
        <f>Sizing!F64</f>
        <v>114.99560403490281</v>
      </c>
      <c r="G50" s="423">
        <f>Sizing!G64</f>
        <v>1149.9560403490273</v>
      </c>
      <c r="H50" s="423">
        <f>Sizing!H64</f>
        <v>4806.2465960497248</v>
      </c>
      <c r="I50" s="423">
        <f>Sizing!I64</f>
        <v>-1072.8045764457195</v>
      </c>
      <c r="J50" s="189">
        <f>Sizing!J64</f>
        <v>480.62465960497252</v>
      </c>
      <c r="K50" s="128">
        <v>4</v>
      </c>
      <c r="L50" s="12">
        <f t="shared" si="5"/>
        <v>4.7244096000000004</v>
      </c>
      <c r="M50" s="11">
        <f t="shared" si="5"/>
        <v>25.118111040000002</v>
      </c>
      <c r="N50" s="11">
        <f t="shared" si="5"/>
        <v>1.1811023999999999</v>
      </c>
      <c r="O50" s="152">
        <f t="shared" si="27"/>
        <v>29.736811376774778</v>
      </c>
      <c r="P50" s="8">
        <f t="shared" si="0"/>
        <v>4.5212599872000006</v>
      </c>
      <c r="Q50" s="12">
        <f t="shared" si="28"/>
        <v>5.3526260478194612</v>
      </c>
      <c r="R50" s="8">
        <f t="shared" si="1"/>
        <v>2.2606299936000003</v>
      </c>
      <c r="S50" s="12">
        <f t="shared" si="29"/>
        <v>2.6763130239097306</v>
      </c>
      <c r="T50" s="17">
        <f>Sizing!CN64</f>
        <v>0.25</v>
      </c>
      <c r="U50" s="17">
        <f>Sizing!CO64</f>
        <v>2.3622047244094495E-2</v>
      </c>
      <c r="V50" s="17">
        <f>Sizing!CP64</f>
        <v>1.5748031496062995E-2</v>
      </c>
      <c r="W50" s="128">
        <f t="shared" si="6"/>
        <v>3.0224609670856709E-3</v>
      </c>
      <c r="X50" s="2">
        <f t="shared" si="7"/>
        <v>7.2254596295506844E-4</v>
      </c>
      <c r="Y50" s="2">
        <f t="shared" si="8"/>
        <v>3.7450069300407392E-3</v>
      </c>
      <c r="Z50" s="216">
        <f t="shared" si="30"/>
        <v>9.280186728671283E-2</v>
      </c>
      <c r="AA50" s="138">
        <f t="shared" si="31"/>
        <v>2.2185105214894169E-2</v>
      </c>
      <c r="AB50" s="17">
        <f t="shared" si="32"/>
        <v>0.114986972501607</v>
      </c>
      <c r="AC50" s="311">
        <f t="shared" si="33"/>
        <v>9.1201835092114339E-2</v>
      </c>
      <c r="AD50" s="316">
        <f t="shared" si="34"/>
        <v>2.1802603400844268E-2</v>
      </c>
      <c r="AE50" s="21">
        <f t="shared" si="35"/>
        <v>0.1130044384929586</v>
      </c>
      <c r="AF50" s="170">
        <f>Sizing!DU64</f>
        <v>0.41283788277202987</v>
      </c>
      <c r="AG50" s="170">
        <f>Sizing!DV64</f>
        <v>0.64252461647164139</v>
      </c>
      <c r="AH50" s="170">
        <f>Sizing!DW64</f>
        <v>0.41283788277202987</v>
      </c>
      <c r="AI50" s="272">
        <f>Sizing!DX64</f>
        <v>0.64252461647164139</v>
      </c>
      <c r="AJ50" s="216">
        <f>Sizing!GJ64</f>
        <v>0.25</v>
      </c>
      <c r="AK50" s="216">
        <f>Sizing!GK64</f>
        <v>2.3622047244094495E-2</v>
      </c>
      <c r="AL50" s="17">
        <f>Sizing!GL64</f>
        <v>2.3622047244094495E-2</v>
      </c>
      <c r="AM50" s="216">
        <f t="shared" si="9"/>
        <v>3.6269531605028051E-3</v>
      </c>
      <c r="AN50" s="138">
        <f t="shared" si="10"/>
        <v>7.2254596295506844E-4</v>
      </c>
      <c r="AO50" s="138">
        <f t="shared" si="11"/>
        <v>4.3494991234578739E-3</v>
      </c>
      <c r="AP50" s="311">
        <f t="shared" si="36"/>
        <v>1.9413723961128435E-2</v>
      </c>
      <c r="AQ50" s="11">
        <f t="shared" si="37"/>
        <v>3.867518342060095E-3</v>
      </c>
      <c r="AR50" s="21">
        <f t="shared" si="38"/>
        <v>2.328124230318853E-2</v>
      </c>
      <c r="AS50" s="11">
        <f t="shared" si="12"/>
        <v>2.9946874232205944E-2</v>
      </c>
      <c r="AT50" s="21">
        <f t="shared" si="39"/>
        <v>2.9946874232205944E-2</v>
      </c>
      <c r="AU50" s="170">
        <f>Sizing!JC64</f>
        <v>6.3945696655626945E-3</v>
      </c>
      <c r="AV50" s="272">
        <f>Sizing!JD64</f>
        <v>7.9966053207362275E-2</v>
      </c>
      <c r="AW50" s="170">
        <f>Sizing!JC64</f>
        <v>6.3945696655626945E-3</v>
      </c>
      <c r="AX50" s="272">
        <f>Sizing!JD64</f>
        <v>7.9966053207362275E-2</v>
      </c>
      <c r="AY50" s="216">
        <f>Sizing!IT64</f>
        <v>0.25</v>
      </c>
      <c r="AZ50" s="216">
        <f>Sizing!IU64</f>
        <v>1.5748031496062995E-2</v>
      </c>
      <c r="BA50" s="17">
        <f>Sizing!IV64</f>
        <v>1.5748031496062995E-2</v>
      </c>
      <c r="BB50" s="216">
        <f t="shared" si="13"/>
        <v>2.4179687736685367E-3</v>
      </c>
      <c r="BC50" s="138">
        <f t="shared" si="14"/>
        <v>7.2254596295506844E-4</v>
      </c>
      <c r="BD50" s="138">
        <f t="shared" si="15"/>
        <v>3.1405147366236051E-3</v>
      </c>
      <c r="BE50" s="311">
        <f t="shared" si="16"/>
        <v>6.4712413203761449E-3</v>
      </c>
      <c r="BF50" s="11">
        <f t="shared" si="17"/>
        <v>1.9337591710300475E-3</v>
      </c>
      <c r="BG50" s="21">
        <f t="shared" si="18"/>
        <v>8.4050004914061911E-3</v>
      </c>
      <c r="BH50" s="21">
        <f t="shared" si="19"/>
        <v>4.6385610801475449E-4</v>
      </c>
      <c r="BI50" s="21">
        <f t="shared" si="20"/>
        <v>4.6385610801475449E-4</v>
      </c>
      <c r="BJ50" s="561"/>
      <c r="BK50">
        <f t="shared" si="21"/>
        <v>1.0465879600000001</v>
      </c>
      <c r="BL50">
        <f t="shared" si="22"/>
        <v>1.0465879600000001</v>
      </c>
      <c r="BM50">
        <f>C50*'Inputs-Imperial'!$E$12</f>
        <v>0.52329398000000005</v>
      </c>
      <c r="BN50">
        <f>C50*'Inputs-Imperial'!$E$12</f>
        <v>0.52329398000000005</v>
      </c>
      <c r="BO50">
        <f>C50*'Inputs-Imperial'!$E$12</f>
        <v>0.52329398000000005</v>
      </c>
      <c r="BP50">
        <f>C50*'Weight '!$E$15</f>
        <v>1.0465879600000001</v>
      </c>
      <c r="BQ50">
        <f>C50*'Weight '!$E$15</f>
        <v>1.0465879600000001</v>
      </c>
      <c r="BR50">
        <f>C50*'Weight '!$E$15</f>
        <v>1.0465879600000001</v>
      </c>
      <c r="BS50">
        <f t="shared" si="23"/>
        <v>0.29190554243930605</v>
      </c>
      <c r="BT50" s="564">
        <f t="shared" si="24"/>
        <v>0.32049911446960166</v>
      </c>
      <c r="BU50">
        <f t="shared" si="40"/>
        <v>0.91078424014488935</v>
      </c>
    </row>
    <row r="51" spans="1:73" x14ac:dyDescent="0.25">
      <c r="A51" s="186">
        <v>5</v>
      </c>
      <c r="B51" s="187">
        <f>A51/100*'Inputs-Imperial'!$E$5</f>
        <v>0.49212600000000006</v>
      </c>
      <c r="C51" s="188">
        <f>'Inputs-Imperial'!$E$10+('Inputs-Imperial'!$E$9-'Inputs-Imperial'!$E$10)*(100-A51)/100</f>
        <v>2.0833333999999999</v>
      </c>
      <c r="D51" s="187">
        <f t="shared" si="25"/>
        <v>9.8425200000000046E-2</v>
      </c>
      <c r="E51" s="188">
        <f t="shared" si="26"/>
        <v>0.2055368825614321</v>
      </c>
      <c r="F51" s="423">
        <f>Sizing!F65</f>
        <v>113.45302704919351</v>
      </c>
      <c r="G51" s="423">
        <f>Sizing!G65</f>
        <v>1134.5302704919343</v>
      </c>
      <c r="H51" s="423">
        <f>Sizing!H65</f>
        <v>4693.0619427871634</v>
      </c>
      <c r="I51" s="423">
        <f>Sizing!I65</f>
        <v>-1055.1177534401179</v>
      </c>
      <c r="J51" s="189">
        <f>Sizing!J65</f>
        <v>469.30619427871642</v>
      </c>
      <c r="K51" s="128">
        <v>5</v>
      </c>
      <c r="L51" s="12">
        <f t="shared" si="5"/>
        <v>5.9055120000000008</v>
      </c>
      <c r="M51" s="11">
        <f t="shared" si="5"/>
        <v>25.000000799999999</v>
      </c>
      <c r="N51" s="11">
        <f t="shared" si="5"/>
        <v>1.1811024000000006</v>
      </c>
      <c r="O51" s="152">
        <f t="shared" si="27"/>
        <v>29.597311088846222</v>
      </c>
      <c r="P51" s="8">
        <f t="shared" si="0"/>
        <v>4.5000001439999995</v>
      </c>
      <c r="Q51" s="12">
        <f t="shared" si="28"/>
        <v>5.3275159959923197</v>
      </c>
      <c r="R51" s="8">
        <f t="shared" si="1"/>
        <v>2.2500000719999997</v>
      </c>
      <c r="S51" s="12">
        <f t="shared" si="29"/>
        <v>2.6637579979961599</v>
      </c>
      <c r="T51" s="17">
        <f>Sizing!CN65</f>
        <v>0.25</v>
      </c>
      <c r="U51" s="17">
        <f>Sizing!CO65</f>
        <v>2.3622047244094495E-2</v>
      </c>
      <c r="V51" s="17">
        <f>Sizing!CP65</f>
        <v>1.5748031496062995E-2</v>
      </c>
      <c r="W51" s="128">
        <f t="shared" si="6"/>
        <v>3.0224609670856709E-3</v>
      </c>
      <c r="X51" s="2">
        <f t="shared" si="7"/>
        <v>7.2254596295506844E-4</v>
      </c>
      <c r="Y51" s="2">
        <f t="shared" si="8"/>
        <v>3.7450069300407392E-3</v>
      </c>
      <c r="Z51" s="216">
        <f t="shared" si="30"/>
        <v>9.2366518417502361E-2</v>
      </c>
      <c r="AA51" s="138">
        <f t="shared" si="31"/>
        <v>2.2081031226395854E-2</v>
      </c>
      <c r="AB51" s="17">
        <f t="shared" si="32"/>
        <v>0.11444754964389821</v>
      </c>
      <c r="AC51" s="311">
        <f t="shared" si="33"/>
        <v>9.0773992237890247E-2</v>
      </c>
      <c r="AD51" s="316">
        <f t="shared" si="34"/>
        <v>2.1700323791457993E-2</v>
      </c>
      <c r="AE51" s="21">
        <f t="shared" si="35"/>
        <v>0.11247431602934824</v>
      </c>
      <c r="AF51" s="170">
        <f>Sizing!DU65</f>
        <v>0.41283788277202987</v>
      </c>
      <c r="AG51" s="170">
        <f>Sizing!DV65</f>
        <v>0.64252461647164139</v>
      </c>
      <c r="AH51" s="170">
        <f>Sizing!DW65</f>
        <v>0.41283788277202987</v>
      </c>
      <c r="AI51" s="272">
        <f>Sizing!DX65</f>
        <v>0.64252461647164139</v>
      </c>
      <c r="AJ51" s="216">
        <f>Sizing!GJ65</f>
        <v>0.25</v>
      </c>
      <c r="AK51" s="216">
        <f>Sizing!GK65</f>
        <v>2.3622047244094495E-2</v>
      </c>
      <c r="AL51" s="17">
        <f>Sizing!GL65</f>
        <v>2.3622047244094495E-2</v>
      </c>
      <c r="AM51" s="216">
        <f t="shared" si="9"/>
        <v>3.6269531605028051E-3</v>
      </c>
      <c r="AN51" s="138">
        <f t="shared" si="10"/>
        <v>7.2254596295506844E-4</v>
      </c>
      <c r="AO51" s="138">
        <f t="shared" si="11"/>
        <v>4.3494991234578739E-3</v>
      </c>
      <c r="AP51" s="311">
        <f t="shared" si="36"/>
        <v>1.9322650979293594E-2</v>
      </c>
      <c r="AQ51" s="11">
        <f t="shared" si="37"/>
        <v>3.8493751754828014E-3</v>
      </c>
      <c r="AR51" s="21">
        <f t="shared" si="38"/>
        <v>2.3172026154776395E-2</v>
      </c>
      <c r="AS51" s="11">
        <f t="shared" si="12"/>
        <v>2.9946874232205961E-2</v>
      </c>
      <c r="AT51" s="21">
        <f t="shared" si="39"/>
        <v>2.9946874232205961E-2</v>
      </c>
      <c r="AU51" s="170">
        <f>Sizing!JC65</f>
        <v>6.3945696655626945E-3</v>
      </c>
      <c r="AV51" s="272">
        <f>Sizing!JD65</f>
        <v>7.9966053207362275E-2</v>
      </c>
      <c r="AW51" s="170">
        <f>Sizing!JC65</f>
        <v>6.3945696655626945E-3</v>
      </c>
      <c r="AX51" s="272">
        <f>Sizing!JD65</f>
        <v>7.9966053207362275E-2</v>
      </c>
      <c r="AY51" s="216">
        <f>Sizing!IT65</f>
        <v>0.25</v>
      </c>
      <c r="AZ51" s="216">
        <f>Sizing!IU65</f>
        <v>1.5748031496062995E-2</v>
      </c>
      <c r="BA51" s="17">
        <f>Sizing!IV65</f>
        <v>1.5748031496062995E-2</v>
      </c>
      <c r="BB51" s="216">
        <f t="shared" si="13"/>
        <v>2.4179687736685367E-3</v>
      </c>
      <c r="BC51" s="138">
        <f t="shared" si="14"/>
        <v>7.2254596295506844E-4</v>
      </c>
      <c r="BD51" s="138">
        <f t="shared" si="15"/>
        <v>3.1405147366236051E-3</v>
      </c>
      <c r="BE51" s="311">
        <f t="shared" si="16"/>
        <v>6.4408836597645309E-3</v>
      </c>
      <c r="BF51" s="11">
        <f t="shared" si="17"/>
        <v>1.9246875877414007E-3</v>
      </c>
      <c r="BG51" s="21">
        <f t="shared" si="18"/>
        <v>8.3655712475059311E-3</v>
      </c>
      <c r="BH51" s="21">
        <f t="shared" si="19"/>
        <v>4.638561080147547E-4</v>
      </c>
      <c r="BI51" s="21">
        <f t="shared" si="20"/>
        <v>4.638561080147547E-4</v>
      </c>
      <c r="BJ51" s="561"/>
      <c r="BK51">
        <f t="shared" si="21"/>
        <v>1.0416666999999999</v>
      </c>
      <c r="BL51">
        <f t="shared" si="22"/>
        <v>1.0416666999999999</v>
      </c>
      <c r="BM51">
        <f>C51*'Inputs-Imperial'!$E$12</f>
        <v>0.52083334999999997</v>
      </c>
      <c r="BN51">
        <f>C51*'Inputs-Imperial'!$E$12</f>
        <v>0.52083334999999997</v>
      </c>
      <c r="BO51">
        <f>C51*'Inputs-Imperial'!$E$12</f>
        <v>0.52083334999999997</v>
      </c>
      <c r="BP51">
        <f>C51*'Weight '!$E$15</f>
        <v>1.0416666999999999</v>
      </c>
      <c r="BQ51">
        <f>C51*'Weight '!$E$15</f>
        <v>1.0416666999999999</v>
      </c>
      <c r="BR51">
        <f>C51*'Weight '!$E$15</f>
        <v>1.0416666999999999</v>
      </c>
      <c r="BS51">
        <f t="shared" si="23"/>
        <v>0.28932088055657629</v>
      </c>
      <c r="BT51" s="564">
        <f t="shared" si="24"/>
        <v>0.31928092375597017</v>
      </c>
      <c r="BU51">
        <f t="shared" si="40"/>
        <v>0.90616400489278004</v>
      </c>
    </row>
    <row r="52" spans="1:73" x14ac:dyDescent="0.25">
      <c r="A52" s="186">
        <v>6</v>
      </c>
      <c r="B52" s="187">
        <f>A52/100*'Inputs-Imperial'!$E$5</f>
        <v>0.59055120000000005</v>
      </c>
      <c r="C52" s="188">
        <f>'Inputs-Imperial'!$E$10+('Inputs-Imperial'!$E$9-'Inputs-Imperial'!$E$10)*(100-A52)/100</f>
        <v>2.07349088</v>
      </c>
      <c r="D52" s="187">
        <f t="shared" si="25"/>
        <v>9.842519999999999E-2</v>
      </c>
      <c r="E52" s="188">
        <f t="shared" si="26"/>
        <v>0.20456813056192799</v>
      </c>
      <c r="F52" s="423">
        <f>Sizing!F66</f>
        <v>111.91447326294778</v>
      </c>
      <c r="G52" s="423">
        <f>Sizing!G66</f>
        <v>1119.1447326294769</v>
      </c>
      <c r="H52" s="423">
        <f>Sizing!H66</f>
        <v>4581.3955740079409</v>
      </c>
      <c r="I52" s="423">
        <f>Sizing!I66</f>
        <v>-1037.5235712590566</v>
      </c>
      <c r="J52" s="189">
        <f>Sizing!J66</f>
        <v>458.13955740079416</v>
      </c>
      <c r="K52" s="128">
        <v>6</v>
      </c>
      <c r="L52" s="12">
        <f t="shared" si="5"/>
        <v>7.0866144000000002</v>
      </c>
      <c r="M52" s="11">
        <f t="shared" si="5"/>
        <v>24.881890560000002</v>
      </c>
      <c r="N52" s="11">
        <f t="shared" si="5"/>
        <v>1.1811023999999999</v>
      </c>
      <c r="O52" s="152">
        <f t="shared" si="27"/>
        <v>29.457810800917628</v>
      </c>
      <c r="P52" s="8">
        <f t="shared" si="0"/>
        <v>4.4787403008000002</v>
      </c>
      <c r="Q52" s="12">
        <f t="shared" si="28"/>
        <v>5.302405944165173</v>
      </c>
      <c r="R52" s="8">
        <f t="shared" si="1"/>
        <v>2.2393701504000001</v>
      </c>
      <c r="S52" s="12">
        <f t="shared" si="29"/>
        <v>2.6512029720825865</v>
      </c>
      <c r="T52" s="17">
        <f>Sizing!CN66</f>
        <v>0.25</v>
      </c>
      <c r="U52" s="17">
        <f>Sizing!CO66</f>
        <v>2.3622047244094495E-2</v>
      </c>
      <c r="V52" s="17">
        <f>Sizing!CP66</f>
        <v>1.5748031496062995E-2</v>
      </c>
      <c r="W52" s="128">
        <f t="shared" si="6"/>
        <v>3.0224609670856709E-3</v>
      </c>
      <c r="X52" s="2">
        <f t="shared" si="7"/>
        <v>7.2254596295506844E-4</v>
      </c>
      <c r="Y52" s="2">
        <f t="shared" si="8"/>
        <v>3.7450069300407392E-3</v>
      </c>
      <c r="Z52" s="216">
        <f t="shared" si="30"/>
        <v>9.1931169548291766E-2</v>
      </c>
      <c r="AA52" s="138">
        <f t="shared" si="31"/>
        <v>2.1976957237897509E-2</v>
      </c>
      <c r="AB52" s="17">
        <f t="shared" si="32"/>
        <v>0.11390812678618926</v>
      </c>
      <c r="AC52" s="311">
        <f t="shared" si="33"/>
        <v>9.0346149383666044E-2</v>
      </c>
      <c r="AD52" s="316">
        <f t="shared" si="34"/>
        <v>2.1598044182071688E-2</v>
      </c>
      <c r="AE52" s="21">
        <f t="shared" si="35"/>
        <v>0.11194419356573773</v>
      </c>
      <c r="AF52" s="170">
        <f>Sizing!DU66</f>
        <v>0.41283788277202987</v>
      </c>
      <c r="AG52" s="170">
        <f>Sizing!DV66</f>
        <v>0.64252461647164139</v>
      </c>
      <c r="AH52" s="170">
        <f>Sizing!DW66</f>
        <v>0.41283788277202987</v>
      </c>
      <c r="AI52" s="272">
        <f>Sizing!DX66</f>
        <v>0.64252461647164139</v>
      </c>
      <c r="AJ52" s="216">
        <f>Sizing!GJ66</f>
        <v>0.25</v>
      </c>
      <c r="AK52" s="216">
        <f>Sizing!GK66</f>
        <v>2.3622047244094495E-2</v>
      </c>
      <c r="AL52" s="17">
        <f>Sizing!GL66</f>
        <v>2.3622047244094495E-2</v>
      </c>
      <c r="AM52" s="216">
        <f t="shared" si="9"/>
        <v>3.6269531605028051E-3</v>
      </c>
      <c r="AN52" s="138">
        <f t="shared" si="10"/>
        <v>7.2254596295506844E-4</v>
      </c>
      <c r="AO52" s="138">
        <f t="shared" si="11"/>
        <v>4.3494991234578739E-3</v>
      </c>
      <c r="AP52" s="311">
        <f t="shared" si="36"/>
        <v>1.9231577997458733E-2</v>
      </c>
      <c r="AQ52" s="11">
        <f t="shared" si="37"/>
        <v>3.8312320089055039E-3</v>
      </c>
      <c r="AR52" s="21">
        <f t="shared" si="38"/>
        <v>2.3062810006364239E-2</v>
      </c>
      <c r="AS52" s="11">
        <f t="shared" si="12"/>
        <v>2.9946874232205944E-2</v>
      </c>
      <c r="AT52" s="21">
        <f t="shared" si="39"/>
        <v>2.9946874232205944E-2</v>
      </c>
      <c r="AU52" s="170">
        <f>Sizing!JC66</f>
        <v>6.3945696655626945E-3</v>
      </c>
      <c r="AV52" s="272">
        <f>Sizing!JD66</f>
        <v>7.9966053207362275E-2</v>
      </c>
      <c r="AW52" s="170">
        <f>Sizing!JC66</f>
        <v>6.3945696655626945E-3</v>
      </c>
      <c r="AX52" s="272">
        <f>Sizing!JD66</f>
        <v>7.9966053207362275E-2</v>
      </c>
      <c r="AY52" s="216">
        <f>Sizing!IT66</f>
        <v>0.25</v>
      </c>
      <c r="AZ52" s="216">
        <f>Sizing!IU66</f>
        <v>1.5748031496062995E-2</v>
      </c>
      <c r="BA52" s="17">
        <f>Sizing!IV66</f>
        <v>1.5748031496062995E-2</v>
      </c>
      <c r="BB52" s="216">
        <f t="shared" si="13"/>
        <v>2.4179687736685367E-3</v>
      </c>
      <c r="BC52" s="138">
        <f t="shared" si="14"/>
        <v>7.2254596295506844E-4</v>
      </c>
      <c r="BD52" s="138">
        <f t="shared" si="15"/>
        <v>3.1405147366236051E-3</v>
      </c>
      <c r="BE52" s="311">
        <f t="shared" si="16"/>
        <v>6.4105259991529117E-3</v>
      </c>
      <c r="BF52" s="11">
        <f t="shared" si="17"/>
        <v>1.9156160044527519E-3</v>
      </c>
      <c r="BG52" s="21">
        <f t="shared" si="18"/>
        <v>8.3261420036056626E-3</v>
      </c>
      <c r="BH52" s="21">
        <f t="shared" si="19"/>
        <v>4.6385610801475449E-4</v>
      </c>
      <c r="BI52" s="21">
        <f t="shared" si="20"/>
        <v>4.6385610801475449E-4</v>
      </c>
      <c r="BJ52" s="561"/>
      <c r="BK52">
        <f t="shared" si="21"/>
        <v>1.03674544</v>
      </c>
      <c r="BL52">
        <f t="shared" si="22"/>
        <v>1.03674544</v>
      </c>
      <c r="BM52">
        <f>C52*'Inputs-Imperial'!$E$12</f>
        <v>0.51837272000000001</v>
      </c>
      <c r="BN52">
        <f>C52*'Inputs-Imperial'!$E$12</f>
        <v>0.51837272000000001</v>
      </c>
      <c r="BO52">
        <f>C52*'Inputs-Imperial'!$E$12</f>
        <v>0.51837272000000001</v>
      </c>
      <c r="BP52">
        <f>C52*'Weight '!$E$15</f>
        <v>1.03674544</v>
      </c>
      <c r="BQ52">
        <f>C52*'Weight '!$E$15</f>
        <v>1.03674544</v>
      </c>
      <c r="BR52">
        <f>C52*'Weight '!$E$15</f>
        <v>1.03674544</v>
      </c>
      <c r="BS52">
        <f t="shared" si="23"/>
        <v>0.28674767125924633</v>
      </c>
      <c r="BT52" s="564">
        <f t="shared" si="24"/>
        <v>0.31806273304233823</v>
      </c>
      <c r="BU52">
        <f t="shared" si="40"/>
        <v>0.90154438565135686</v>
      </c>
    </row>
    <row r="53" spans="1:73" x14ac:dyDescent="0.25">
      <c r="A53" s="186">
        <v>7</v>
      </c>
      <c r="B53" s="187">
        <f>A53/100*'Inputs-Imperial'!$E$5</f>
        <v>0.68897640000000004</v>
      </c>
      <c r="C53" s="188">
        <f>'Inputs-Imperial'!$E$10+('Inputs-Imperial'!$E$9-'Inputs-Imperial'!$E$10)*(100-A53)/100</f>
        <v>2.0636483600000002</v>
      </c>
      <c r="D53" s="187">
        <f t="shared" si="25"/>
        <v>9.842519999999999E-2</v>
      </c>
      <c r="E53" s="188">
        <f t="shared" si="26"/>
        <v>0.20359937856242397</v>
      </c>
      <c r="F53" s="423">
        <f>Sizing!F67</f>
        <v>110.3800202082965</v>
      </c>
      <c r="G53" s="423">
        <f>Sizing!G67</f>
        <v>1103.8002020829642</v>
      </c>
      <c r="H53" s="423">
        <f>Sizing!H67</f>
        <v>4471.2435298699384</v>
      </c>
      <c r="I53" s="423">
        <f>Sizing!I67</f>
        <v>-1020.0235570901975</v>
      </c>
      <c r="J53" s="189">
        <f>Sizing!J67</f>
        <v>447.12435298699387</v>
      </c>
      <c r="K53" s="128">
        <v>7</v>
      </c>
      <c r="L53" s="12">
        <f t="shared" si="5"/>
        <v>8.2677168000000005</v>
      </c>
      <c r="M53" s="11">
        <f t="shared" si="5"/>
        <v>24.763780320000002</v>
      </c>
      <c r="N53" s="11">
        <f t="shared" si="5"/>
        <v>1.1811023999999999</v>
      </c>
      <c r="O53" s="152">
        <f t="shared" si="27"/>
        <v>29.318310512989051</v>
      </c>
      <c r="P53" s="8">
        <f t="shared" si="0"/>
        <v>4.4574804576</v>
      </c>
      <c r="Q53" s="12">
        <f t="shared" si="28"/>
        <v>5.2772958923380306</v>
      </c>
      <c r="R53" s="8">
        <f t="shared" si="1"/>
        <v>2.2287402288</v>
      </c>
      <c r="S53" s="12">
        <f t="shared" si="29"/>
        <v>2.6386479461690153</v>
      </c>
      <c r="T53" s="17">
        <f>Sizing!CN67</f>
        <v>0.25</v>
      </c>
      <c r="U53" s="17">
        <f>Sizing!CO67</f>
        <v>2.3622047244094495E-2</v>
      </c>
      <c r="V53" s="17">
        <f>Sizing!CP67</f>
        <v>1.5748031496062995E-2</v>
      </c>
      <c r="W53" s="128">
        <f t="shared" si="6"/>
        <v>3.0224609670856709E-3</v>
      </c>
      <c r="X53" s="2">
        <f t="shared" si="7"/>
        <v>7.2254596295506844E-4</v>
      </c>
      <c r="Y53" s="2">
        <f t="shared" si="8"/>
        <v>3.7450069300407392E-3</v>
      </c>
      <c r="Z53" s="216">
        <f t="shared" si="30"/>
        <v>9.1495820679081227E-2</v>
      </c>
      <c r="AA53" s="138">
        <f t="shared" si="31"/>
        <v>2.1872883249399178E-2</v>
      </c>
      <c r="AB53" s="17">
        <f t="shared" si="32"/>
        <v>0.11336870392848039</v>
      </c>
      <c r="AC53" s="311">
        <f t="shared" si="33"/>
        <v>8.9918306529441883E-2</v>
      </c>
      <c r="AD53" s="316">
        <f t="shared" si="34"/>
        <v>2.1495764572685396E-2</v>
      </c>
      <c r="AE53" s="21">
        <f t="shared" si="35"/>
        <v>0.11141407110212728</v>
      </c>
      <c r="AF53" s="170">
        <f>Sizing!DU67</f>
        <v>0.41283788277202987</v>
      </c>
      <c r="AG53" s="170">
        <f>Sizing!DV67</f>
        <v>0.64252461647164139</v>
      </c>
      <c r="AH53" s="170">
        <f>Sizing!DW67</f>
        <v>0.41283788277202987</v>
      </c>
      <c r="AI53" s="272">
        <f>Sizing!DX67</f>
        <v>0.64252461647164139</v>
      </c>
      <c r="AJ53" s="216">
        <f>Sizing!GJ67</f>
        <v>0.25</v>
      </c>
      <c r="AK53" s="216">
        <f>Sizing!GK67</f>
        <v>2.3622047244094495E-2</v>
      </c>
      <c r="AL53" s="17">
        <f>Sizing!GL67</f>
        <v>2.3622047244094495E-2</v>
      </c>
      <c r="AM53" s="216">
        <f t="shared" si="9"/>
        <v>3.6269531605028051E-3</v>
      </c>
      <c r="AN53" s="138">
        <f t="shared" si="10"/>
        <v>7.2254596295506844E-4</v>
      </c>
      <c r="AO53" s="138">
        <f t="shared" si="11"/>
        <v>4.3494991234578739E-3</v>
      </c>
      <c r="AP53" s="311">
        <f t="shared" si="36"/>
        <v>1.914050501562389E-2</v>
      </c>
      <c r="AQ53" s="11">
        <f t="shared" si="37"/>
        <v>3.8130888423282094E-3</v>
      </c>
      <c r="AR53" s="21">
        <f t="shared" si="38"/>
        <v>2.2953593857952103E-2</v>
      </c>
      <c r="AS53" s="11">
        <f t="shared" si="12"/>
        <v>2.9946874232205944E-2</v>
      </c>
      <c r="AT53" s="21">
        <f t="shared" si="39"/>
        <v>2.9946874232205944E-2</v>
      </c>
      <c r="AU53" s="170">
        <f>Sizing!JC67</f>
        <v>6.3945696655626945E-3</v>
      </c>
      <c r="AV53" s="272">
        <f>Sizing!JD67</f>
        <v>7.9966053207362275E-2</v>
      </c>
      <c r="AW53" s="170">
        <f>Sizing!JC67</f>
        <v>6.3945696655626945E-3</v>
      </c>
      <c r="AX53" s="272">
        <f>Sizing!JD67</f>
        <v>7.9966053207362275E-2</v>
      </c>
      <c r="AY53" s="216">
        <f>Sizing!IT67</f>
        <v>0.25</v>
      </c>
      <c r="AZ53" s="216">
        <f>Sizing!IU67</f>
        <v>1.5748031496062995E-2</v>
      </c>
      <c r="BA53" s="17">
        <f>Sizing!IV67</f>
        <v>1.5748031496062995E-2</v>
      </c>
      <c r="BB53" s="216">
        <f t="shared" si="13"/>
        <v>2.4179687736685367E-3</v>
      </c>
      <c r="BC53" s="138">
        <f t="shared" si="14"/>
        <v>7.2254596295506844E-4</v>
      </c>
      <c r="BD53" s="138">
        <f t="shared" si="15"/>
        <v>3.1405147366236051E-3</v>
      </c>
      <c r="BE53" s="311">
        <f t="shared" si="16"/>
        <v>6.3801683385412969E-3</v>
      </c>
      <c r="BF53" s="11">
        <f t="shared" si="17"/>
        <v>1.9065444211641047E-3</v>
      </c>
      <c r="BG53" s="21">
        <f t="shared" si="18"/>
        <v>8.2867127597054009E-3</v>
      </c>
      <c r="BH53" s="21">
        <f t="shared" si="19"/>
        <v>4.6385610801475449E-4</v>
      </c>
      <c r="BI53" s="21">
        <f t="shared" si="20"/>
        <v>4.6385610801475449E-4</v>
      </c>
      <c r="BJ53" s="561"/>
      <c r="BK53">
        <f t="shared" si="21"/>
        <v>1.0318241800000001</v>
      </c>
      <c r="BL53">
        <f t="shared" si="22"/>
        <v>1.0318241800000001</v>
      </c>
      <c r="BM53">
        <f>C53*'Inputs-Imperial'!$E$12</f>
        <v>0.51591209000000005</v>
      </c>
      <c r="BN53">
        <f>C53*'Inputs-Imperial'!$E$12</f>
        <v>0.51591209000000005</v>
      </c>
      <c r="BO53">
        <f>C53*'Inputs-Imperial'!$E$12</f>
        <v>0.51591209000000005</v>
      </c>
      <c r="BP53">
        <f>C53*'Weight '!$E$15</f>
        <v>1.0318241800000001</v>
      </c>
      <c r="BQ53">
        <f>C53*'Weight '!$E$15</f>
        <v>1.0318241800000001</v>
      </c>
      <c r="BR53">
        <f>C53*'Weight '!$E$15</f>
        <v>1.0318241800000001</v>
      </c>
      <c r="BS53">
        <f t="shared" si="23"/>
        <v>0.28418591454731668</v>
      </c>
      <c r="BT53" s="564">
        <f t="shared" si="24"/>
        <v>0.31684454232870651</v>
      </c>
      <c r="BU53">
        <f t="shared" si="40"/>
        <v>0.8969253895258561</v>
      </c>
    </row>
    <row r="54" spans="1:73" x14ac:dyDescent="0.25">
      <c r="A54" s="186">
        <v>8</v>
      </c>
      <c r="B54" s="187">
        <f>A54/100*'Inputs-Imperial'!$E$5</f>
        <v>0.78740160000000003</v>
      </c>
      <c r="C54" s="188">
        <f>'Inputs-Imperial'!$E$10+('Inputs-Imperial'!$E$9-'Inputs-Imperial'!$E$10)*(100-A54)/100</f>
        <v>2.0538058399999999</v>
      </c>
      <c r="D54" s="187">
        <f t="shared" si="25"/>
        <v>9.842519999999999E-2</v>
      </c>
      <c r="E54" s="188">
        <f t="shared" si="26"/>
        <v>0.20263062656292</v>
      </c>
      <c r="F54" s="423">
        <f>Sizing!F68</f>
        <v>108.84974555759817</v>
      </c>
      <c r="G54" s="423">
        <f>Sizing!G68</f>
        <v>1088.4974555759809</v>
      </c>
      <c r="H54" s="423">
        <f>Sizing!H68</f>
        <v>4362.6017742198819</v>
      </c>
      <c r="I54" s="423">
        <f>Sizing!I68</f>
        <v>-1002.6192271780594</v>
      </c>
      <c r="J54" s="189">
        <f>Sizing!J68</f>
        <v>436.26017742198826</v>
      </c>
      <c r="K54" s="128">
        <v>8</v>
      </c>
      <c r="L54" s="12">
        <f t="shared" si="5"/>
        <v>9.4488192000000009</v>
      </c>
      <c r="M54" s="11">
        <f t="shared" si="5"/>
        <v>24.645670079999999</v>
      </c>
      <c r="N54" s="11">
        <f t="shared" si="5"/>
        <v>1.1811023999999999</v>
      </c>
      <c r="O54" s="152">
        <f t="shared" si="27"/>
        <v>29.178810225060481</v>
      </c>
      <c r="P54" s="8">
        <f t="shared" si="0"/>
        <v>4.4362206143999998</v>
      </c>
      <c r="Q54" s="12">
        <f t="shared" si="28"/>
        <v>5.2521858405108857</v>
      </c>
      <c r="R54" s="8">
        <f t="shared" si="1"/>
        <v>2.2181103071999999</v>
      </c>
      <c r="S54" s="12">
        <f t="shared" si="29"/>
        <v>2.6260929202554428</v>
      </c>
      <c r="T54" s="17">
        <f>Sizing!CN68</f>
        <v>0.25</v>
      </c>
      <c r="U54" s="17">
        <f>Sizing!CO68</f>
        <v>2.3622047244094495E-2</v>
      </c>
      <c r="V54" s="17">
        <f>Sizing!CP68</f>
        <v>1.5748031496062995E-2</v>
      </c>
      <c r="W54" s="128">
        <f t="shared" si="6"/>
        <v>3.0224609670856709E-3</v>
      </c>
      <c r="X54" s="2">
        <f t="shared" si="7"/>
        <v>7.2254596295506844E-4</v>
      </c>
      <c r="Y54" s="2">
        <f t="shared" si="8"/>
        <v>3.7450069300407392E-3</v>
      </c>
      <c r="Z54" s="216">
        <f t="shared" si="30"/>
        <v>9.1060471809870716E-2</v>
      </c>
      <c r="AA54" s="138">
        <f t="shared" si="31"/>
        <v>2.176880926090085E-2</v>
      </c>
      <c r="AB54" s="17">
        <f t="shared" si="32"/>
        <v>0.11282928107077156</v>
      </c>
      <c r="AC54" s="311">
        <f t="shared" si="33"/>
        <v>8.9490463675217763E-2</v>
      </c>
      <c r="AD54" s="316">
        <f t="shared" si="34"/>
        <v>2.1393484963299111E-2</v>
      </c>
      <c r="AE54" s="21">
        <f t="shared" si="35"/>
        <v>0.11088394863851687</v>
      </c>
      <c r="AF54" s="170">
        <f>Sizing!DU68</f>
        <v>0.41283788277202987</v>
      </c>
      <c r="AG54" s="170">
        <f>Sizing!DV68</f>
        <v>0.64252461647164139</v>
      </c>
      <c r="AH54" s="170">
        <f>Sizing!DW68</f>
        <v>0.41283788277202987</v>
      </c>
      <c r="AI54" s="272">
        <f>Sizing!DX68</f>
        <v>0.64252461647164139</v>
      </c>
      <c r="AJ54" s="216">
        <f>Sizing!GJ68</f>
        <v>0.25</v>
      </c>
      <c r="AK54" s="216">
        <f>Sizing!GK68</f>
        <v>2.3622047244094495E-2</v>
      </c>
      <c r="AL54" s="17">
        <f>Sizing!GL68</f>
        <v>2.3622047244094495E-2</v>
      </c>
      <c r="AM54" s="216">
        <f t="shared" si="9"/>
        <v>3.6269531605028051E-3</v>
      </c>
      <c r="AN54" s="138">
        <f t="shared" si="10"/>
        <v>7.2254596295506844E-4</v>
      </c>
      <c r="AO54" s="138">
        <f t="shared" si="11"/>
        <v>4.3494991234578739E-3</v>
      </c>
      <c r="AP54" s="311">
        <f t="shared" si="36"/>
        <v>1.9049432033789039E-2</v>
      </c>
      <c r="AQ54" s="11">
        <f t="shared" si="37"/>
        <v>3.7949456757509132E-3</v>
      </c>
      <c r="AR54" s="21">
        <f t="shared" si="38"/>
        <v>2.2844377709539954E-2</v>
      </c>
      <c r="AS54" s="11">
        <f t="shared" si="12"/>
        <v>2.9946874232205944E-2</v>
      </c>
      <c r="AT54" s="21">
        <f t="shared" si="39"/>
        <v>2.9946874232205944E-2</v>
      </c>
      <c r="AU54" s="170">
        <f>Sizing!JC68</f>
        <v>6.3945696655626945E-3</v>
      </c>
      <c r="AV54" s="272">
        <f>Sizing!JD68</f>
        <v>7.9966053207362275E-2</v>
      </c>
      <c r="AW54" s="170">
        <f>Sizing!JC68</f>
        <v>6.3945696655626945E-3</v>
      </c>
      <c r="AX54" s="272">
        <f>Sizing!JD68</f>
        <v>7.9966053207362275E-2</v>
      </c>
      <c r="AY54" s="216">
        <f>Sizing!IT68</f>
        <v>0.25</v>
      </c>
      <c r="AZ54" s="216">
        <f>Sizing!IU68</f>
        <v>1.5748031496062995E-2</v>
      </c>
      <c r="BA54" s="17">
        <f>Sizing!IV68</f>
        <v>1.5748031496062995E-2</v>
      </c>
      <c r="BB54" s="216">
        <f t="shared" si="13"/>
        <v>2.4179687736685367E-3</v>
      </c>
      <c r="BC54" s="138">
        <f t="shared" si="14"/>
        <v>7.2254596295506844E-4</v>
      </c>
      <c r="BD54" s="138">
        <f t="shared" si="15"/>
        <v>3.1405147366236051E-3</v>
      </c>
      <c r="BE54" s="311">
        <f t="shared" si="16"/>
        <v>6.3498106779296794E-3</v>
      </c>
      <c r="BF54" s="11">
        <f t="shared" si="17"/>
        <v>1.8974728378754566E-3</v>
      </c>
      <c r="BG54" s="21">
        <f t="shared" si="18"/>
        <v>8.2472835158051358E-3</v>
      </c>
      <c r="BH54" s="21">
        <f t="shared" si="19"/>
        <v>4.6385610801475449E-4</v>
      </c>
      <c r="BI54" s="21">
        <f t="shared" si="20"/>
        <v>4.6385610801475449E-4</v>
      </c>
      <c r="BJ54" s="561"/>
      <c r="BK54">
        <f t="shared" si="21"/>
        <v>1.0269029199999999</v>
      </c>
      <c r="BL54">
        <f t="shared" si="22"/>
        <v>1.0269029199999999</v>
      </c>
      <c r="BM54">
        <f>C54*'Inputs-Imperial'!$E$12</f>
        <v>0.51345145999999997</v>
      </c>
      <c r="BN54">
        <f>C54*'Inputs-Imperial'!$E$12</f>
        <v>0.51345145999999997</v>
      </c>
      <c r="BO54">
        <f>C54*'Inputs-Imperial'!$E$12</f>
        <v>0.51345145999999997</v>
      </c>
      <c r="BP54">
        <f>C54*'Weight '!$E$15</f>
        <v>1.0269029199999999</v>
      </c>
      <c r="BQ54">
        <f>C54*'Weight '!$E$15</f>
        <v>1.0269029199999999</v>
      </c>
      <c r="BR54">
        <f>C54*'Weight '!$E$15</f>
        <v>1.0269029199999999</v>
      </c>
      <c r="BS54">
        <f t="shared" si="23"/>
        <v>0.28163561042078739</v>
      </c>
      <c r="BT54" s="564">
        <f t="shared" si="24"/>
        <v>0.31562635161507485</v>
      </c>
      <c r="BU54">
        <f t="shared" si="40"/>
        <v>0.89230702373120863</v>
      </c>
    </row>
    <row r="55" spans="1:73" x14ac:dyDescent="0.25">
      <c r="A55" s="186">
        <v>9</v>
      </c>
      <c r="B55" s="187">
        <f>A55/100*'Inputs-Imperial'!$E$5</f>
        <v>0.88582680000000003</v>
      </c>
      <c r="C55" s="188">
        <f>'Inputs-Imperial'!$E$10+('Inputs-Imperial'!$E$9-'Inputs-Imperial'!$E$10)*(100-A55)/100</f>
        <v>2.04396332</v>
      </c>
      <c r="D55" s="187">
        <f t="shared" si="25"/>
        <v>9.842519999999999E-2</v>
      </c>
      <c r="E55" s="188">
        <f t="shared" si="26"/>
        <v>0.201661874563416</v>
      </c>
      <c r="F55" s="423">
        <f>Sizing!F69</f>
        <v>107.32372714734528</v>
      </c>
      <c r="G55" s="423">
        <f>Sizing!G69</f>
        <v>1073.237271473452</v>
      </c>
      <c r="H55" s="423">
        <f>Sizing!H69</f>
        <v>4255.4661944553245</v>
      </c>
      <c r="I55" s="423">
        <f>Sizing!I69</f>
        <v>-985.31208706211964</v>
      </c>
      <c r="J55" s="189">
        <f>Sizing!J69</f>
        <v>425.54661944553254</v>
      </c>
      <c r="K55" s="128">
        <v>9</v>
      </c>
      <c r="L55" s="12">
        <f t="shared" si="5"/>
        <v>10.629921599999999</v>
      </c>
      <c r="M55" s="11">
        <f t="shared" si="5"/>
        <v>24.527559840000002</v>
      </c>
      <c r="N55" s="11">
        <f t="shared" si="5"/>
        <v>1.1811023999999999</v>
      </c>
      <c r="O55" s="152">
        <f t="shared" si="27"/>
        <v>29.039309937131904</v>
      </c>
      <c r="P55" s="8">
        <f t="shared" si="0"/>
        <v>4.4149607712000005</v>
      </c>
      <c r="Q55" s="12">
        <f t="shared" si="28"/>
        <v>5.2270757886837425</v>
      </c>
      <c r="R55" s="8">
        <f t="shared" si="1"/>
        <v>2.2074803856000003</v>
      </c>
      <c r="S55" s="12">
        <f t="shared" si="29"/>
        <v>2.6135378943418712</v>
      </c>
      <c r="T55" s="17">
        <f>Sizing!CN69</f>
        <v>0.25</v>
      </c>
      <c r="U55" s="17">
        <f>Sizing!CO69</f>
        <v>2.3622047244094495E-2</v>
      </c>
      <c r="V55" s="17">
        <f>Sizing!CP69</f>
        <v>1.5748031496062995E-2</v>
      </c>
      <c r="W55" s="128">
        <f t="shared" si="6"/>
        <v>3.0224609670856709E-3</v>
      </c>
      <c r="X55" s="2">
        <f t="shared" si="7"/>
        <v>7.2254596295506844E-4</v>
      </c>
      <c r="Y55" s="2">
        <f t="shared" si="8"/>
        <v>3.7450069300407392E-3</v>
      </c>
      <c r="Z55" s="216">
        <f t="shared" si="30"/>
        <v>9.0625122940660163E-2</v>
      </c>
      <c r="AA55" s="138">
        <f t="shared" si="31"/>
        <v>2.1664735272402518E-2</v>
      </c>
      <c r="AB55" s="17">
        <f t="shared" si="32"/>
        <v>0.11228985821306268</v>
      </c>
      <c r="AC55" s="311">
        <f t="shared" si="33"/>
        <v>8.9062620820993615E-2</v>
      </c>
      <c r="AD55" s="316">
        <f t="shared" si="34"/>
        <v>2.129120535391282E-2</v>
      </c>
      <c r="AE55" s="21">
        <f t="shared" si="35"/>
        <v>0.11035382617490642</v>
      </c>
      <c r="AF55" s="170">
        <f>Sizing!DU69</f>
        <v>0.41283788277202987</v>
      </c>
      <c r="AG55" s="170">
        <f>Sizing!DV69</f>
        <v>0.64252461647164139</v>
      </c>
      <c r="AH55" s="170">
        <f>Sizing!DW69</f>
        <v>0.41283788277202987</v>
      </c>
      <c r="AI55" s="272">
        <f>Sizing!DX69</f>
        <v>0.64252461647164139</v>
      </c>
      <c r="AJ55" s="216">
        <f>Sizing!GJ69</f>
        <v>0.25</v>
      </c>
      <c r="AK55" s="216">
        <f>Sizing!GK69</f>
        <v>2.3622047244094495E-2</v>
      </c>
      <c r="AL55" s="17">
        <f>Sizing!GL69</f>
        <v>2.3622047244094495E-2</v>
      </c>
      <c r="AM55" s="216">
        <f t="shared" si="9"/>
        <v>3.6269531605028051E-3</v>
      </c>
      <c r="AN55" s="138">
        <f t="shared" si="10"/>
        <v>7.2254596295506844E-4</v>
      </c>
      <c r="AO55" s="138">
        <f t="shared" si="11"/>
        <v>4.3494991234578739E-3</v>
      </c>
      <c r="AP55" s="311">
        <f t="shared" si="36"/>
        <v>1.8958359051954192E-2</v>
      </c>
      <c r="AQ55" s="11">
        <f t="shared" si="37"/>
        <v>3.7768025091736187E-3</v>
      </c>
      <c r="AR55" s="21">
        <f t="shared" si="38"/>
        <v>2.2735161561127811E-2</v>
      </c>
      <c r="AS55" s="11">
        <f t="shared" si="12"/>
        <v>2.9946874232205944E-2</v>
      </c>
      <c r="AT55" s="21">
        <f t="shared" si="39"/>
        <v>2.9946874232205944E-2</v>
      </c>
      <c r="AU55" s="170">
        <f>Sizing!JC69</f>
        <v>6.3945696655626945E-3</v>
      </c>
      <c r="AV55" s="272">
        <f>Sizing!JD69</f>
        <v>7.9966053207362275E-2</v>
      </c>
      <c r="AW55" s="170">
        <f>Sizing!JC69</f>
        <v>6.3945696655626945E-3</v>
      </c>
      <c r="AX55" s="272">
        <f>Sizing!JD69</f>
        <v>7.9966053207362275E-2</v>
      </c>
      <c r="AY55" s="216">
        <f>Sizing!IT69</f>
        <v>0.25</v>
      </c>
      <c r="AZ55" s="216">
        <f>Sizing!IU69</f>
        <v>1.5748031496062995E-2</v>
      </c>
      <c r="BA55" s="17">
        <f>Sizing!IV69</f>
        <v>1.5748031496062995E-2</v>
      </c>
      <c r="BB55" s="216">
        <f t="shared" si="13"/>
        <v>2.4179687736685367E-3</v>
      </c>
      <c r="BC55" s="138">
        <f t="shared" si="14"/>
        <v>7.2254596295506844E-4</v>
      </c>
      <c r="BD55" s="138">
        <f t="shared" si="15"/>
        <v>3.1405147366236051E-3</v>
      </c>
      <c r="BE55" s="311">
        <f t="shared" si="16"/>
        <v>6.3194530173180637E-3</v>
      </c>
      <c r="BF55" s="11">
        <f t="shared" si="17"/>
        <v>1.8884012545868094E-3</v>
      </c>
      <c r="BG55" s="21">
        <f t="shared" si="18"/>
        <v>8.2078542719048724E-3</v>
      </c>
      <c r="BH55" s="21">
        <f t="shared" si="19"/>
        <v>4.6385610801475449E-4</v>
      </c>
      <c r="BI55" s="21">
        <f t="shared" si="20"/>
        <v>4.6385610801475449E-4</v>
      </c>
      <c r="BJ55" s="561"/>
      <c r="BK55">
        <f t="shared" si="21"/>
        <v>1.02198166</v>
      </c>
      <c r="BL55">
        <f t="shared" si="22"/>
        <v>1.02198166</v>
      </c>
      <c r="BM55">
        <f>C55*'Inputs-Imperial'!$E$12</f>
        <v>0.51099083000000001</v>
      </c>
      <c r="BN55">
        <f>C55*'Inputs-Imperial'!$E$12</f>
        <v>0.51099083000000001</v>
      </c>
      <c r="BO55">
        <f>C55*'Inputs-Imperial'!$E$12</f>
        <v>0.51099083000000001</v>
      </c>
      <c r="BP55">
        <f>C55*'Weight '!$E$15</f>
        <v>1.02198166</v>
      </c>
      <c r="BQ55">
        <f>C55*'Weight '!$E$15</f>
        <v>1.02198166</v>
      </c>
      <c r="BR55">
        <f>C55*'Weight '!$E$15</f>
        <v>1.02198166</v>
      </c>
      <c r="BS55">
        <f t="shared" si="23"/>
        <v>0.27909675887965818</v>
      </c>
      <c r="BT55" s="564">
        <f t="shared" si="24"/>
        <v>0.31440816090144313</v>
      </c>
      <c r="BU55">
        <f t="shared" si="40"/>
        <v>0.88768929559416254</v>
      </c>
    </row>
    <row r="56" spans="1:73" x14ac:dyDescent="0.25">
      <c r="A56" s="186">
        <v>10</v>
      </c>
      <c r="B56" s="187">
        <f>A56/100*'Inputs-Imperial'!$E$5</f>
        <v>0.98425200000000013</v>
      </c>
      <c r="C56" s="188">
        <f>'Inputs-Imperial'!$E$10+('Inputs-Imperial'!$E$9-'Inputs-Imperial'!$E$10)*(100-A56)/100</f>
        <v>2.0341208000000002</v>
      </c>
      <c r="D56" s="187">
        <f t="shared" si="25"/>
        <v>9.8425200000000101E-2</v>
      </c>
      <c r="E56" s="188">
        <f t="shared" si="26"/>
        <v>0.2006931225639122</v>
      </c>
      <c r="F56" s="423">
        <f>Sizing!F70</f>
        <v>105.80204300232114</v>
      </c>
      <c r="G56" s="423">
        <f>Sizing!G70</f>
        <v>1058.0204300232106</v>
      </c>
      <c r="H56" s="423">
        <f>Sizing!H70</f>
        <v>4149.8326013630958</v>
      </c>
      <c r="I56" s="423">
        <f>Sizing!I70</f>
        <v>-968.10363181134301</v>
      </c>
      <c r="J56" s="189">
        <f>Sizing!J70</f>
        <v>414.98326013630964</v>
      </c>
      <c r="K56" s="128">
        <v>10</v>
      </c>
      <c r="L56" s="12">
        <f t="shared" si="5"/>
        <v>11.811024000000002</v>
      </c>
      <c r="M56" s="11">
        <f t="shared" si="5"/>
        <v>24.409449600000002</v>
      </c>
      <c r="N56" s="11">
        <f t="shared" si="5"/>
        <v>1.1811024000000012</v>
      </c>
      <c r="O56" s="152">
        <f t="shared" si="27"/>
        <v>28.899809649203359</v>
      </c>
      <c r="P56" s="8">
        <f t="shared" si="0"/>
        <v>4.3937009280000003</v>
      </c>
      <c r="Q56" s="12">
        <f t="shared" si="28"/>
        <v>5.2019657368566055</v>
      </c>
      <c r="R56" s="8">
        <f t="shared" si="1"/>
        <v>2.1968504640000002</v>
      </c>
      <c r="S56" s="12">
        <f t="shared" si="29"/>
        <v>2.6009828684283027</v>
      </c>
      <c r="T56" s="17">
        <f>Sizing!CN70</f>
        <v>0.25</v>
      </c>
      <c r="U56" s="17">
        <f>Sizing!CO70</f>
        <v>2.3622047244094495E-2</v>
      </c>
      <c r="V56" s="17">
        <f>Sizing!CP70</f>
        <v>1.5748031496062995E-2</v>
      </c>
      <c r="W56" s="128">
        <f t="shared" si="6"/>
        <v>3.0224609670856709E-3</v>
      </c>
      <c r="X56" s="2">
        <f t="shared" si="7"/>
        <v>7.2254596295506844E-4</v>
      </c>
      <c r="Y56" s="2">
        <f t="shared" si="8"/>
        <v>3.7450069300407392E-3</v>
      </c>
      <c r="Z56" s="216">
        <f t="shared" si="30"/>
        <v>9.0189774071449735E-2</v>
      </c>
      <c r="AA56" s="138">
        <f t="shared" si="31"/>
        <v>2.1560661283904211E-2</v>
      </c>
      <c r="AB56" s="17">
        <f t="shared" si="32"/>
        <v>0.11175043535535394</v>
      </c>
      <c r="AC56" s="311">
        <f t="shared" si="33"/>
        <v>8.8634777966769551E-2</v>
      </c>
      <c r="AD56" s="316">
        <f t="shared" si="34"/>
        <v>2.1188925744526552E-2</v>
      </c>
      <c r="AE56" s="21">
        <f t="shared" si="35"/>
        <v>0.1098237037112961</v>
      </c>
      <c r="AF56" s="170">
        <f>Sizing!DU70</f>
        <v>0.33770780740629297</v>
      </c>
      <c r="AG56" s="170">
        <f>Sizing!DV70</f>
        <v>0.58112632654724306</v>
      </c>
      <c r="AH56" s="170">
        <f>Sizing!DW70</f>
        <v>0.33770780740629297</v>
      </c>
      <c r="AI56" s="272">
        <f>Sizing!DX70</f>
        <v>0.58112632654724306</v>
      </c>
      <c r="AJ56" s="216">
        <f>Sizing!GJ70</f>
        <v>0.25</v>
      </c>
      <c r="AK56" s="216">
        <f>Sizing!GK70</f>
        <v>2.3622047244094495E-2</v>
      </c>
      <c r="AL56" s="17">
        <f>Sizing!GL70</f>
        <v>2.3622047244094495E-2</v>
      </c>
      <c r="AM56" s="216">
        <f t="shared" si="9"/>
        <v>3.6269531605028051E-3</v>
      </c>
      <c r="AN56" s="138">
        <f t="shared" si="10"/>
        <v>7.2254596295506844E-4</v>
      </c>
      <c r="AO56" s="138">
        <f t="shared" si="11"/>
        <v>4.3494991234578739E-3</v>
      </c>
      <c r="AP56" s="311">
        <f t="shared" si="36"/>
        <v>1.8867286070119369E-2</v>
      </c>
      <c r="AQ56" s="11">
        <f t="shared" si="37"/>
        <v>3.7586593425963282E-3</v>
      </c>
      <c r="AR56" s="21">
        <f t="shared" si="38"/>
        <v>2.26259454127157E-2</v>
      </c>
      <c r="AS56" s="11">
        <f t="shared" si="12"/>
        <v>2.4497008771878815E-2</v>
      </c>
      <c r="AT56" s="21">
        <f t="shared" si="39"/>
        <v>2.4497008771878815E-2</v>
      </c>
      <c r="AU56" s="170">
        <f>Sizing!JC70</f>
        <v>5.2747672707505648E-3</v>
      </c>
      <c r="AV56" s="272">
        <f>Sizing!JD70</f>
        <v>7.2627593039770802E-2</v>
      </c>
      <c r="AW56" s="170">
        <f>Sizing!JC70</f>
        <v>5.2747672707505648E-3</v>
      </c>
      <c r="AX56" s="272">
        <f>Sizing!JD70</f>
        <v>7.2627593039770802E-2</v>
      </c>
      <c r="AY56" s="216">
        <f>Sizing!IT70</f>
        <v>0.25</v>
      </c>
      <c r="AZ56" s="216">
        <f>Sizing!IU70</f>
        <v>1.5748031496062995E-2</v>
      </c>
      <c r="BA56" s="17">
        <f>Sizing!IV70</f>
        <v>1.5748031496062995E-2</v>
      </c>
      <c r="BB56" s="216">
        <f t="shared" si="13"/>
        <v>2.4179687736685367E-3</v>
      </c>
      <c r="BC56" s="138">
        <f t="shared" si="14"/>
        <v>7.2254596295506844E-4</v>
      </c>
      <c r="BD56" s="138">
        <f t="shared" si="15"/>
        <v>3.1405147366236051E-3</v>
      </c>
      <c r="BE56" s="311">
        <f t="shared" si="16"/>
        <v>6.2890953567064558E-3</v>
      </c>
      <c r="BF56" s="11">
        <f t="shared" si="17"/>
        <v>1.8793296712981641E-3</v>
      </c>
      <c r="BG56" s="21">
        <f t="shared" si="18"/>
        <v>8.1684250280046194E-3</v>
      </c>
      <c r="BH56" s="21">
        <f t="shared" si="19"/>
        <v>3.8262668871536431E-4</v>
      </c>
      <c r="BI56" s="21">
        <f t="shared" si="20"/>
        <v>3.8262668871536431E-4</v>
      </c>
      <c r="BJ56" s="561"/>
      <c r="BK56">
        <f t="shared" si="21"/>
        <v>1.0170604000000001</v>
      </c>
      <c r="BL56">
        <f t="shared" si="22"/>
        <v>1.0170604000000001</v>
      </c>
      <c r="BM56">
        <f>C56*'Inputs-Imperial'!$E$12</f>
        <v>0.50853020000000004</v>
      </c>
      <c r="BN56">
        <f>C56*'Inputs-Imperial'!$E$12</f>
        <v>0.50853020000000004</v>
      </c>
      <c r="BO56">
        <f>C56*'Inputs-Imperial'!$E$12</f>
        <v>0.50853020000000004</v>
      </c>
      <c r="BP56">
        <f>C56*'Weight '!$E$15</f>
        <v>1.0170604000000001</v>
      </c>
      <c r="BQ56">
        <f>C56*'Weight '!$E$15</f>
        <v>1.0170604000000001</v>
      </c>
      <c r="BR56">
        <f>C56*'Weight '!$E$15</f>
        <v>1.0170604000000001</v>
      </c>
      <c r="BS56">
        <f t="shared" si="23"/>
        <v>0.2708612871275341</v>
      </c>
      <c r="BT56" s="564">
        <f t="shared" si="24"/>
        <v>0.3021277804285587</v>
      </c>
      <c r="BU56">
        <f t="shared" si="40"/>
        <v>0.89651235230115522</v>
      </c>
    </row>
    <row r="57" spans="1:73" x14ac:dyDescent="0.25">
      <c r="A57" s="186">
        <v>11</v>
      </c>
      <c r="B57" s="187">
        <f>A57/100*'Inputs-Imperial'!$E$5</f>
        <v>1.0826772</v>
      </c>
      <c r="C57" s="188">
        <f>'Inputs-Imperial'!$E$10+('Inputs-Imperial'!$E$9-'Inputs-Imperial'!$E$10)*(100-A57)/100</f>
        <v>2.0242782799999999</v>
      </c>
      <c r="D57" s="187">
        <f t="shared" si="25"/>
        <v>9.8425199999999879E-2</v>
      </c>
      <c r="E57" s="188">
        <f t="shared" si="26"/>
        <v>0.19972437056440775</v>
      </c>
      <c r="F57" s="423">
        <f>Sizing!F71</f>
        <v>104.2847713600455</v>
      </c>
      <c r="G57" s="423">
        <f>Sizing!G71</f>
        <v>1042.8477136004542</v>
      </c>
      <c r="H57" s="423">
        <f>Sizing!H71</f>
        <v>4045.696728933975</v>
      </c>
      <c r="I57" s="423">
        <f>Sizing!I71</f>
        <v>-950.99534625548131</v>
      </c>
      <c r="J57" s="189">
        <f>Sizing!J71</f>
        <v>404.56967289339758</v>
      </c>
      <c r="K57" s="128">
        <v>11</v>
      </c>
      <c r="L57" s="12">
        <f t="shared" si="5"/>
        <v>12.9921264</v>
      </c>
      <c r="M57" s="11">
        <f t="shared" si="5"/>
        <v>24.291339359999998</v>
      </c>
      <c r="N57" s="11">
        <f t="shared" si="5"/>
        <v>1.1811023999999986</v>
      </c>
      <c r="O57" s="152">
        <f t="shared" si="27"/>
        <v>28.760309361274718</v>
      </c>
      <c r="P57" s="8">
        <f t="shared" si="0"/>
        <v>4.3724410847999993</v>
      </c>
      <c r="Q57" s="12">
        <f t="shared" si="28"/>
        <v>5.1768556850294489</v>
      </c>
      <c r="R57" s="8">
        <f t="shared" si="1"/>
        <v>2.1862205423999996</v>
      </c>
      <c r="S57" s="12">
        <f t="shared" si="29"/>
        <v>2.5884278425147245</v>
      </c>
      <c r="T57" s="17">
        <f>Sizing!CN71</f>
        <v>0.25</v>
      </c>
      <c r="U57" s="17">
        <f>Sizing!CO71</f>
        <v>2.3622047244094495E-2</v>
      </c>
      <c r="V57" s="17">
        <f>Sizing!CP71</f>
        <v>1.5748031496062995E-2</v>
      </c>
      <c r="W57" s="128">
        <f t="shared" si="6"/>
        <v>3.0224609670856709E-3</v>
      </c>
      <c r="X57" s="2">
        <f t="shared" si="7"/>
        <v>7.2254596295506844E-4</v>
      </c>
      <c r="Y57" s="2">
        <f t="shared" si="8"/>
        <v>3.7450069300407392E-3</v>
      </c>
      <c r="Z57" s="216">
        <f t="shared" si="30"/>
        <v>8.9754425202238988E-2</v>
      </c>
      <c r="AA57" s="138">
        <f t="shared" si="31"/>
        <v>2.1456587295405834E-2</v>
      </c>
      <c r="AB57" s="17">
        <f t="shared" si="32"/>
        <v>0.11121101249764483</v>
      </c>
      <c r="AC57" s="311">
        <f t="shared" si="33"/>
        <v>8.8206935112545209E-2</v>
      </c>
      <c r="AD57" s="316">
        <f t="shared" si="34"/>
        <v>2.1086646135140216E-2</v>
      </c>
      <c r="AE57" s="21">
        <f t="shared" si="35"/>
        <v>0.10929358124768541</v>
      </c>
      <c r="AF57" s="170">
        <f>Sizing!DU71</f>
        <v>0.33770780740629297</v>
      </c>
      <c r="AG57" s="170">
        <f>Sizing!DV71</f>
        <v>0.58112632654724306</v>
      </c>
      <c r="AH57" s="170">
        <f>Sizing!DW71</f>
        <v>0.33770780740629297</v>
      </c>
      <c r="AI57" s="272">
        <f>Sizing!DX71</f>
        <v>0.58112632654724306</v>
      </c>
      <c r="AJ57" s="216">
        <f>Sizing!GJ71</f>
        <v>0.25</v>
      </c>
      <c r="AK57" s="216">
        <f>Sizing!GK71</f>
        <v>2.3622047244094495E-2</v>
      </c>
      <c r="AL57" s="17">
        <f>Sizing!GL71</f>
        <v>2.3622047244094495E-2</v>
      </c>
      <c r="AM57" s="216">
        <f t="shared" si="9"/>
        <v>3.6269531605028051E-3</v>
      </c>
      <c r="AN57" s="138">
        <f t="shared" si="10"/>
        <v>7.2254596295506844E-4</v>
      </c>
      <c r="AO57" s="138">
        <f t="shared" si="11"/>
        <v>4.3494991234578739E-3</v>
      </c>
      <c r="AP57" s="311">
        <f t="shared" si="36"/>
        <v>1.8776213088284473E-2</v>
      </c>
      <c r="AQ57" s="11">
        <f t="shared" si="37"/>
        <v>3.7405161760190237E-3</v>
      </c>
      <c r="AR57" s="21">
        <f t="shared" si="38"/>
        <v>2.2516729264303498E-2</v>
      </c>
      <c r="AS57" s="11">
        <f t="shared" si="12"/>
        <v>2.4497008771878759E-2</v>
      </c>
      <c r="AT57" s="21">
        <f t="shared" si="39"/>
        <v>2.4497008771878759E-2</v>
      </c>
      <c r="AU57" s="170">
        <f>Sizing!JC71</f>
        <v>5.2747672707505648E-3</v>
      </c>
      <c r="AV57" s="272">
        <f>Sizing!JD71</f>
        <v>7.2627593039770802E-2</v>
      </c>
      <c r="AW57" s="170">
        <f>Sizing!JC71</f>
        <v>5.2747672707505648E-3</v>
      </c>
      <c r="AX57" s="272">
        <f>Sizing!JD71</f>
        <v>7.2627593039770802E-2</v>
      </c>
      <c r="AY57" s="216">
        <f>Sizing!IT71</f>
        <v>0.25</v>
      </c>
      <c r="AZ57" s="216">
        <f>Sizing!IU71</f>
        <v>1.5748031496062995E-2</v>
      </c>
      <c r="BA57" s="17">
        <f>Sizing!IV71</f>
        <v>1.5748031496062995E-2</v>
      </c>
      <c r="BB57" s="216">
        <f t="shared" si="13"/>
        <v>2.4179687736685367E-3</v>
      </c>
      <c r="BC57" s="138">
        <f t="shared" si="14"/>
        <v>7.2254596295506844E-4</v>
      </c>
      <c r="BD57" s="138">
        <f t="shared" si="15"/>
        <v>3.1405147366236051E-3</v>
      </c>
      <c r="BE57" s="311">
        <f t="shared" si="16"/>
        <v>6.2587376960948245E-3</v>
      </c>
      <c r="BF57" s="11">
        <f t="shared" si="17"/>
        <v>1.8702580880095119E-3</v>
      </c>
      <c r="BG57" s="21">
        <f t="shared" si="18"/>
        <v>8.128995784104337E-3</v>
      </c>
      <c r="BH57" s="21">
        <f t="shared" si="19"/>
        <v>3.8262668871536345E-4</v>
      </c>
      <c r="BI57" s="21">
        <f t="shared" si="20"/>
        <v>3.8262668871536345E-4</v>
      </c>
      <c r="BJ57" s="561"/>
      <c r="BK57">
        <f t="shared" si="21"/>
        <v>1.0121391399999999</v>
      </c>
      <c r="BL57">
        <f t="shared" si="22"/>
        <v>1.0121391399999999</v>
      </c>
      <c r="BM57">
        <f>C57*'Inputs-Imperial'!$E$12</f>
        <v>0.50606956999999997</v>
      </c>
      <c r="BN57">
        <f>C57*'Inputs-Imperial'!$E$12</f>
        <v>0.50606956999999997</v>
      </c>
      <c r="BO57">
        <f>C57*'Inputs-Imperial'!$E$12</f>
        <v>0.50606956999999997</v>
      </c>
      <c r="BP57">
        <f>C57*'Weight '!$E$15</f>
        <v>1.0121391399999999</v>
      </c>
      <c r="BQ57">
        <f>C57*'Weight '!$E$15</f>
        <v>1.0121391399999999</v>
      </c>
      <c r="BR57">
        <f>C57*'Weight '!$E$15</f>
        <v>1.0121391399999999</v>
      </c>
      <c r="BS57">
        <f t="shared" si="23"/>
        <v>0.2683729604642841</v>
      </c>
      <c r="BT57" s="564">
        <f t="shared" si="24"/>
        <v>0.30090958971492632</v>
      </c>
      <c r="BU57">
        <f t="shared" si="40"/>
        <v>0.89187240831551251</v>
      </c>
    </row>
    <row r="58" spans="1:73" x14ac:dyDescent="0.25">
      <c r="A58" s="186">
        <v>12</v>
      </c>
      <c r="B58" s="187">
        <f>A58/100*'Inputs-Imperial'!$E$5</f>
        <v>1.1811024000000001</v>
      </c>
      <c r="C58" s="188">
        <f>'Inputs-Imperial'!$E$10+('Inputs-Imperial'!$E$9-'Inputs-Imperial'!$E$10)*(100-A58)/100</f>
        <v>2.01443576</v>
      </c>
      <c r="D58" s="187">
        <f t="shared" si="25"/>
        <v>9.8425200000000101E-2</v>
      </c>
      <c r="E58" s="188">
        <f t="shared" si="26"/>
        <v>0.19875561856490423</v>
      </c>
      <c r="F58" s="423">
        <f>Sizing!F72</f>
        <v>102.77199069554824</v>
      </c>
      <c r="G58" s="423">
        <f>Sizing!G72</f>
        <v>1027.7199069554815</v>
      </c>
      <c r="H58" s="423">
        <f>Sizing!H72</f>
        <v>3943.0542341533073</v>
      </c>
      <c r="I58" s="423">
        <f>Sizing!I72</f>
        <v>-933.98870521348647</v>
      </c>
      <c r="J58" s="189">
        <f>Sizing!J72</f>
        <v>394.30542341533084</v>
      </c>
      <c r="K58" s="128">
        <v>12</v>
      </c>
      <c r="L58" s="12">
        <f t="shared" si="5"/>
        <v>14.1732288</v>
      </c>
      <c r="M58" s="11">
        <f t="shared" si="5"/>
        <v>24.173229120000002</v>
      </c>
      <c r="N58" s="11">
        <f t="shared" si="5"/>
        <v>1.1811024000000012</v>
      </c>
      <c r="O58" s="152">
        <f t="shared" si="27"/>
        <v>28.620809073346209</v>
      </c>
      <c r="P58" s="8">
        <f t="shared" si="0"/>
        <v>4.3511812416</v>
      </c>
      <c r="Q58" s="12">
        <f t="shared" si="28"/>
        <v>5.1517456332023164</v>
      </c>
      <c r="R58" s="8">
        <f t="shared" si="1"/>
        <v>2.1755906208</v>
      </c>
      <c r="S58" s="12">
        <f t="shared" si="29"/>
        <v>2.5758728166011582</v>
      </c>
      <c r="T58" s="17">
        <f>Sizing!CN72</f>
        <v>0.25</v>
      </c>
      <c r="U58" s="17">
        <f>Sizing!CO72</f>
        <v>2.3622047244094495E-2</v>
      </c>
      <c r="V58" s="17">
        <f>Sizing!CP72</f>
        <v>1.5748031496062995E-2</v>
      </c>
      <c r="W58" s="128">
        <f t="shared" si="6"/>
        <v>3.0224609670856709E-3</v>
      </c>
      <c r="X58" s="2">
        <f t="shared" si="7"/>
        <v>7.2254596295506844E-4</v>
      </c>
      <c r="Y58" s="2">
        <f t="shared" si="8"/>
        <v>3.7450069300407392E-3</v>
      </c>
      <c r="Z58" s="216">
        <f t="shared" si="30"/>
        <v>8.9319076333028657E-2</v>
      </c>
      <c r="AA58" s="138">
        <f t="shared" si="31"/>
        <v>2.1352513306907552E-2</v>
      </c>
      <c r="AB58" s="17">
        <f t="shared" si="32"/>
        <v>0.11067158963993622</v>
      </c>
      <c r="AC58" s="311">
        <f t="shared" si="33"/>
        <v>8.777909225832127E-2</v>
      </c>
      <c r="AD58" s="316">
        <f t="shared" si="34"/>
        <v>2.0984366525753972E-2</v>
      </c>
      <c r="AE58" s="21">
        <f t="shared" si="35"/>
        <v>0.10876345878407524</v>
      </c>
      <c r="AF58" s="170">
        <f>Sizing!DU72</f>
        <v>0.33770780740629297</v>
      </c>
      <c r="AG58" s="170">
        <f>Sizing!DV72</f>
        <v>0.58112632654724306</v>
      </c>
      <c r="AH58" s="170">
        <f>Sizing!DW72</f>
        <v>0.33770780740629297</v>
      </c>
      <c r="AI58" s="272">
        <f>Sizing!DX72</f>
        <v>0.58112632654724306</v>
      </c>
      <c r="AJ58" s="216">
        <f>Sizing!GJ72</f>
        <v>0.25</v>
      </c>
      <c r="AK58" s="216">
        <f>Sizing!GK72</f>
        <v>2.3622047244094495E-2</v>
      </c>
      <c r="AL58" s="17">
        <f>Sizing!GL72</f>
        <v>2.3622047244094495E-2</v>
      </c>
      <c r="AM58" s="216">
        <f t="shared" si="9"/>
        <v>3.6269531605028051E-3</v>
      </c>
      <c r="AN58" s="138">
        <f t="shared" si="10"/>
        <v>7.2254596295506844E-4</v>
      </c>
      <c r="AO58" s="138">
        <f t="shared" si="11"/>
        <v>4.3494991234578739E-3</v>
      </c>
      <c r="AP58" s="311">
        <f t="shared" si="36"/>
        <v>1.8685140106449668E-2</v>
      </c>
      <c r="AQ58" s="11">
        <f t="shared" si="37"/>
        <v>3.7223730094417366E-3</v>
      </c>
      <c r="AR58" s="21">
        <f t="shared" si="38"/>
        <v>2.2407513115891405E-2</v>
      </c>
      <c r="AS58" s="11">
        <f t="shared" si="12"/>
        <v>2.4497008771878815E-2</v>
      </c>
      <c r="AT58" s="21">
        <f t="shared" si="39"/>
        <v>2.4497008771878815E-2</v>
      </c>
      <c r="AU58" s="170">
        <f>Sizing!JC72</f>
        <v>5.2747672707505648E-3</v>
      </c>
      <c r="AV58" s="272">
        <f>Sizing!JD72</f>
        <v>7.2627593039770802E-2</v>
      </c>
      <c r="AW58" s="170">
        <f>Sizing!JC72</f>
        <v>5.2747672707505648E-3</v>
      </c>
      <c r="AX58" s="272">
        <f>Sizing!JD72</f>
        <v>7.2627593039770802E-2</v>
      </c>
      <c r="AY58" s="216">
        <f>Sizing!IT72</f>
        <v>0.25</v>
      </c>
      <c r="AZ58" s="216">
        <f>Sizing!IU72</f>
        <v>1.5748031496062995E-2</v>
      </c>
      <c r="BA58" s="17">
        <f>Sizing!IV72</f>
        <v>1.5748031496062995E-2</v>
      </c>
      <c r="BB58" s="216">
        <f t="shared" si="13"/>
        <v>2.4179687736685367E-3</v>
      </c>
      <c r="BC58" s="138">
        <f t="shared" si="14"/>
        <v>7.2254596295506844E-4</v>
      </c>
      <c r="BD58" s="138">
        <f t="shared" si="15"/>
        <v>3.1405147366236051E-3</v>
      </c>
      <c r="BE58" s="311">
        <f t="shared" si="16"/>
        <v>6.2283800354832218E-3</v>
      </c>
      <c r="BF58" s="11">
        <f t="shared" si="17"/>
        <v>1.8611865047208683E-3</v>
      </c>
      <c r="BG58" s="21">
        <f t="shared" si="18"/>
        <v>8.0895665402040892E-3</v>
      </c>
      <c r="BH58" s="21">
        <f t="shared" si="19"/>
        <v>3.8262668871536431E-4</v>
      </c>
      <c r="BI58" s="21">
        <f t="shared" si="20"/>
        <v>3.8262668871536431E-4</v>
      </c>
      <c r="BJ58" s="561"/>
      <c r="BK58">
        <f t="shared" si="21"/>
        <v>1.00721788</v>
      </c>
      <c r="BL58">
        <f t="shared" si="22"/>
        <v>1.00721788</v>
      </c>
      <c r="BM58">
        <f>C58*'Inputs-Imperial'!$E$12</f>
        <v>0.50360894</v>
      </c>
      <c r="BN58">
        <f>C58*'Inputs-Imperial'!$E$12</f>
        <v>0.50360894</v>
      </c>
      <c r="BO58">
        <f>C58*'Inputs-Imperial'!$E$12</f>
        <v>0.50360894</v>
      </c>
      <c r="BP58">
        <f>C58*'Weight '!$E$15</f>
        <v>1.00721788</v>
      </c>
      <c r="BQ58">
        <f>C58*'Weight '!$E$15</f>
        <v>1.00721788</v>
      </c>
      <c r="BR58">
        <f>C58*'Weight '!$E$15</f>
        <v>1.00721788</v>
      </c>
      <c r="BS58">
        <f t="shared" si="23"/>
        <v>0.26589608638643536</v>
      </c>
      <c r="BT58" s="564">
        <f t="shared" si="24"/>
        <v>0.29969139900129532</v>
      </c>
      <c r="BU58">
        <f t="shared" si="40"/>
        <v>0.88723295787773382</v>
      </c>
    </row>
    <row r="59" spans="1:73" x14ac:dyDescent="0.25">
      <c r="A59" s="186">
        <v>13</v>
      </c>
      <c r="B59" s="187">
        <f>A59/100*'Inputs-Imperial'!$E$5</f>
        <v>1.2795276</v>
      </c>
      <c r="C59" s="188">
        <f>'Inputs-Imperial'!$E$10+('Inputs-Imperial'!$E$9-'Inputs-Imperial'!$E$10)*(100-A59)/100</f>
        <v>2.0045932400000002</v>
      </c>
      <c r="D59" s="187">
        <f t="shared" si="25"/>
        <v>9.8425199999999879E-2</v>
      </c>
      <c r="E59" s="188">
        <f t="shared" si="26"/>
        <v>0.19778686656539973</v>
      </c>
      <c r="F59" s="423">
        <f>Sizing!F73</f>
        <v>101.26377974651177</v>
      </c>
      <c r="G59" s="423">
        <f>Sizing!G73</f>
        <v>1012.6377974651168</v>
      </c>
      <c r="H59" s="423">
        <f>Sizing!H73</f>
        <v>3841.9006967672326</v>
      </c>
      <c r="I59" s="423">
        <f>Sizing!I73</f>
        <v>-917.08517371937899</v>
      </c>
      <c r="J59" s="189">
        <f>Sizing!J73</f>
        <v>384.1900696767234</v>
      </c>
      <c r="K59" s="128">
        <v>13</v>
      </c>
      <c r="L59" s="12">
        <f t="shared" si="5"/>
        <v>15.354331200000001</v>
      </c>
      <c r="M59" s="11">
        <f t="shared" si="5"/>
        <v>24.055118880000002</v>
      </c>
      <c r="N59" s="11">
        <f t="shared" si="5"/>
        <v>1.1811023999999986</v>
      </c>
      <c r="O59" s="152">
        <f t="shared" si="27"/>
        <v>28.481308785417564</v>
      </c>
      <c r="P59" s="8">
        <f t="shared" si="0"/>
        <v>4.3299213983999998</v>
      </c>
      <c r="Q59" s="12">
        <f t="shared" si="28"/>
        <v>5.1266355813751607</v>
      </c>
      <c r="R59" s="8">
        <f t="shared" si="1"/>
        <v>2.1649606991999999</v>
      </c>
      <c r="S59" s="12">
        <f t="shared" si="29"/>
        <v>2.5633177906875804</v>
      </c>
      <c r="T59" s="17">
        <f>Sizing!CN73</f>
        <v>0.25</v>
      </c>
      <c r="U59" s="17">
        <f>Sizing!CO73</f>
        <v>2.3622047244094495E-2</v>
      </c>
      <c r="V59" s="17">
        <f>Sizing!CP73</f>
        <v>1.5748031496062995E-2</v>
      </c>
      <c r="W59" s="128">
        <f t="shared" si="6"/>
        <v>3.0224609670856709E-3</v>
      </c>
      <c r="X59" s="2">
        <f t="shared" si="7"/>
        <v>7.2254596295506844E-4</v>
      </c>
      <c r="Y59" s="2">
        <f t="shared" si="8"/>
        <v>3.7450069300407392E-3</v>
      </c>
      <c r="Z59" s="216">
        <f t="shared" si="30"/>
        <v>8.8883727463817896E-2</v>
      </c>
      <c r="AA59" s="138">
        <f t="shared" si="31"/>
        <v>2.1248439318409168E-2</v>
      </c>
      <c r="AB59" s="17">
        <f t="shared" si="32"/>
        <v>0.11013216678222706</v>
      </c>
      <c r="AC59" s="311">
        <f t="shared" si="33"/>
        <v>8.7351249404096901E-2</v>
      </c>
      <c r="AD59" s="316">
        <f t="shared" si="34"/>
        <v>2.0882086916367632E-2</v>
      </c>
      <c r="AE59" s="21">
        <f t="shared" si="35"/>
        <v>0.10823333632046453</v>
      </c>
      <c r="AF59" s="170">
        <f>Sizing!DU73</f>
        <v>0.33770780740629297</v>
      </c>
      <c r="AG59" s="170">
        <f>Sizing!DV73</f>
        <v>0.58112632654724306</v>
      </c>
      <c r="AH59" s="170">
        <f>Sizing!DW73</f>
        <v>0.33770780740629297</v>
      </c>
      <c r="AI59" s="272">
        <f>Sizing!DX73</f>
        <v>0.58112632654724306</v>
      </c>
      <c r="AJ59" s="216">
        <f>Sizing!GJ73</f>
        <v>0.25</v>
      </c>
      <c r="AK59" s="216">
        <f>Sizing!GK73</f>
        <v>2.3622047244094495E-2</v>
      </c>
      <c r="AL59" s="17">
        <f>Sizing!GL73</f>
        <v>2.3622047244094495E-2</v>
      </c>
      <c r="AM59" s="216">
        <f t="shared" si="9"/>
        <v>3.6269531605028051E-3</v>
      </c>
      <c r="AN59" s="138">
        <f t="shared" si="10"/>
        <v>7.2254596295506844E-4</v>
      </c>
      <c r="AO59" s="138">
        <f t="shared" si="11"/>
        <v>4.3494991234578739E-3</v>
      </c>
      <c r="AP59" s="311">
        <f t="shared" si="36"/>
        <v>1.8594067124614776E-2</v>
      </c>
      <c r="AQ59" s="11">
        <f t="shared" si="37"/>
        <v>3.7042298428644326E-3</v>
      </c>
      <c r="AR59" s="21">
        <f>AO59*$Q59</f>
        <v>2.229829696747921E-2</v>
      </c>
      <c r="AS59" s="11">
        <f t="shared" si="12"/>
        <v>2.4497008771878759E-2</v>
      </c>
      <c r="AT59" s="21">
        <f t="shared" si="39"/>
        <v>2.4497008771878759E-2</v>
      </c>
      <c r="AU59" s="170">
        <f>Sizing!JC73</f>
        <v>5.2747672707505648E-3</v>
      </c>
      <c r="AV59" s="272">
        <f>Sizing!JD73</f>
        <v>7.2627593039770802E-2</v>
      </c>
      <c r="AW59" s="170">
        <f>Sizing!JC73</f>
        <v>5.2747672707505648E-3</v>
      </c>
      <c r="AX59" s="272">
        <f>Sizing!JD73</f>
        <v>7.2627593039770802E-2</v>
      </c>
      <c r="AY59" s="216">
        <f>Sizing!IT73</f>
        <v>0.25</v>
      </c>
      <c r="AZ59" s="216">
        <f>Sizing!IU73</f>
        <v>1.5748031496062995E-2</v>
      </c>
      <c r="BA59" s="17">
        <f>Sizing!IV73</f>
        <v>1.5748031496062995E-2</v>
      </c>
      <c r="BB59" s="216">
        <f t="shared" si="13"/>
        <v>2.4179687736685367E-3</v>
      </c>
      <c r="BC59" s="138">
        <f t="shared" si="14"/>
        <v>7.2254596295506844E-4</v>
      </c>
      <c r="BD59" s="138">
        <f t="shared" si="15"/>
        <v>3.1405147366236051E-3</v>
      </c>
      <c r="BE59" s="311">
        <f t="shared" si="16"/>
        <v>6.1980223748715913E-3</v>
      </c>
      <c r="BF59" s="11">
        <f t="shared" si="17"/>
        <v>1.8521149214322163E-3</v>
      </c>
      <c r="BG59" s="21">
        <f t="shared" si="18"/>
        <v>8.0501372963038085E-3</v>
      </c>
      <c r="BH59" s="21">
        <f t="shared" si="19"/>
        <v>3.8262668871536345E-4</v>
      </c>
      <c r="BI59" s="21">
        <f t="shared" si="20"/>
        <v>3.8262668871536345E-4</v>
      </c>
      <c r="BJ59" s="561"/>
      <c r="BK59">
        <f t="shared" si="21"/>
        <v>1.0022966200000001</v>
      </c>
      <c r="BL59">
        <f t="shared" si="22"/>
        <v>1.0022966200000001</v>
      </c>
      <c r="BM59">
        <f>C59*'Inputs-Imperial'!$E$12</f>
        <v>0.50114831000000004</v>
      </c>
      <c r="BN59">
        <f>C59*'Inputs-Imperial'!$E$12</f>
        <v>0.50114831000000004</v>
      </c>
      <c r="BO59">
        <f>C59*'Inputs-Imperial'!$E$12</f>
        <v>0.50114831000000004</v>
      </c>
      <c r="BP59">
        <f>C59*'Weight '!$E$15</f>
        <v>1.0022966200000001</v>
      </c>
      <c r="BQ59">
        <f>C59*'Weight '!$E$15</f>
        <v>1.0022966200000001</v>
      </c>
      <c r="BR59">
        <f>C59*'Weight '!$E$15</f>
        <v>1.0022966200000001</v>
      </c>
      <c r="BS59">
        <f t="shared" si="23"/>
        <v>0.26343066489398576</v>
      </c>
      <c r="BT59" s="564">
        <f t="shared" si="24"/>
        <v>0.29847320828766288</v>
      </c>
      <c r="BU59">
        <f t="shared" si="40"/>
        <v>0.88259400703092994</v>
      </c>
    </row>
    <row r="60" spans="1:73" x14ac:dyDescent="0.25">
      <c r="A60" s="186">
        <v>14</v>
      </c>
      <c r="B60" s="187">
        <f>A60/100*'Inputs-Imperial'!$E$5</f>
        <v>1.3779528000000001</v>
      </c>
      <c r="C60" s="188">
        <f>'Inputs-Imperial'!$E$10+('Inputs-Imperial'!$E$9-'Inputs-Imperial'!$E$10)*(100-A60)/100</f>
        <v>1.9947507199999999</v>
      </c>
      <c r="D60" s="187">
        <f t="shared" si="25"/>
        <v>9.8425200000000101E-2</v>
      </c>
      <c r="E60" s="188">
        <f t="shared" si="26"/>
        <v>0.19681811456589621</v>
      </c>
      <c r="F60" s="423">
        <f>Sizing!F74</f>
        <v>99.760217538823909</v>
      </c>
      <c r="G60" s="423">
        <f>Sizing!G74</f>
        <v>997.60217538823815</v>
      </c>
      <c r="H60" s="423">
        <f>Sizing!H74</f>
        <v>3742.231619024169</v>
      </c>
      <c r="I60" s="423">
        <f>Sizing!I74</f>
        <v>-900.28620724591212</v>
      </c>
      <c r="J60" s="189">
        <f>Sizing!J74</f>
        <v>374.22316190241702</v>
      </c>
      <c r="K60" s="128">
        <v>14</v>
      </c>
      <c r="L60" s="12">
        <f t="shared" si="5"/>
        <v>16.535433600000001</v>
      </c>
      <c r="M60" s="11">
        <f t="shared" si="5"/>
        <v>23.937008639999998</v>
      </c>
      <c r="N60" s="11">
        <f t="shared" si="5"/>
        <v>1.1811024000000012</v>
      </c>
      <c r="O60" s="152">
        <f t="shared" si="27"/>
        <v>28.341808497489051</v>
      </c>
      <c r="P60" s="8">
        <f t="shared" si="0"/>
        <v>4.3086615551999996</v>
      </c>
      <c r="Q60" s="12">
        <f t="shared" si="28"/>
        <v>5.10152552954803</v>
      </c>
      <c r="R60" s="8">
        <f t="shared" si="1"/>
        <v>2.1543307775999998</v>
      </c>
      <c r="S60" s="12">
        <f t="shared" si="29"/>
        <v>2.550762764774015</v>
      </c>
      <c r="T60" s="17">
        <f>Sizing!CN74</f>
        <v>0.25</v>
      </c>
      <c r="U60" s="17">
        <f>Sizing!CO74</f>
        <v>2.3622047244094495E-2</v>
      </c>
      <c r="V60" s="17">
        <f>Sizing!CP74</f>
        <v>1.5748031496062995E-2</v>
      </c>
      <c r="W60" s="128">
        <f t="shared" si="6"/>
        <v>3.0224609670856709E-3</v>
      </c>
      <c r="X60" s="2">
        <f t="shared" si="7"/>
        <v>7.2254596295506844E-4</v>
      </c>
      <c r="Y60" s="2">
        <f t="shared" si="8"/>
        <v>3.7450069300407392E-3</v>
      </c>
      <c r="Z60" s="216">
        <f t="shared" si="30"/>
        <v>8.8448378594607566E-2</v>
      </c>
      <c r="AA60" s="138">
        <f t="shared" si="31"/>
        <v>2.1144365329910885E-2</v>
      </c>
      <c r="AB60" s="17">
        <f t="shared" si="32"/>
        <v>0.10959274392451844</v>
      </c>
      <c r="AC60" s="311">
        <f t="shared" si="33"/>
        <v>8.6923406549872947E-2</v>
      </c>
      <c r="AD60" s="316">
        <f t="shared" si="34"/>
        <v>2.0779807306981389E-2</v>
      </c>
      <c r="AE60" s="21">
        <f t="shared" si="35"/>
        <v>0.10770321385685433</v>
      </c>
      <c r="AF60" s="170">
        <f>Sizing!DU74</f>
        <v>0.33770780740629297</v>
      </c>
      <c r="AG60" s="170">
        <f>Sizing!DV74</f>
        <v>0.58112632654724306</v>
      </c>
      <c r="AH60" s="170">
        <f>Sizing!DW74</f>
        <v>0.33770780740629297</v>
      </c>
      <c r="AI60" s="272">
        <f>Sizing!DX74</f>
        <v>0.58112632654724306</v>
      </c>
      <c r="AJ60" s="216">
        <f>Sizing!GJ74</f>
        <v>0.25</v>
      </c>
      <c r="AK60" s="216">
        <f>Sizing!GK74</f>
        <v>2.3622047244094495E-2</v>
      </c>
      <c r="AL60" s="17">
        <f>Sizing!GL74</f>
        <v>2.3622047244094495E-2</v>
      </c>
      <c r="AM60" s="216">
        <f t="shared" si="9"/>
        <v>3.6269531605028051E-3</v>
      </c>
      <c r="AN60" s="138">
        <f t="shared" si="10"/>
        <v>7.2254596295506844E-4</v>
      </c>
      <c r="AO60" s="138">
        <f t="shared" si="11"/>
        <v>4.3494991234578739E-3</v>
      </c>
      <c r="AP60" s="311">
        <f t="shared" si="36"/>
        <v>1.8502994142779974E-2</v>
      </c>
      <c r="AQ60" s="11">
        <f t="shared" si="37"/>
        <v>3.6860866762871468E-3</v>
      </c>
      <c r="AR60" s="21">
        <f t="shared" si="38"/>
        <v>2.2189080819067123E-2</v>
      </c>
      <c r="AS60" s="11">
        <f t="shared" si="12"/>
        <v>2.4497008771878815E-2</v>
      </c>
      <c r="AT60" s="21">
        <f t="shared" si="39"/>
        <v>2.4497008771878815E-2</v>
      </c>
      <c r="AU60" s="170">
        <f>Sizing!JC74</f>
        <v>5.2747672707505648E-3</v>
      </c>
      <c r="AV60" s="272">
        <f>Sizing!JD74</f>
        <v>7.2627593039770802E-2</v>
      </c>
      <c r="AW60" s="170">
        <f>Sizing!JC74</f>
        <v>5.2747672707505648E-3</v>
      </c>
      <c r="AX60" s="272">
        <f>Sizing!JD74</f>
        <v>7.2627593039770802E-2</v>
      </c>
      <c r="AY60" s="216">
        <f>Sizing!IT74</f>
        <v>0.25</v>
      </c>
      <c r="AZ60" s="216">
        <f>Sizing!IU74</f>
        <v>1.5748031496062995E-2</v>
      </c>
      <c r="BA60" s="17">
        <f>Sizing!IV74</f>
        <v>1.5748031496062995E-2</v>
      </c>
      <c r="BB60" s="216">
        <f t="shared" si="13"/>
        <v>2.4179687736685367E-3</v>
      </c>
      <c r="BC60" s="138">
        <f t="shared" si="14"/>
        <v>7.2254596295506844E-4</v>
      </c>
      <c r="BD60" s="138">
        <f t="shared" si="15"/>
        <v>3.1405147366236051E-3</v>
      </c>
      <c r="BE60" s="311">
        <f t="shared" si="16"/>
        <v>6.1676647142599912E-3</v>
      </c>
      <c r="BF60" s="11">
        <f t="shared" si="17"/>
        <v>1.8430433381435734E-3</v>
      </c>
      <c r="BG60" s="21">
        <f t="shared" si="18"/>
        <v>8.0107080524035642E-3</v>
      </c>
      <c r="BH60" s="21">
        <f t="shared" si="19"/>
        <v>3.8262668871536431E-4</v>
      </c>
      <c r="BI60" s="21">
        <f t="shared" si="20"/>
        <v>3.8262668871536431E-4</v>
      </c>
      <c r="BJ60" s="561"/>
      <c r="BK60">
        <f t="shared" si="21"/>
        <v>0.99737535999999993</v>
      </c>
      <c r="BL60">
        <f t="shared" si="22"/>
        <v>0.99737535999999993</v>
      </c>
      <c r="BM60">
        <f>C60*'Inputs-Imperial'!$E$12</f>
        <v>0.49868767999999997</v>
      </c>
      <c r="BN60">
        <f>C60*'Inputs-Imperial'!$E$12</f>
        <v>0.49868767999999997</v>
      </c>
      <c r="BO60">
        <f>C60*'Inputs-Imperial'!$E$12</f>
        <v>0.49868767999999997</v>
      </c>
      <c r="BP60">
        <f>C60*'Weight '!$E$15</f>
        <v>0.99737535999999993</v>
      </c>
      <c r="BQ60">
        <f>C60*'Weight '!$E$15</f>
        <v>0.99737535999999993</v>
      </c>
      <c r="BR60">
        <f>C60*'Weight '!$E$15</f>
        <v>0.99737535999999993</v>
      </c>
      <c r="BS60">
        <f t="shared" si="23"/>
        <v>0.26097669598693746</v>
      </c>
      <c r="BT60" s="564">
        <f t="shared" si="24"/>
        <v>0.29725501757403183</v>
      </c>
      <c r="BU60">
        <f t="shared" si="40"/>
        <v>0.8779555619172712</v>
      </c>
    </row>
    <row r="61" spans="1:73" x14ac:dyDescent="0.25">
      <c r="A61" s="186">
        <v>15</v>
      </c>
      <c r="B61" s="187">
        <f>A61/100*'Inputs-Imperial'!$E$5</f>
        <v>1.476378</v>
      </c>
      <c r="C61" s="188">
        <f>'Inputs-Imperial'!$E$10+('Inputs-Imperial'!$E$9-'Inputs-Imperial'!$E$10)*(100-A61)/100</f>
        <v>1.9849082</v>
      </c>
      <c r="D61" s="187">
        <f t="shared" si="25"/>
        <v>9.8425199999999879E-2</v>
      </c>
      <c r="E61" s="188">
        <f t="shared" si="26"/>
        <v>0.19584936256639177</v>
      </c>
      <c r="F61" s="423">
        <f>Sizing!F75</f>
        <v>98.261383412584777</v>
      </c>
      <c r="G61" s="423">
        <f>Sizing!G75</f>
        <v>982.61383412584678</v>
      </c>
      <c r="H61" s="423">
        <f>Sizing!H75</f>
        <v>3644.0424253911469</v>
      </c>
      <c r="I61" s="423">
        <f>Sizing!I75</f>
        <v>-883.59325192637573</v>
      </c>
      <c r="J61" s="189">
        <f>Sizing!J75</f>
        <v>364.40424253911476</v>
      </c>
      <c r="K61" s="128">
        <v>15</v>
      </c>
      <c r="L61" s="12">
        <f t="shared" si="5"/>
        <v>17.716535999999998</v>
      </c>
      <c r="M61" s="11">
        <f t="shared" si="5"/>
        <v>23.818898400000002</v>
      </c>
      <c r="N61" s="11">
        <f t="shared" si="5"/>
        <v>1.1811023999999986</v>
      </c>
      <c r="O61" s="152">
        <f t="shared" si="27"/>
        <v>28.202308209560414</v>
      </c>
      <c r="P61" s="8">
        <f t="shared" si="0"/>
        <v>4.2874017120000003</v>
      </c>
      <c r="Q61" s="12">
        <f t="shared" si="28"/>
        <v>5.0764154777208743</v>
      </c>
      <c r="R61" s="8">
        <f t="shared" si="1"/>
        <v>2.1437008560000002</v>
      </c>
      <c r="S61" s="12">
        <f t="shared" si="29"/>
        <v>2.5382077388604372</v>
      </c>
      <c r="T61" s="17">
        <f>Sizing!CN75</f>
        <v>0.25</v>
      </c>
      <c r="U61" s="17">
        <f>Sizing!CO75</f>
        <v>2.3622047244094495E-2</v>
      </c>
      <c r="V61" s="17">
        <f>Sizing!CP75</f>
        <v>1.5748031496062995E-2</v>
      </c>
      <c r="W61" s="128">
        <f t="shared" si="6"/>
        <v>3.0224609670856709E-3</v>
      </c>
      <c r="X61" s="2">
        <f t="shared" si="7"/>
        <v>7.2254596295506844E-4</v>
      </c>
      <c r="Y61" s="2">
        <f t="shared" si="8"/>
        <v>3.7450069300407392E-3</v>
      </c>
      <c r="Z61" s="216">
        <f t="shared" si="30"/>
        <v>8.8013029725396832E-2</v>
      </c>
      <c r="AA61" s="138">
        <f t="shared" si="31"/>
        <v>2.1040291341412509E-2</v>
      </c>
      <c r="AB61" s="17">
        <f t="shared" si="32"/>
        <v>0.10905332106680934</v>
      </c>
      <c r="AC61" s="311">
        <f t="shared" si="33"/>
        <v>8.649556369564862E-2</v>
      </c>
      <c r="AD61" s="316">
        <f t="shared" si="34"/>
        <v>2.0677527697595052E-2</v>
      </c>
      <c r="AE61" s="21">
        <f t="shared" si="35"/>
        <v>0.10717309139324366</v>
      </c>
      <c r="AF61" s="170">
        <f>Sizing!DU75</f>
        <v>0.33770780740629297</v>
      </c>
      <c r="AG61" s="170">
        <f>Sizing!DV75</f>
        <v>0.58112632654724306</v>
      </c>
      <c r="AH61" s="170">
        <f>Sizing!DW75</f>
        <v>0.33770780740629297</v>
      </c>
      <c r="AI61" s="272">
        <f>Sizing!DX75</f>
        <v>0.58112632654724306</v>
      </c>
      <c r="AJ61" s="216">
        <f>Sizing!GJ75</f>
        <v>0.25</v>
      </c>
      <c r="AK61" s="216">
        <f>Sizing!GK75</f>
        <v>2.3622047244094495E-2</v>
      </c>
      <c r="AL61" s="17">
        <f>Sizing!GL75</f>
        <v>2.3622047244094495E-2</v>
      </c>
      <c r="AM61" s="216">
        <f t="shared" si="9"/>
        <v>3.6269531605028051E-3</v>
      </c>
      <c r="AN61" s="138">
        <f t="shared" si="10"/>
        <v>7.2254596295506844E-4</v>
      </c>
      <c r="AO61" s="138">
        <f t="shared" si="11"/>
        <v>4.3494991234578739E-3</v>
      </c>
      <c r="AP61" s="311">
        <f t="shared" si="36"/>
        <v>1.8411921160945081E-2</v>
      </c>
      <c r="AQ61" s="11">
        <f t="shared" si="37"/>
        <v>3.6679435097098428E-3</v>
      </c>
      <c r="AR61" s="21">
        <f t="shared" si="38"/>
        <v>2.2079864670654925E-2</v>
      </c>
      <c r="AS61" s="11">
        <f t="shared" si="12"/>
        <v>2.4497008771878759E-2</v>
      </c>
      <c r="AT61" s="21">
        <f t="shared" si="39"/>
        <v>2.4497008771878759E-2</v>
      </c>
      <c r="AU61" s="170">
        <f>Sizing!JC75</f>
        <v>5.2747672707505648E-3</v>
      </c>
      <c r="AV61" s="272">
        <f>Sizing!JD75</f>
        <v>7.2627593039770802E-2</v>
      </c>
      <c r="AW61" s="170">
        <f>Sizing!JC75</f>
        <v>5.2747672707505648E-3</v>
      </c>
      <c r="AX61" s="272">
        <f>Sizing!JD75</f>
        <v>7.2627593039770802E-2</v>
      </c>
      <c r="AY61" s="216">
        <f>Sizing!IT75</f>
        <v>0.25</v>
      </c>
      <c r="AZ61" s="216">
        <f>Sizing!IU75</f>
        <v>1.5748031496062995E-2</v>
      </c>
      <c r="BA61" s="17">
        <f>Sizing!IV75</f>
        <v>1.5748031496062995E-2</v>
      </c>
      <c r="BB61" s="216">
        <f t="shared" si="13"/>
        <v>2.4179687736685367E-3</v>
      </c>
      <c r="BC61" s="138">
        <f t="shared" si="14"/>
        <v>7.2254596295506844E-4</v>
      </c>
      <c r="BD61" s="138">
        <f t="shared" si="15"/>
        <v>3.1405147366236051E-3</v>
      </c>
      <c r="BE61" s="311">
        <f t="shared" si="16"/>
        <v>6.1373070536483608E-3</v>
      </c>
      <c r="BF61" s="11">
        <f t="shared" si="17"/>
        <v>1.8339717548549214E-3</v>
      </c>
      <c r="BG61" s="21">
        <f t="shared" si="18"/>
        <v>7.9712788085032817E-3</v>
      </c>
      <c r="BH61" s="21">
        <f t="shared" si="19"/>
        <v>3.8262668871536345E-4</v>
      </c>
      <c r="BI61" s="21">
        <f t="shared" si="20"/>
        <v>3.8262668871536345E-4</v>
      </c>
      <c r="BJ61" s="561"/>
      <c r="BK61">
        <f t="shared" si="21"/>
        <v>0.99245410000000001</v>
      </c>
      <c r="BL61">
        <f t="shared" si="22"/>
        <v>0.99245410000000001</v>
      </c>
      <c r="BM61">
        <f>C61*'Inputs-Imperial'!$E$12</f>
        <v>0.49622705</v>
      </c>
      <c r="BN61">
        <f>C61*'Inputs-Imperial'!$E$12</f>
        <v>0.49622705</v>
      </c>
      <c r="BO61">
        <f>C61*'Inputs-Imperial'!$E$12</f>
        <v>0.49622705</v>
      </c>
      <c r="BP61">
        <f>C61*'Weight '!$E$15</f>
        <v>0.99245410000000001</v>
      </c>
      <c r="BQ61">
        <f>C61*'Weight '!$E$15</f>
        <v>0.99245410000000001</v>
      </c>
      <c r="BR61">
        <f>C61*'Weight '!$E$15</f>
        <v>0.99245410000000001</v>
      </c>
      <c r="BS61">
        <f t="shared" si="23"/>
        <v>0.25853417966528819</v>
      </c>
      <c r="BT61" s="564">
        <f t="shared" si="24"/>
        <v>0.29603682686039945</v>
      </c>
      <c r="BU61">
        <f t="shared" si="40"/>
        <v>0.8733176287800295</v>
      </c>
    </row>
    <row r="62" spans="1:73" x14ac:dyDescent="0.25">
      <c r="A62" s="186">
        <v>16</v>
      </c>
      <c r="B62" s="187">
        <f>A62/100*'Inputs-Imperial'!$E$5</f>
        <v>1.5748032000000001</v>
      </c>
      <c r="C62" s="188">
        <f>'Inputs-Imperial'!$E$10+('Inputs-Imperial'!$E$9-'Inputs-Imperial'!$E$10)*(100-A62)/100</f>
        <v>1.9750656800000002</v>
      </c>
      <c r="D62" s="187">
        <f t="shared" si="25"/>
        <v>9.8425200000000101E-2</v>
      </c>
      <c r="E62" s="188">
        <f t="shared" si="26"/>
        <v>0.19488061056688821</v>
      </c>
      <c r="F62" s="423">
        <f>Sizing!F76</f>
        <v>96.767357048612752</v>
      </c>
      <c r="G62" s="423">
        <f>Sizing!G76</f>
        <v>967.67357048612655</v>
      </c>
      <c r="H62" s="423">
        <f>Sizing!H76</f>
        <v>3547.3284622445435</v>
      </c>
      <c r="I62" s="423">
        <f>Sizing!I76</f>
        <v>-867.00774477488187</v>
      </c>
      <c r="J62" s="189">
        <f>Sizing!J76</f>
        <v>354.73284622445442</v>
      </c>
      <c r="K62" s="128">
        <v>16</v>
      </c>
      <c r="L62" s="12">
        <f t="shared" si="5"/>
        <v>18.897638400000002</v>
      </c>
      <c r="M62" s="11">
        <f t="shared" si="5"/>
        <v>23.700788160000002</v>
      </c>
      <c r="N62" s="11">
        <f t="shared" si="5"/>
        <v>1.1811024000000012</v>
      </c>
      <c r="O62" s="152">
        <f t="shared" si="27"/>
        <v>28.062807921631901</v>
      </c>
      <c r="P62" s="8">
        <f t="shared" si="0"/>
        <v>4.2661418688000001</v>
      </c>
      <c r="Q62" s="12">
        <f t="shared" si="28"/>
        <v>5.0513054258937418</v>
      </c>
      <c r="R62" s="8">
        <f t="shared" si="1"/>
        <v>2.1330709344000001</v>
      </c>
      <c r="S62" s="12">
        <f t="shared" si="29"/>
        <v>2.5256527129468709</v>
      </c>
      <c r="T62" s="17">
        <f>Sizing!CN76</f>
        <v>0.25</v>
      </c>
      <c r="U62" s="17">
        <f>Sizing!CO76</f>
        <v>2.3622047244094495E-2</v>
      </c>
      <c r="V62" s="17">
        <f>Sizing!CP76</f>
        <v>1.5748031496062995E-2</v>
      </c>
      <c r="W62" s="128">
        <f t="shared" si="6"/>
        <v>3.0224609670856709E-3</v>
      </c>
      <c r="X62" s="2">
        <f t="shared" si="7"/>
        <v>7.2254596295506844E-4</v>
      </c>
      <c r="Y62" s="2">
        <f t="shared" si="8"/>
        <v>3.7450069300407392E-3</v>
      </c>
      <c r="Z62" s="216">
        <f t="shared" si="30"/>
        <v>8.7577680856186488E-2</v>
      </c>
      <c r="AA62" s="138">
        <f t="shared" si="31"/>
        <v>2.0936217352914226E-2</v>
      </c>
      <c r="AB62" s="17">
        <f t="shared" si="32"/>
        <v>0.10851389820910072</v>
      </c>
      <c r="AC62" s="311">
        <f t="shared" si="33"/>
        <v>8.6067720841424653E-2</v>
      </c>
      <c r="AD62" s="316">
        <f t="shared" si="34"/>
        <v>2.0575248088208806E-2</v>
      </c>
      <c r="AE62" s="21">
        <f t="shared" si="35"/>
        <v>0.10664296892963346</v>
      </c>
      <c r="AF62" s="170">
        <f>Sizing!DU76</f>
        <v>0.33770780740629297</v>
      </c>
      <c r="AG62" s="170">
        <f>Sizing!DV76</f>
        <v>0.58112632654724306</v>
      </c>
      <c r="AH62" s="170">
        <f>Sizing!DW76</f>
        <v>0.33770780740629297</v>
      </c>
      <c r="AI62" s="272">
        <f>Sizing!DX76</f>
        <v>0.58112632654724306</v>
      </c>
      <c r="AJ62" s="216">
        <f>Sizing!GJ76</f>
        <v>0.25</v>
      </c>
      <c r="AK62" s="216">
        <f>Sizing!GK76</f>
        <v>2.3622047244094495E-2</v>
      </c>
      <c r="AL62" s="17">
        <f>Sizing!GL76</f>
        <v>2.3622047244094495E-2</v>
      </c>
      <c r="AM62" s="216">
        <f t="shared" si="9"/>
        <v>3.6269531605028051E-3</v>
      </c>
      <c r="AN62" s="138">
        <f t="shared" si="10"/>
        <v>7.2254596295506844E-4</v>
      </c>
      <c r="AO62" s="138">
        <f t="shared" si="11"/>
        <v>4.3494991234578739E-3</v>
      </c>
      <c r="AP62" s="311">
        <f t="shared" si="36"/>
        <v>1.8320848179110276E-2</v>
      </c>
      <c r="AQ62" s="11">
        <f t="shared" si="37"/>
        <v>3.6498003431325557E-3</v>
      </c>
      <c r="AR62" s="21">
        <f t="shared" si="38"/>
        <v>2.1970648522242831E-2</v>
      </c>
      <c r="AS62" s="11">
        <f t="shared" si="12"/>
        <v>2.4497008771878815E-2</v>
      </c>
      <c r="AT62" s="21">
        <f t="shared" si="39"/>
        <v>2.4497008771878815E-2</v>
      </c>
      <c r="AU62" s="170">
        <f>Sizing!JC76</f>
        <v>5.2747672707505648E-3</v>
      </c>
      <c r="AV62" s="272">
        <f>Sizing!JD76</f>
        <v>7.2627593039770802E-2</v>
      </c>
      <c r="AW62" s="170">
        <f>Sizing!JC76</f>
        <v>5.2747672707505648E-3</v>
      </c>
      <c r="AX62" s="272">
        <f>Sizing!JD76</f>
        <v>7.2627593039770802E-2</v>
      </c>
      <c r="AY62" s="216">
        <f>Sizing!IT76</f>
        <v>0.25</v>
      </c>
      <c r="AZ62" s="216">
        <f>Sizing!IU76</f>
        <v>1.5748031496062995E-2</v>
      </c>
      <c r="BA62" s="17">
        <f>Sizing!IV76</f>
        <v>1.5748031496062995E-2</v>
      </c>
      <c r="BB62" s="216">
        <f t="shared" si="13"/>
        <v>2.4179687736685367E-3</v>
      </c>
      <c r="BC62" s="138">
        <f t="shared" si="14"/>
        <v>7.2254596295506844E-4</v>
      </c>
      <c r="BD62" s="138">
        <f t="shared" si="15"/>
        <v>3.1405147366236051E-3</v>
      </c>
      <c r="BE62" s="311">
        <f t="shared" si="16"/>
        <v>6.1069493930367581E-3</v>
      </c>
      <c r="BF62" s="11">
        <f t="shared" si="17"/>
        <v>1.8249001715662779E-3</v>
      </c>
      <c r="BG62" s="21">
        <f t="shared" si="18"/>
        <v>7.9318495646030357E-3</v>
      </c>
      <c r="BH62" s="21">
        <f t="shared" si="19"/>
        <v>3.8262668871536431E-4</v>
      </c>
      <c r="BI62" s="21">
        <f t="shared" si="20"/>
        <v>3.8262668871536431E-4</v>
      </c>
      <c r="BJ62" s="561"/>
      <c r="BK62">
        <f t="shared" si="21"/>
        <v>0.98753284000000008</v>
      </c>
      <c r="BL62">
        <f t="shared" si="22"/>
        <v>0.98753284000000008</v>
      </c>
      <c r="BM62">
        <f>C62*'Inputs-Imperial'!$E$12</f>
        <v>0.49376642000000004</v>
      </c>
      <c r="BN62">
        <f>C62*'Inputs-Imperial'!$E$12</f>
        <v>0.49376642000000004</v>
      </c>
      <c r="BO62">
        <f>C62*'Inputs-Imperial'!$E$12</f>
        <v>0.49376642000000004</v>
      </c>
      <c r="BP62">
        <f>C62*'Weight '!$E$15</f>
        <v>0.98753284000000008</v>
      </c>
      <c r="BQ62">
        <f>C62*'Weight '!$E$15</f>
        <v>0.98753284000000008</v>
      </c>
      <c r="BR62">
        <f>C62*'Weight '!$E$15</f>
        <v>0.98753284000000008</v>
      </c>
      <c r="BS62">
        <f t="shared" si="23"/>
        <v>0.25610311592904034</v>
      </c>
      <c r="BT62" s="564">
        <f t="shared" si="24"/>
        <v>0.2948186361467684</v>
      </c>
      <c r="BU62">
        <f t="shared" si="40"/>
        <v>0.86868021396566508</v>
      </c>
    </row>
    <row r="63" spans="1:73" x14ac:dyDescent="0.25">
      <c r="A63" s="186">
        <v>17</v>
      </c>
      <c r="B63" s="187">
        <f>A63/100*'Inputs-Imperial'!$E$5</f>
        <v>1.6732284000000002</v>
      </c>
      <c r="C63" s="188">
        <f>'Inputs-Imperial'!$E$10+('Inputs-Imperial'!$E$9-'Inputs-Imperial'!$E$10)*(100-A63)/100</f>
        <v>1.9652231600000001</v>
      </c>
      <c r="D63" s="187">
        <f t="shared" si="25"/>
        <v>9.8425200000000101E-2</v>
      </c>
      <c r="E63" s="188">
        <f t="shared" si="26"/>
        <v>0.19391185856738419</v>
      </c>
      <c r="F63" s="423">
        <f>Sizing!F77</f>
        <v>95.278218495496532</v>
      </c>
      <c r="G63" s="423">
        <f>Sizing!G77</f>
        <v>952.78218495496446</v>
      </c>
      <c r="H63" s="423">
        <f>Sizing!H77</f>
        <v>3452.0849975347323</v>
      </c>
      <c r="I63" s="423">
        <f>Sizing!I77</f>
        <v>-850.53111390548361</v>
      </c>
      <c r="J63" s="189">
        <f>Sizing!J77</f>
        <v>345.20849975347329</v>
      </c>
      <c r="K63" s="128">
        <v>17</v>
      </c>
      <c r="L63" s="12">
        <f t="shared" si="5"/>
        <v>20.078740800000002</v>
      </c>
      <c r="M63" s="11">
        <f t="shared" si="5"/>
        <v>23.582677920000002</v>
      </c>
      <c r="N63" s="11">
        <f t="shared" si="5"/>
        <v>1.1811024000000012</v>
      </c>
      <c r="O63" s="152">
        <f t="shared" si="27"/>
        <v>27.92330763370332</v>
      </c>
      <c r="P63" s="8">
        <f t="shared" si="0"/>
        <v>4.2448820255999999</v>
      </c>
      <c r="Q63" s="12">
        <f t="shared" si="28"/>
        <v>5.0261953740665994</v>
      </c>
      <c r="R63" s="8">
        <f t="shared" si="1"/>
        <v>2.1224410128</v>
      </c>
      <c r="S63" s="12">
        <f t="shared" si="29"/>
        <v>2.5130976870332997</v>
      </c>
      <c r="T63" s="17">
        <f>Sizing!CN77</f>
        <v>0.25</v>
      </c>
      <c r="U63" s="17">
        <f>Sizing!CO77</f>
        <v>2.3622047244094495E-2</v>
      </c>
      <c r="V63" s="17">
        <f>Sizing!CP77</f>
        <v>1.5748031496062995E-2</v>
      </c>
      <c r="W63" s="128">
        <f t="shared" si="6"/>
        <v>3.0224609670856709E-3</v>
      </c>
      <c r="X63" s="2">
        <f t="shared" si="7"/>
        <v>7.2254596295506844E-4</v>
      </c>
      <c r="Y63" s="2">
        <f t="shared" si="8"/>
        <v>3.7450069300407392E-3</v>
      </c>
      <c r="Z63" s="216">
        <f t="shared" si="30"/>
        <v>8.7142331986975949E-2</v>
      </c>
      <c r="AA63" s="138">
        <f t="shared" si="31"/>
        <v>2.0832143364415894E-2</v>
      </c>
      <c r="AB63" s="17">
        <f t="shared" si="32"/>
        <v>0.10797447535139185</v>
      </c>
      <c r="AC63" s="311">
        <f t="shared" si="33"/>
        <v>8.5639877987200505E-2</v>
      </c>
      <c r="AD63" s="316">
        <f t="shared" si="34"/>
        <v>2.0472968478822514E-2</v>
      </c>
      <c r="AE63" s="21">
        <f t="shared" si="35"/>
        <v>0.10611284646602301</v>
      </c>
      <c r="AF63" s="170">
        <f>Sizing!DU77</f>
        <v>0.33770780740629297</v>
      </c>
      <c r="AG63" s="170">
        <f>Sizing!DV77</f>
        <v>0.58112632654724306</v>
      </c>
      <c r="AH63" s="170">
        <f>Sizing!DW77</f>
        <v>0.33770780740629297</v>
      </c>
      <c r="AI63" s="272">
        <f>Sizing!DX77</f>
        <v>0.58112632654724306</v>
      </c>
      <c r="AJ63" s="216">
        <f>Sizing!GJ77</f>
        <v>0.25</v>
      </c>
      <c r="AK63" s="216">
        <f>Sizing!GK77</f>
        <v>2.3622047244094495E-2</v>
      </c>
      <c r="AL63" s="17">
        <f>Sizing!GL77</f>
        <v>2.3622047244094495E-2</v>
      </c>
      <c r="AM63" s="216">
        <f t="shared" si="9"/>
        <v>3.6269531605028051E-3</v>
      </c>
      <c r="AN63" s="138">
        <f t="shared" si="10"/>
        <v>7.2254596295506844E-4</v>
      </c>
      <c r="AO63" s="138">
        <f t="shared" si="11"/>
        <v>4.3494991234578739E-3</v>
      </c>
      <c r="AP63" s="311">
        <f t="shared" si="36"/>
        <v>1.8229775197275432E-2</v>
      </c>
      <c r="AQ63" s="11">
        <f t="shared" si="37"/>
        <v>3.6316571765552617E-3</v>
      </c>
      <c r="AR63" s="21">
        <f t="shared" si="38"/>
        <v>2.1861432373830696E-2</v>
      </c>
      <c r="AS63" s="11">
        <f t="shared" si="12"/>
        <v>2.4497008771878815E-2</v>
      </c>
      <c r="AT63" s="21">
        <f t="shared" si="39"/>
        <v>2.4497008771878815E-2</v>
      </c>
      <c r="AU63" s="170">
        <f>Sizing!JC77</f>
        <v>5.2747672707505648E-3</v>
      </c>
      <c r="AV63" s="272">
        <f>Sizing!JD77</f>
        <v>7.2627593039770802E-2</v>
      </c>
      <c r="AW63" s="170">
        <f>Sizing!JC77</f>
        <v>5.2747672707505648E-3</v>
      </c>
      <c r="AX63" s="272">
        <f>Sizing!JD77</f>
        <v>7.2627593039770802E-2</v>
      </c>
      <c r="AY63" s="216">
        <f>Sizing!IT77</f>
        <v>0.25</v>
      </c>
      <c r="AZ63" s="216">
        <f>Sizing!IU77</f>
        <v>1.5748031496062995E-2</v>
      </c>
      <c r="BA63" s="17">
        <f>Sizing!IV77</f>
        <v>1.5748031496062995E-2</v>
      </c>
      <c r="BB63" s="216">
        <f t="shared" si="13"/>
        <v>2.4179687736685367E-3</v>
      </c>
      <c r="BC63" s="138">
        <f t="shared" si="14"/>
        <v>7.2254596295506844E-4</v>
      </c>
      <c r="BD63" s="138">
        <f t="shared" si="15"/>
        <v>3.1405147366236051E-3</v>
      </c>
      <c r="BE63" s="311">
        <f t="shared" si="16"/>
        <v>6.0765917324251441E-3</v>
      </c>
      <c r="BF63" s="11">
        <f t="shared" si="17"/>
        <v>1.8158285882776308E-3</v>
      </c>
      <c r="BG63" s="21">
        <f t="shared" si="18"/>
        <v>7.8924203207027741E-3</v>
      </c>
      <c r="BH63" s="21">
        <f t="shared" si="19"/>
        <v>3.8262668871536431E-4</v>
      </c>
      <c r="BI63" s="21">
        <f t="shared" si="20"/>
        <v>3.8262668871536431E-4</v>
      </c>
      <c r="BJ63" s="561"/>
      <c r="BK63">
        <f t="shared" si="21"/>
        <v>0.98261158000000004</v>
      </c>
      <c r="BL63">
        <f t="shared" si="22"/>
        <v>0.98261158000000004</v>
      </c>
      <c r="BM63">
        <f>C63*'Inputs-Imperial'!$E$12</f>
        <v>0.49130579000000002</v>
      </c>
      <c r="BN63">
        <f>C63*'Inputs-Imperial'!$E$12</f>
        <v>0.49130579000000002</v>
      </c>
      <c r="BO63">
        <f>C63*'Inputs-Imperial'!$E$12</f>
        <v>0.49130579000000002</v>
      </c>
      <c r="BP63">
        <f>C63*'Weight '!$E$15</f>
        <v>0.98261158000000004</v>
      </c>
      <c r="BQ63">
        <f>C63*'Weight '!$E$15</f>
        <v>0.98261158000000004</v>
      </c>
      <c r="BR63">
        <f>C63*'Weight '!$E$15</f>
        <v>0.98261158000000004</v>
      </c>
      <c r="BS63">
        <f t="shared" si="23"/>
        <v>0.25368350477819213</v>
      </c>
      <c r="BT63" s="564">
        <f t="shared" si="24"/>
        <v>0.29360044543313668</v>
      </c>
      <c r="BU63">
        <f t="shared" si="40"/>
        <v>0.86404332392596772</v>
      </c>
    </row>
    <row r="64" spans="1:73" x14ac:dyDescent="0.25">
      <c r="A64" s="186">
        <v>18</v>
      </c>
      <c r="B64" s="187">
        <f>A64/100*'Inputs-Imperial'!$E$5</f>
        <v>1.7716536000000001</v>
      </c>
      <c r="C64" s="188">
        <f>'Inputs-Imperial'!$E$10+('Inputs-Imperial'!$E$9-'Inputs-Imperial'!$E$10)*(100-A64)/100</f>
        <v>1.95538064</v>
      </c>
      <c r="D64" s="187">
        <f t="shared" si="25"/>
        <v>9.8425199999999879E-2</v>
      </c>
      <c r="E64" s="188">
        <f t="shared" si="26"/>
        <v>0.19294310656787977</v>
      </c>
      <c r="F64" s="423">
        <f>Sizing!F78</f>
        <v>93.79404819724239</v>
      </c>
      <c r="G64" s="423">
        <f>Sizing!G78</f>
        <v>937.94048197242307</v>
      </c>
      <c r="H64" s="423">
        <f>Sizing!H78</f>
        <v>3358.307220424103</v>
      </c>
      <c r="I64" s="423">
        <f>Sizing!I78</f>
        <v>-834.16477875047747</v>
      </c>
      <c r="J64" s="189">
        <f>Sizing!J78</f>
        <v>335.83072204241034</v>
      </c>
      <c r="K64" s="128">
        <v>18</v>
      </c>
      <c r="L64" s="12">
        <f t="shared" si="5"/>
        <v>21.259843199999999</v>
      </c>
      <c r="M64" s="11">
        <f t="shared" si="5"/>
        <v>23.464567680000002</v>
      </c>
      <c r="N64" s="11">
        <f t="shared" si="5"/>
        <v>1.1811023999999986</v>
      </c>
      <c r="O64" s="152">
        <f t="shared" si="27"/>
        <v>27.78380734577469</v>
      </c>
      <c r="P64" s="8">
        <f t="shared" si="0"/>
        <v>4.2236221823999998</v>
      </c>
      <c r="Q64" s="12">
        <f t="shared" si="28"/>
        <v>5.0010853222394429</v>
      </c>
      <c r="R64" s="8">
        <f t="shared" si="1"/>
        <v>2.1118110911999999</v>
      </c>
      <c r="S64" s="12">
        <f t="shared" si="29"/>
        <v>2.5005426611197215</v>
      </c>
      <c r="T64" s="17">
        <f>Sizing!CN78</f>
        <v>0.25</v>
      </c>
      <c r="U64" s="17">
        <f>Sizing!CO78</f>
        <v>2.3622047244094495E-2</v>
      </c>
      <c r="V64" s="17">
        <f>Sizing!CP78</f>
        <v>1.5748031496062995E-2</v>
      </c>
      <c r="W64" s="128">
        <f t="shared" si="6"/>
        <v>3.0224609670856709E-3</v>
      </c>
      <c r="X64" s="2">
        <f t="shared" si="7"/>
        <v>7.2254596295506844E-4</v>
      </c>
      <c r="Y64" s="2">
        <f t="shared" si="8"/>
        <v>3.7450069300407392E-3</v>
      </c>
      <c r="Z64" s="216">
        <f t="shared" si="30"/>
        <v>8.6706983117765229E-2</v>
      </c>
      <c r="AA64" s="138">
        <f t="shared" si="31"/>
        <v>2.0728069375917518E-2</v>
      </c>
      <c r="AB64" s="17">
        <f t="shared" si="32"/>
        <v>0.10743505249368275</v>
      </c>
      <c r="AC64" s="311">
        <f t="shared" si="33"/>
        <v>8.5212035132976191E-2</v>
      </c>
      <c r="AD64" s="316">
        <f t="shared" si="34"/>
        <v>2.0370688869436184E-2</v>
      </c>
      <c r="AE64" s="21">
        <f t="shared" si="35"/>
        <v>0.10558272400241236</v>
      </c>
      <c r="AF64" s="170">
        <f>Sizing!DU78</f>
        <v>0.33770780740629297</v>
      </c>
      <c r="AG64" s="170">
        <f>Sizing!DV78</f>
        <v>0.58112632654724306</v>
      </c>
      <c r="AH64" s="170">
        <f>Sizing!DW78</f>
        <v>0.33770780740629297</v>
      </c>
      <c r="AI64" s="272">
        <f>Sizing!DX78</f>
        <v>0.58112632654724306</v>
      </c>
      <c r="AJ64" s="216">
        <f>Sizing!GJ78</f>
        <v>0.25</v>
      </c>
      <c r="AK64" s="216">
        <f>Sizing!GK78</f>
        <v>2.3622047244094495E-2</v>
      </c>
      <c r="AL64" s="17">
        <f>Sizing!GL78</f>
        <v>2.3622047244094495E-2</v>
      </c>
      <c r="AM64" s="216">
        <f t="shared" si="9"/>
        <v>3.6269531605028051E-3</v>
      </c>
      <c r="AN64" s="138">
        <f t="shared" si="10"/>
        <v>7.2254596295506844E-4</v>
      </c>
      <c r="AO64" s="138">
        <f t="shared" si="11"/>
        <v>4.3494991234578739E-3</v>
      </c>
      <c r="AP64" s="311">
        <f t="shared" si="36"/>
        <v>1.8138702215440537E-2</v>
      </c>
      <c r="AQ64" s="11">
        <f t="shared" si="37"/>
        <v>3.6135140099779572E-3</v>
      </c>
      <c r="AR64" s="21">
        <f t="shared" si="38"/>
        <v>2.1752216225418494E-2</v>
      </c>
      <c r="AS64" s="11">
        <f t="shared" si="12"/>
        <v>2.4497008771878759E-2</v>
      </c>
      <c r="AT64" s="21">
        <f t="shared" si="39"/>
        <v>2.4497008771878759E-2</v>
      </c>
      <c r="AU64" s="170">
        <f>Sizing!JC78</f>
        <v>5.2747672707505648E-3</v>
      </c>
      <c r="AV64" s="272">
        <f>Sizing!JD78</f>
        <v>7.2627593039770802E-2</v>
      </c>
      <c r="AW64" s="170">
        <f>Sizing!JC78</f>
        <v>5.2747672707505648E-3</v>
      </c>
      <c r="AX64" s="272">
        <f>Sizing!JD78</f>
        <v>7.2627593039770802E-2</v>
      </c>
      <c r="AY64" s="216">
        <f>Sizing!IT78</f>
        <v>0.25</v>
      </c>
      <c r="AZ64" s="216">
        <f>Sizing!IU78</f>
        <v>1.5748031496062995E-2</v>
      </c>
      <c r="BA64" s="17">
        <f>Sizing!IV78</f>
        <v>1.5748031496062995E-2</v>
      </c>
      <c r="BB64" s="216">
        <f t="shared" si="13"/>
        <v>2.4179687736685367E-3</v>
      </c>
      <c r="BC64" s="138">
        <f t="shared" si="14"/>
        <v>7.2254596295506844E-4</v>
      </c>
      <c r="BD64" s="138">
        <f t="shared" si="15"/>
        <v>3.1405147366236051E-3</v>
      </c>
      <c r="BE64" s="311">
        <f t="shared" si="16"/>
        <v>6.0462340718135119E-3</v>
      </c>
      <c r="BF64" s="11">
        <f t="shared" si="17"/>
        <v>1.8067570049889786E-3</v>
      </c>
      <c r="BG64" s="21">
        <f t="shared" si="18"/>
        <v>7.8529910768024899E-3</v>
      </c>
      <c r="BH64" s="21">
        <f t="shared" si="19"/>
        <v>3.8262668871536345E-4</v>
      </c>
      <c r="BI64" s="21">
        <f t="shared" si="20"/>
        <v>3.8262668871536345E-4</v>
      </c>
      <c r="BJ64" s="561"/>
      <c r="BK64">
        <f t="shared" si="21"/>
        <v>0.97769032</v>
      </c>
      <c r="BL64">
        <f t="shared" si="22"/>
        <v>0.97769032</v>
      </c>
      <c r="BM64">
        <f>C64*'Inputs-Imperial'!$E$12</f>
        <v>0.48884516</v>
      </c>
      <c r="BN64">
        <f>C64*'Inputs-Imperial'!$E$12</f>
        <v>0.48884516</v>
      </c>
      <c r="BO64">
        <f>C64*'Inputs-Imperial'!$E$12</f>
        <v>0.48884516</v>
      </c>
      <c r="BP64">
        <f>C64*'Weight '!$E$15</f>
        <v>0.97769032</v>
      </c>
      <c r="BQ64">
        <f>C64*'Weight '!$E$15</f>
        <v>0.97769032</v>
      </c>
      <c r="BR64">
        <f>C64*'Weight '!$E$15</f>
        <v>0.97769032</v>
      </c>
      <c r="BS64">
        <f t="shared" si="23"/>
        <v>0.2512753462127435</v>
      </c>
      <c r="BT64" s="564">
        <f t="shared" si="24"/>
        <v>0.29238225471950435</v>
      </c>
      <c r="BU64">
        <f t="shared" si="40"/>
        <v>0.85940696522025051</v>
      </c>
    </row>
    <row r="65" spans="1:73" x14ac:dyDescent="0.25">
      <c r="A65" s="186">
        <v>19</v>
      </c>
      <c r="B65" s="187">
        <f>A65/100*'Inputs-Imperial'!$E$5</f>
        <v>1.8700788000000002</v>
      </c>
      <c r="C65" s="188">
        <f>'Inputs-Imperial'!$E$10+('Inputs-Imperial'!$E$9-'Inputs-Imperial'!$E$10)*(100-A65)/100</f>
        <v>1.9455381200000001</v>
      </c>
      <c r="D65" s="187">
        <f t="shared" si="25"/>
        <v>9.8425200000000101E-2</v>
      </c>
      <c r="E65" s="188">
        <f t="shared" si="26"/>
        <v>0.19197435456837619</v>
      </c>
      <c r="F65" s="423">
        <f>Sizing!F79</f>
        <v>92.314927021567982</v>
      </c>
      <c r="G65" s="423">
        <f>Sizing!G79</f>
        <v>923.14927021567905</v>
      </c>
      <c r="H65" s="423">
        <f>Sizing!H79</f>
        <v>3265.9902408978705</v>
      </c>
      <c r="I65" s="423">
        <f>Sizing!I79</f>
        <v>-817.91015027825233</v>
      </c>
      <c r="J65" s="189">
        <f>Sizing!J79</f>
        <v>326.59902408978712</v>
      </c>
      <c r="K65" s="128">
        <v>19</v>
      </c>
      <c r="L65" s="12">
        <f t="shared" si="5"/>
        <v>22.440945600000003</v>
      </c>
      <c r="M65" s="11">
        <f t="shared" si="5"/>
        <v>23.346457440000002</v>
      </c>
      <c r="N65" s="11">
        <f t="shared" si="5"/>
        <v>1.1811024000000012</v>
      </c>
      <c r="O65" s="152">
        <f t="shared" si="27"/>
        <v>27.64430705784617</v>
      </c>
      <c r="P65" s="8">
        <f t="shared" si="0"/>
        <v>4.2023623392000005</v>
      </c>
      <c r="Q65" s="12">
        <f t="shared" si="28"/>
        <v>4.9759752704123112</v>
      </c>
      <c r="R65" s="8">
        <f t="shared" si="1"/>
        <v>2.1011811696000002</v>
      </c>
      <c r="S65" s="12">
        <f t="shared" si="29"/>
        <v>2.4879876352061556</v>
      </c>
      <c r="T65" s="17">
        <f>Sizing!CN79</f>
        <v>0.25</v>
      </c>
      <c r="U65" s="17">
        <f>Sizing!CO79</f>
        <v>2.3622047244094495E-2</v>
      </c>
      <c r="V65" s="17">
        <f>Sizing!CP79</f>
        <v>1.5748031496062995E-2</v>
      </c>
      <c r="W65" s="128">
        <f t="shared" si="6"/>
        <v>3.0224609670856709E-3</v>
      </c>
      <c r="X65" s="2">
        <f t="shared" si="7"/>
        <v>7.2254596295506844E-4</v>
      </c>
      <c r="Y65" s="2">
        <f t="shared" si="8"/>
        <v>3.7450069300407392E-3</v>
      </c>
      <c r="Z65" s="216">
        <f t="shared" si="30"/>
        <v>8.6271634248554871E-2</v>
      </c>
      <c r="AA65" s="138">
        <f t="shared" si="31"/>
        <v>2.0623995387419231E-2</v>
      </c>
      <c r="AB65" s="17">
        <f t="shared" si="32"/>
        <v>0.1068956296359741</v>
      </c>
      <c r="AC65" s="311">
        <f t="shared" si="33"/>
        <v>8.478419227875221E-2</v>
      </c>
      <c r="AD65" s="316">
        <f t="shared" si="34"/>
        <v>2.0268409260049934E-2</v>
      </c>
      <c r="AE65" s="21">
        <f t="shared" si="35"/>
        <v>0.10505260153880214</v>
      </c>
      <c r="AF65" s="170">
        <f>Sizing!DU79</f>
        <v>0.33770780740629297</v>
      </c>
      <c r="AG65" s="170">
        <f>Sizing!DV79</f>
        <v>0.58112632654724306</v>
      </c>
      <c r="AH65" s="170">
        <f>Sizing!DW79</f>
        <v>0.33770780740629297</v>
      </c>
      <c r="AI65" s="272">
        <f>Sizing!DX79</f>
        <v>0.58112632654724306</v>
      </c>
      <c r="AJ65" s="216">
        <f>Sizing!GJ79</f>
        <v>0.25</v>
      </c>
      <c r="AK65" s="216">
        <f>Sizing!GK79</f>
        <v>2.3622047244094495E-2</v>
      </c>
      <c r="AL65" s="17">
        <f>Sizing!GL79</f>
        <v>2.3622047244094495E-2</v>
      </c>
      <c r="AM65" s="216">
        <f t="shared" si="9"/>
        <v>3.6269531605028051E-3</v>
      </c>
      <c r="AN65" s="138">
        <f t="shared" si="10"/>
        <v>7.2254596295506844E-4</v>
      </c>
      <c r="AO65" s="138">
        <f t="shared" si="11"/>
        <v>4.3494991234578739E-3</v>
      </c>
      <c r="AP65" s="311">
        <f t="shared" si="36"/>
        <v>1.8047629233605731E-2</v>
      </c>
      <c r="AQ65" s="11">
        <f t="shared" si="37"/>
        <v>3.5953708434006706E-3</v>
      </c>
      <c r="AR65" s="21">
        <f t="shared" si="38"/>
        <v>2.1643000077006404E-2</v>
      </c>
      <c r="AS65" s="11">
        <f t="shared" si="12"/>
        <v>2.4497008771878815E-2</v>
      </c>
      <c r="AT65" s="21">
        <f t="shared" si="39"/>
        <v>2.4497008771878815E-2</v>
      </c>
      <c r="AU65" s="170">
        <f>Sizing!JC79</f>
        <v>5.2747672707505648E-3</v>
      </c>
      <c r="AV65" s="272">
        <f>Sizing!JD79</f>
        <v>7.2627593039770802E-2</v>
      </c>
      <c r="AW65" s="170">
        <f>Sizing!JC79</f>
        <v>5.2747672707505648E-3</v>
      </c>
      <c r="AX65" s="272">
        <f>Sizing!JD79</f>
        <v>7.2627593039770802E-2</v>
      </c>
      <c r="AY65" s="216">
        <f>Sizing!IT79</f>
        <v>0.25</v>
      </c>
      <c r="AZ65" s="216">
        <f>Sizing!IU79</f>
        <v>1.5748031496062995E-2</v>
      </c>
      <c r="BA65" s="17">
        <f>Sizing!IV79</f>
        <v>1.5748031496062995E-2</v>
      </c>
      <c r="BB65" s="216">
        <f t="shared" si="13"/>
        <v>2.4179687736685367E-3</v>
      </c>
      <c r="BC65" s="138">
        <f t="shared" si="14"/>
        <v>7.2254596295506844E-4</v>
      </c>
      <c r="BD65" s="138">
        <f t="shared" si="15"/>
        <v>3.1405147366236051E-3</v>
      </c>
      <c r="BE65" s="311">
        <f t="shared" si="16"/>
        <v>6.0158764112019109E-3</v>
      </c>
      <c r="BF65" s="11">
        <f t="shared" si="17"/>
        <v>1.7976854217003353E-3</v>
      </c>
      <c r="BG65" s="21">
        <f t="shared" si="18"/>
        <v>7.8135618329022456E-3</v>
      </c>
      <c r="BH65" s="21">
        <f t="shared" si="19"/>
        <v>3.8262668871536431E-4</v>
      </c>
      <c r="BI65" s="21">
        <f t="shared" si="20"/>
        <v>3.8262668871536431E-4</v>
      </c>
      <c r="BJ65" s="561"/>
      <c r="BK65">
        <f t="shared" si="21"/>
        <v>0.97276906000000007</v>
      </c>
      <c r="BL65">
        <f t="shared" si="22"/>
        <v>0.97276906000000007</v>
      </c>
      <c r="BM65">
        <f>C65*'Inputs-Imperial'!$E$12</f>
        <v>0.48638453000000004</v>
      </c>
      <c r="BN65">
        <f>C65*'Inputs-Imperial'!$E$12</f>
        <v>0.48638453000000004</v>
      </c>
      <c r="BO65">
        <f>C65*'Inputs-Imperial'!$E$12</f>
        <v>0.48638453000000004</v>
      </c>
      <c r="BP65">
        <f>C65*'Weight '!$E$15</f>
        <v>0.97276906000000007</v>
      </c>
      <c r="BQ65">
        <f>C65*'Weight '!$E$15</f>
        <v>0.97276906000000007</v>
      </c>
      <c r="BR65">
        <f>C65*'Weight '!$E$15</f>
        <v>0.97276906000000007</v>
      </c>
      <c r="BS65">
        <f t="shared" si="23"/>
        <v>0.24887864023269615</v>
      </c>
      <c r="BT65" s="564">
        <f t="shared" si="24"/>
        <v>0.29116406400587325</v>
      </c>
      <c r="BU65">
        <f t="shared" si="40"/>
        <v>0.8547711445176005</v>
      </c>
    </row>
    <row r="66" spans="1:73" x14ac:dyDescent="0.25">
      <c r="A66" s="186">
        <v>20</v>
      </c>
      <c r="B66" s="187">
        <f>A66/100*'Inputs-Imperial'!$E$5</f>
        <v>1.9685040000000003</v>
      </c>
      <c r="C66" s="188">
        <f>'Inputs-Imperial'!$E$10+('Inputs-Imperial'!$E$9-'Inputs-Imperial'!$E$10)*(100-A66)/100</f>
        <v>1.9356955999999998</v>
      </c>
      <c r="D66" s="187">
        <f t="shared" si="25"/>
        <v>9.8425200000000101E-2</v>
      </c>
      <c r="E66" s="188">
        <f t="shared" si="26"/>
        <v>0.1910056025688722</v>
      </c>
      <c r="F66" s="423">
        <f>Sizing!F80</f>
        <v>90.840936288896813</v>
      </c>
      <c r="G66" s="423">
        <f>Sizing!G80</f>
        <v>908.40936288896739</v>
      </c>
      <c r="H66" s="423">
        <f>Sizing!H80</f>
        <v>3175.1290893470382</v>
      </c>
      <c r="I66" s="423">
        <f>Sizing!I80</f>
        <v>-801.76863121105146</v>
      </c>
      <c r="J66" s="189">
        <f>Sizing!J80</f>
        <v>317.51290893470389</v>
      </c>
      <c r="K66" s="128">
        <v>20</v>
      </c>
      <c r="L66" s="12">
        <f t="shared" si="5"/>
        <v>23.622048000000003</v>
      </c>
      <c r="M66" s="11">
        <f t="shared" si="5"/>
        <v>23.228347199999998</v>
      </c>
      <c r="N66" s="11">
        <f t="shared" si="5"/>
        <v>1.1811024000000012</v>
      </c>
      <c r="O66" s="152">
        <f t="shared" si="27"/>
        <v>27.504806769917593</v>
      </c>
      <c r="P66" s="8">
        <f t="shared" si="0"/>
        <v>4.1811024959999994</v>
      </c>
      <c r="Q66" s="12">
        <f t="shared" si="28"/>
        <v>4.9508652185851671</v>
      </c>
      <c r="R66" s="8">
        <f t="shared" si="1"/>
        <v>2.0905512479999997</v>
      </c>
      <c r="S66" s="12">
        <f t="shared" si="29"/>
        <v>2.4754326092925836</v>
      </c>
      <c r="T66" s="17">
        <f>Sizing!CN80</f>
        <v>0.25</v>
      </c>
      <c r="U66" s="17">
        <f>Sizing!CO80</f>
        <v>2.3622047244094495E-2</v>
      </c>
      <c r="V66" s="17">
        <f>Sizing!CP80</f>
        <v>1.5748031496062995E-2</v>
      </c>
      <c r="W66" s="128">
        <f t="shared" si="6"/>
        <v>3.0224609670856709E-3</v>
      </c>
      <c r="X66" s="2">
        <f t="shared" si="7"/>
        <v>7.2254596295506844E-4</v>
      </c>
      <c r="Y66" s="2">
        <f t="shared" si="8"/>
        <v>3.7450069300407392E-3</v>
      </c>
      <c r="Z66" s="216">
        <f t="shared" si="30"/>
        <v>8.5836285379344332E-2</v>
      </c>
      <c r="AA66" s="138">
        <f t="shared" si="31"/>
        <v>2.05199213989209E-2</v>
      </c>
      <c r="AB66" s="17">
        <f t="shared" si="32"/>
        <v>0.10635620677826524</v>
      </c>
      <c r="AC66" s="311">
        <f t="shared" si="33"/>
        <v>8.4356349424528049E-2</v>
      </c>
      <c r="AD66" s="316">
        <f t="shared" si="34"/>
        <v>2.0166129650663642E-2</v>
      </c>
      <c r="AE66" s="21">
        <f t="shared" si="35"/>
        <v>0.10452247907519169</v>
      </c>
      <c r="AF66" s="170">
        <f>Sizing!DU80</f>
        <v>0.26897785437563354</v>
      </c>
      <c r="AG66" s="170">
        <f>Sizing!DV80</f>
        <v>0.51863074954695232</v>
      </c>
      <c r="AH66" s="170">
        <f>Sizing!DW80</f>
        <v>0.26897785437563354</v>
      </c>
      <c r="AI66" s="272">
        <f>Sizing!DX80</f>
        <v>0.51863074954695232</v>
      </c>
      <c r="AJ66" s="216">
        <f>Sizing!GJ80</f>
        <v>0.25</v>
      </c>
      <c r="AK66" s="216">
        <f>Sizing!GK80</f>
        <v>2.3622047244094495E-2</v>
      </c>
      <c r="AL66" s="17">
        <f>Sizing!GL80</f>
        <v>2.3622047244094495E-2</v>
      </c>
      <c r="AM66" s="216">
        <f t="shared" si="9"/>
        <v>3.6269531605028051E-3</v>
      </c>
      <c r="AN66" s="138">
        <f t="shared" si="10"/>
        <v>7.2254596295506844E-4</v>
      </c>
      <c r="AO66" s="138">
        <f t="shared" si="11"/>
        <v>4.3494991234578739E-3</v>
      </c>
      <c r="AP66" s="311">
        <f t="shared" si="36"/>
        <v>1.7956556251770884E-2</v>
      </c>
      <c r="AQ66" s="11">
        <f t="shared" si="37"/>
        <v>3.5772276768233752E-3</v>
      </c>
      <c r="AR66" s="21">
        <f t="shared" si="38"/>
        <v>2.1533783928594261E-2</v>
      </c>
      <c r="AS66" s="11">
        <f t="shared" si="12"/>
        <v>1.9511402205024213E-2</v>
      </c>
      <c r="AT66" s="21">
        <f t="shared" si="39"/>
        <v>1.9511402205024213E-2</v>
      </c>
      <c r="AU66" s="170">
        <f>Sizing!JC80</f>
        <v>4.2410538734210714E-3</v>
      </c>
      <c r="AV66" s="272">
        <f>Sizing!JD80</f>
        <v>6.5123374247815752E-2</v>
      </c>
      <c r="AW66" s="170">
        <f>Sizing!JC80</f>
        <v>4.2410538734210714E-3</v>
      </c>
      <c r="AX66" s="272">
        <f>Sizing!JD80</f>
        <v>6.5123374247815752E-2</v>
      </c>
      <c r="AY66" s="216">
        <f>Sizing!IT80</f>
        <v>0.25</v>
      </c>
      <c r="AZ66" s="216">
        <f>Sizing!IU80</f>
        <v>1.5748031496062995E-2</v>
      </c>
      <c r="BA66" s="17">
        <f>Sizing!IV80</f>
        <v>1.5748031496062995E-2</v>
      </c>
      <c r="BB66" s="216">
        <f t="shared" si="13"/>
        <v>2.4179687736685367E-3</v>
      </c>
      <c r="BC66" s="138">
        <f t="shared" si="14"/>
        <v>7.2254596295506844E-4</v>
      </c>
      <c r="BD66" s="138">
        <f t="shared" si="15"/>
        <v>3.1405147366236051E-3</v>
      </c>
      <c r="BE66" s="311">
        <f t="shared" si="16"/>
        <v>5.9855187505902943E-3</v>
      </c>
      <c r="BF66" s="11">
        <f t="shared" si="17"/>
        <v>1.7886138384116876E-3</v>
      </c>
      <c r="BG66" s="21">
        <f t="shared" si="18"/>
        <v>7.7741325890019813E-3</v>
      </c>
      <c r="BH66" s="21">
        <f t="shared" si="19"/>
        <v>3.0764208484589106E-4</v>
      </c>
      <c r="BI66" s="21">
        <f t="shared" si="20"/>
        <v>3.0764208484589106E-4</v>
      </c>
      <c r="BJ66" s="561"/>
      <c r="BK66">
        <f t="shared" si="21"/>
        <v>0.96784779999999992</v>
      </c>
      <c r="BL66">
        <f t="shared" si="22"/>
        <v>0.96784779999999992</v>
      </c>
      <c r="BM66">
        <f>C66*'Inputs-Imperial'!$E$12</f>
        <v>0.48392389999999996</v>
      </c>
      <c r="BN66">
        <f>C66*'Inputs-Imperial'!$E$12</f>
        <v>0.48392389999999996</v>
      </c>
      <c r="BO66">
        <f>C66*'Inputs-Imperial'!$E$12</f>
        <v>0.48392389999999996</v>
      </c>
      <c r="BP66">
        <f>C66*'Weight '!$E$15</f>
        <v>0.96784779999999992</v>
      </c>
      <c r="BQ66">
        <f>C66*'Weight '!$E$15</f>
        <v>0.96784779999999992</v>
      </c>
      <c r="BR66">
        <f>C66*'Weight '!$E$15</f>
        <v>0.96784779999999992</v>
      </c>
      <c r="BS66">
        <f t="shared" si="23"/>
        <v>0.24152293112287476</v>
      </c>
      <c r="BT66" s="564">
        <f t="shared" si="24"/>
        <v>0.27982469095079343</v>
      </c>
      <c r="BU66">
        <f t="shared" si="40"/>
        <v>0.86312230097431275</v>
      </c>
    </row>
    <row r="67" spans="1:73" x14ac:dyDescent="0.25">
      <c r="A67" s="186">
        <v>21</v>
      </c>
      <c r="B67" s="187">
        <f>A67/100*'Inputs-Imperial'!$E$5</f>
        <v>2.0669292000000001</v>
      </c>
      <c r="C67" s="188">
        <f>'Inputs-Imperial'!$E$10+('Inputs-Imperial'!$E$9-'Inputs-Imperial'!$E$10)*(100-A67)/100</f>
        <v>1.92585308</v>
      </c>
      <c r="D67" s="187">
        <f t="shared" si="25"/>
        <v>9.8425199999999879E-2</v>
      </c>
      <c r="E67" s="188">
        <f t="shared" si="26"/>
        <v>0.19003685056936775</v>
      </c>
      <c r="F67" s="423">
        <f>Sizing!F81</f>
        <v>89.372157802109982</v>
      </c>
      <c r="G67" s="423">
        <f>Sizing!G81</f>
        <v>893.72157802109916</v>
      </c>
      <c r="H67" s="423">
        <f>Sizing!H81</f>
        <v>3085.7187161228189</v>
      </c>
      <c r="I67" s="423">
        <f>Sizing!I81</f>
        <v>-785.74161624302576</v>
      </c>
      <c r="J67" s="189">
        <f>Sizing!J81</f>
        <v>308.571871612282</v>
      </c>
      <c r="K67" s="128">
        <v>21</v>
      </c>
      <c r="L67" s="12">
        <f t="shared" si="5"/>
        <v>24.8031504</v>
      </c>
      <c r="M67" s="11">
        <f t="shared" si="5"/>
        <v>23.110236960000002</v>
      </c>
      <c r="N67" s="11">
        <f t="shared" si="5"/>
        <v>1.1811023999999986</v>
      </c>
      <c r="O67" s="152">
        <f t="shared" si="27"/>
        <v>27.365306481988959</v>
      </c>
      <c r="P67" s="8">
        <f t="shared" si="0"/>
        <v>4.1598426528000001</v>
      </c>
      <c r="Q67" s="12">
        <f t="shared" si="28"/>
        <v>4.9257551667580124</v>
      </c>
      <c r="R67" s="8">
        <f t="shared" si="1"/>
        <v>2.0799213264</v>
      </c>
      <c r="S67" s="12">
        <f t="shared" si="29"/>
        <v>2.4628775833790062</v>
      </c>
      <c r="T67" s="17">
        <f>Sizing!CN81</f>
        <v>0.25</v>
      </c>
      <c r="U67" s="17">
        <f>Sizing!CO81</f>
        <v>2.3622047244094495E-2</v>
      </c>
      <c r="V67" s="17">
        <f>Sizing!CP81</f>
        <v>1.5748031496062995E-2</v>
      </c>
      <c r="W67" s="128">
        <f t="shared" si="6"/>
        <v>3.0224609670856709E-3</v>
      </c>
      <c r="X67" s="2">
        <f t="shared" si="7"/>
        <v>7.2254596295506844E-4</v>
      </c>
      <c r="Y67" s="2">
        <f t="shared" si="8"/>
        <v>3.7450069300407392E-3</v>
      </c>
      <c r="Z67" s="216">
        <f t="shared" si="30"/>
        <v>8.5400936510133627E-2</v>
      </c>
      <c r="AA67" s="138">
        <f t="shared" si="31"/>
        <v>2.0415847410422527E-2</v>
      </c>
      <c r="AB67" s="17">
        <f t="shared" si="32"/>
        <v>0.10581678392055614</v>
      </c>
      <c r="AC67" s="311">
        <f t="shared" si="33"/>
        <v>8.3928506570303721E-2</v>
      </c>
      <c r="AD67" s="316">
        <f t="shared" si="34"/>
        <v>2.0063850041277309E-2</v>
      </c>
      <c r="AE67" s="21">
        <f t="shared" si="35"/>
        <v>0.10399235661158103</v>
      </c>
      <c r="AF67" s="170">
        <f>Sizing!DU81</f>
        <v>0.26897785437563354</v>
      </c>
      <c r="AG67" s="170">
        <f>Sizing!DV81</f>
        <v>0.51863074954695232</v>
      </c>
      <c r="AH67" s="170">
        <f>Sizing!DW81</f>
        <v>0.26897785437563354</v>
      </c>
      <c r="AI67" s="272">
        <f>Sizing!DX81</f>
        <v>0.51863074954695232</v>
      </c>
      <c r="AJ67" s="216">
        <f>Sizing!GJ81</f>
        <v>0.25</v>
      </c>
      <c r="AK67" s="216">
        <f>Sizing!GK81</f>
        <v>2.3622047244094495E-2</v>
      </c>
      <c r="AL67" s="17">
        <f>Sizing!GL81</f>
        <v>2.3622047244094495E-2</v>
      </c>
      <c r="AM67" s="216">
        <f t="shared" si="9"/>
        <v>3.6269531605028051E-3</v>
      </c>
      <c r="AN67" s="138">
        <f t="shared" si="10"/>
        <v>7.2254596295506844E-4</v>
      </c>
      <c r="AO67" s="138">
        <f t="shared" si="11"/>
        <v>4.3494991234578739E-3</v>
      </c>
      <c r="AP67" s="311">
        <f t="shared" si="36"/>
        <v>1.7865483269935995E-2</v>
      </c>
      <c r="AQ67" s="11">
        <f t="shared" si="37"/>
        <v>3.5590845102460716E-3</v>
      </c>
      <c r="AR67" s="21">
        <f t="shared" si="38"/>
        <v>2.1424567780182067E-2</v>
      </c>
      <c r="AS67" s="11">
        <f t="shared" si="12"/>
        <v>1.9511402205024168E-2</v>
      </c>
      <c r="AT67" s="21">
        <f t="shared" si="39"/>
        <v>1.9511402205024168E-2</v>
      </c>
      <c r="AU67" s="170">
        <f>Sizing!JC81</f>
        <v>4.2410538734210714E-3</v>
      </c>
      <c r="AV67" s="272">
        <f>Sizing!JD81</f>
        <v>6.5123374247815752E-2</v>
      </c>
      <c r="AW67" s="170">
        <f>Sizing!JC81</f>
        <v>4.2410538734210714E-3</v>
      </c>
      <c r="AX67" s="272">
        <f>Sizing!JD81</f>
        <v>6.5123374247815752E-2</v>
      </c>
      <c r="AY67" s="216">
        <f>Sizing!IT81</f>
        <v>0.25</v>
      </c>
      <c r="AZ67" s="216">
        <f>Sizing!IU81</f>
        <v>1.5748031496062995E-2</v>
      </c>
      <c r="BA67" s="17">
        <f>Sizing!IV81</f>
        <v>1.5748031496062995E-2</v>
      </c>
      <c r="BB67" s="216">
        <f t="shared" si="13"/>
        <v>2.4179687736685367E-3</v>
      </c>
      <c r="BC67" s="138">
        <f t="shared" si="14"/>
        <v>7.2254596295506844E-4</v>
      </c>
      <c r="BD67" s="138">
        <f t="shared" si="15"/>
        <v>3.1405147366236051E-3</v>
      </c>
      <c r="BE67" s="311">
        <f t="shared" si="16"/>
        <v>5.9551610899786648E-3</v>
      </c>
      <c r="BF67" s="11">
        <f t="shared" si="17"/>
        <v>1.7795422551230358E-3</v>
      </c>
      <c r="BG67" s="21">
        <f t="shared" si="18"/>
        <v>7.7347033451017006E-3</v>
      </c>
      <c r="BH67" s="21">
        <f t="shared" si="19"/>
        <v>3.0764208484589036E-4</v>
      </c>
      <c r="BI67" s="21">
        <f t="shared" si="20"/>
        <v>3.0764208484589036E-4</v>
      </c>
      <c r="BJ67" s="561"/>
      <c r="BK67">
        <f t="shared" si="21"/>
        <v>0.96292654</v>
      </c>
      <c r="BL67">
        <f t="shared" si="22"/>
        <v>0.96292654</v>
      </c>
      <c r="BM67">
        <f>C67*'Inputs-Imperial'!$E$12</f>
        <v>0.48146327</v>
      </c>
      <c r="BN67">
        <f>C67*'Inputs-Imperial'!$E$12</f>
        <v>0.48146327</v>
      </c>
      <c r="BO67">
        <f>C67*'Inputs-Imperial'!$E$12</f>
        <v>0.48146327</v>
      </c>
      <c r="BP67">
        <f>C67*'Weight '!$E$15</f>
        <v>0.96292654</v>
      </c>
      <c r="BQ67">
        <f>C67*'Weight '!$E$15</f>
        <v>0.96292654</v>
      </c>
      <c r="BR67">
        <f>C67*'Weight '!$E$15</f>
        <v>0.96292654</v>
      </c>
      <c r="BS67">
        <f t="shared" si="23"/>
        <v>0.23917440381726332</v>
      </c>
      <c r="BT67" s="564">
        <f t="shared" si="24"/>
        <v>0.27860650023716105</v>
      </c>
      <c r="BU67">
        <f t="shared" si="40"/>
        <v>0.85846670344614517</v>
      </c>
    </row>
    <row r="68" spans="1:73" x14ac:dyDescent="0.25">
      <c r="A68" s="186">
        <v>22</v>
      </c>
      <c r="B68" s="187">
        <f>A68/100*'Inputs-Imperial'!$E$5</f>
        <v>2.1653544</v>
      </c>
      <c r="C68" s="188">
        <f>'Inputs-Imperial'!$E$10+('Inputs-Imperial'!$E$9-'Inputs-Imperial'!$E$10)*(100-A68)/100</f>
        <v>1.9160105600000001</v>
      </c>
      <c r="D68" s="187">
        <f t="shared" si="25"/>
        <v>9.8425199999999879E-2</v>
      </c>
      <c r="E68" s="188">
        <f t="shared" si="26"/>
        <v>0.18906809856986379</v>
      </c>
      <c r="F68" s="423">
        <f>Sizing!F82</f>
        <v>87.90867387711512</v>
      </c>
      <c r="G68" s="423">
        <f>Sizing!G82</f>
        <v>879.08673877115052</v>
      </c>
      <c r="H68" s="423">
        <f>Sizing!H82</f>
        <v>2997.7539910617766</v>
      </c>
      <c r="I68" s="423">
        <f>Sizing!I82</f>
        <v>-769.83049225896798</v>
      </c>
      <c r="J68" s="189">
        <f>Sizing!J82</f>
        <v>299.77539910617776</v>
      </c>
      <c r="K68" s="128">
        <v>22</v>
      </c>
      <c r="L68" s="12">
        <f t="shared" si="5"/>
        <v>25.9842528</v>
      </c>
      <c r="M68" s="11">
        <f t="shared" si="5"/>
        <v>22.992126720000002</v>
      </c>
      <c r="N68" s="11">
        <f t="shared" si="5"/>
        <v>1.1811023999999986</v>
      </c>
      <c r="O68" s="152">
        <f t="shared" si="27"/>
        <v>27.225806194060382</v>
      </c>
      <c r="P68" s="8">
        <f t="shared" si="0"/>
        <v>4.1385828095999999</v>
      </c>
      <c r="Q68" s="12">
        <f t="shared" si="28"/>
        <v>4.9006451149308692</v>
      </c>
      <c r="R68" s="8">
        <f t="shared" si="1"/>
        <v>2.0692914048</v>
      </c>
      <c r="S68" s="12">
        <f t="shared" si="29"/>
        <v>2.4503225574654346</v>
      </c>
      <c r="T68" s="17">
        <f>Sizing!CN82</f>
        <v>0.25</v>
      </c>
      <c r="U68" s="17">
        <f>Sizing!CO82</f>
        <v>2.3622047244094495E-2</v>
      </c>
      <c r="V68" s="17">
        <f>Sizing!CP82</f>
        <v>1.5748031496062995E-2</v>
      </c>
      <c r="W68" s="128">
        <f t="shared" si="6"/>
        <v>3.0224609670856709E-3</v>
      </c>
      <c r="X68" s="2">
        <f t="shared" si="7"/>
        <v>7.2254596295506844E-4</v>
      </c>
      <c r="Y68" s="2">
        <f t="shared" si="8"/>
        <v>3.7450069300407392E-3</v>
      </c>
      <c r="Z68" s="216">
        <f t="shared" si="30"/>
        <v>8.4965587640923074E-2</v>
      </c>
      <c r="AA68" s="138">
        <f t="shared" si="31"/>
        <v>2.0311773421924195E-2</v>
      </c>
      <c r="AB68" s="17">
        <f t="shared" si="32"/>
        <v>0.10527736106284727</v>
      </c>
      <c r="AC68" s="311">
        <f t="shared" si="33"/>
        <v>8.3500663716079573E-2</v>
      </c>
      <c r="AD68" s="316">
        <f t="shared" si="34"/>
        <v>1.9961570431891017E-2</v>
      </c>
      <c r="AE68" s="21">
        <f t="shared" si="35"/>
        <v>0.10346223414797058</v>
      </c>
      <c r="AF68" s="170">
        <f>Sizing!DU82</f>
        <v>0.26897785437563354</v>
      </c>
      <c r="AG68" s="170">
        <f>Sizing!DV82</f>
        <v>0.51863074954695232</v>
      </c>
      <c r="AH68" s="170">
        <f>Sizing!DW82</f>
        <v>0.26897785437563354</v>
      </c>
      <c r="AI68" s="272">
        <f>Sizing!DX82</f>
        <v>0.51863074954695232</v>
      </c>
      <c r="AJ68" s="216">
        <f>Sizing!GJ82</f>
        <v>0.25</v>
      </c>
      <c r="AK68" s="216">
        <f>Sizing!GK82</f>
        <v>2.3622047244094495E-2</v>
      </c>
      <c r="AL68" s="17">
        <f>Sizing!GL82</f>
        <v>2.3622047244094495E-2</v>
      </c>
      <c r="AM68" s="216">
        <f t="shared" si="9"/>
        <v>3.6269531605028051E-3</v>
      </c>
      <c r="AN68" s="138">
        <f t="shared" si="10"/>
        <v>7.2254596295506844E-4</v>
      </c>
      <c r="AO68" s="138">
        <f t="shared" si="11"/>
        <v>4.3494991234578739E-3</v>
      </c>
      <c r="AP68" s="311">
        <f t="shared" si="36"/>
        <v>1.7774410288101148E-2</v>
      </c>
      <c r="AQ68" s="11">
        <f t="shared" si="37"/>
        <v>3.5409413436687767E-3</v>
      </c>
      <c r="AR68" s="21">
        <f t="shared" si="38"/>
        <v>2.1315351631769928E-2</v>
      </c>
      <c r="AS68" s="11">
        <f t="shared" si="12"/>
        <v>1.9511402205024168E-2</v>
      </c>
      <c r="AT68" s="21">
        <f t="shared" si="39"/>
        <v>1.9511402205024168E-2</v>
      </c>
      <c r="AU68" s="170">
        <f>Sizing!JC82</f>
        <v>4.2410538734210714E-3</v>
      </c>
      <c r="AV68" s="272">
        <f>Sizing!JD82</f>
        <v>6.5123374247815752E-2</v>
      </c>
      <c r="AW68" s="170">
        <f>Sizing!JC82</f>
        <v>4.2410538734210714E-3</v>
      </c>
      <c r="AX68" s="272">
        <f>Sizing!JD82</f>
        <v>6.5123374247815752E-2</v>
      </c>
      <c r="AY68" s="216">
        <f>Sizing!IT82</f>
        <v>0.25</v>
      </c>
      <c r="AZ68" s="216">
        <f>Sizing!IU82</f>
        <v>1.5748031496062995E-2</v>
      </c>
      <c r="BA68" s="17">
        <f>Sizing!IV82</f>
        <v>1.5748031496062995E-2</v>
      </c>
      <c r="BB68" s="216">
        <f t="shared" si="13"/>
        <v>2.4179687736685367E-3</v>
      </c>
      <c r="BC68" s="138">
        <f t="shared" si="14"/>
        <v>7.2254596295506844E-4</v>
      </c>
      <c r="BD68" s="138">
        <f t="shared" si="15"/>
        <v>3.1405147366236051E-3</v>
      </c>
      <c r="BE68" s="311">
        <f t="shared" si="16"/>
        <v>5.9248034293670499E-3</v>
      </c>
      <c r="BF68" s="11">
        <f t="shared" si="17"/>
        <v>1.7704706718343884E-3</v>
      </c>
      <c r="BG68" s="21">
        <f t="shared" si="18"/>
        <v>7.6952741012014381E-3</v>
      </c>
      <c r="BH68" s="21">
        <f t="shared" si="19"/>
        <v>3.0764208484589036E-4</v>
      </c>
      <c r="BI68" s="21">
        <f t="shared" si="20"/>
        <v>3.0764208484589036E-4</v>
      </c>
      <c r="BJ68" s="561"/>
      <c r="BK68">
        <f t="shared" si="21"/>
        <v>0.95800528000000007</v>
      </c>
      <c r="BL68">
        <f t="shared" si="22"/>
        <v>0.95800528000000007</v>
      </c>
      <c r="BM68">
        <f>C68*'Inputs-Imperial'!$E$12</f>
        <v>0.47900264000000004</v>
      </c>
      <c r="BN68">
        <f>C68*'Inputs-Imperial'!$E$12</f>
        <v>0.47900264000000004</v>
      </c>
      <c r="BO68">
        <f>C68*'Inputs-Imperial'!$E$12</f>
        <v>0.47900264000000004</v>
      </c>
      <c r="BP68">
        <f>C68*'Weight '!$E$15</f>
        <v>0.95800528000000007</v>
      </c>
      <c r="BQ68">
        <f>C68*'Weight '!$E$15</f>
        <v>0.95800528000000007</v>
      </c>
      <c r="BR68">
        <f>C68*'Weight '!$E$15</f>
        <v>0.95800528000000007</v>
      </c>
      <c r="BS68">
        <f t="shared" si="23"/>
        <v>0.23683732909705246</v>
      </c>
      <c r="BT68" s="564">
        <f t="shared" si="24"/>
        <v>0.27738830952352933</v>
      </c>
      <c r="BU68">
        <f t="shared" si="40"/>
        <v>0.85381150165941966</v>
      </c>
    </row>
    <row r="69" spans="1:73" x14ac:dyDescent="0.25">
      <c r="A69" s="186">
        <v>23</v>
      </c>
      <c r="B69" s="187">
        <f>A69/100*'Inputs-Imperial'!$E$5</f>
        <v>2.2637796000000003</v>
      </c>
      <c r="C69" s="188">
        <f>'Inputs-Imperial'!$E$10+('Inputs-Imperial'!$E$9-'Inputs-Imperial'!$E$10)*(100-A69)/100</f>
        <v>1.9061680400000001</v>
      </c>
      <c r="D69" s="187">
        <f t="shared" si="25"/>
        <v>9.8425200000000324E-2</v>
      </c>
      <c r="E69" s="188">
        <f t="shared" si="26"/>
        <v>0.18809934657036062</v>
      </c>
      <c r="F69" s="423">
        <f>Sizing!F83</f>
        <v>86.450567374295701</v>
      </c>
      <c r="G69" s="423">
        <f>Sizing!G83</f>
        <v>864.50567374295633</v>
      </c>
      <c r="H69" s="423">
        <f>Sizing!H83</f>
        <v>2911.2297029808778</v>
      </c>
      <c r="I69" s="423">
        <f>Sizing!I83</f>
        <v>-754.03663855413072</v>
      </c>
      <c r="J69" s="189">
        <f>Sizing!J83</f>
        <v>291.12297029808792</v>
      </c>
      <c r="K69" s="128">
        <v>23</v>
      </c>
      <c r="L69" s="12">
        <f t="shared" si="5"/>
        <v>27.165355200000004</v>
      </c>
      <c r="M69" s="11">
        <f t="shared" si="5"/>
        <v>22.874016480000002</v>
      </c>
      <c r="N69" s="11">
        <f t="shared" si="5"/>
        <v>1.1811024000000039</v>
      </c>
      <c r="O69" s="152">
        <f t="shared" si="27"/>
        <v>27.086305906131926</v>
      </c>
      <c r="P69" s="8">
        <f t="shared" si="0"/>
        <v>4.1173229663999997</v>
      </c>
      <c r="Q69" s="12">
        <f t="shared" si="28"/>
        <v>4.8755350631037464</v>
      </c>
      <c r="R69" s="8">
        <f t="shared" si="1"/>
        <v>2.0586614831999999</v>
      </c>
      <c r="S69" s="12">
        <f t="shared" si="29"/>
        <v>2.4377675315518732</v>
      </c>
      <c r="T69" s="17">
        <f>Sizing!CN83</f>
        <v>0.25</v>
      </c>
      <c r="U69" s="17">
        <f>Sizing!CO83</f>
        <v>2.3622047244094495E-2</v>
      </c>
      <c r="V69" s="17">
        <f>Sizing!CP83</f>
        <v>1.5748031496062995E-2</v>
      </c>
      <c r="W69" s="128">
        <f t="shared" si="6"/>
        <v>3.0224609670856709E-3</v>
      </c>
      <c r="X69" s="2">
        <f t="shared" si="7"/>
        <v>7.2254596295506844E-4</v>
      </c>
      <c r="Y69" s="2">
        <f t="shared" si="8"/>
        <v>3.7450069300407392E-3</v>
      </c>
      <c r="Z69" s="216">
        <f t="shared" si="30"/>
        <v>8.4530238771712923E-2</v>
      </c>
      <c r="AA69" s="138">
        <f t="shared" si="31"/>
        <v>2.0207699433425954E-2</v>
      </c>
      <c r="AB69" s="17">
        <f t="shared" si="32"/>
        <v>0.10473793820513887</v>
      </c>
      <c r="AC69" s="311">
        <f t="shared" si="33"/>
        <v>8.3072820861855801E-2</v>
      </c>
      <c r="AD69" s="316">
        <f t="shared" si="34"/>
        <v>1.9859290822504816E-2</v>
      </c>
      <c r="AE69" s="21">
        <f t="shared" si="35"/>
        <v>0.1029321116843606</v>
      </c>
      <c r="AF69" s="170">
        <f>Sizing!DU83</f>
        <v>0.26897785437563354</v>
      </c>
      <c r="AG69" s="170">
        <f>Sizing!DV83</f>
        <v>0.51863074954695232</v>
      </c>
      <c r="AH69" s="170">
        <f>Sizing!DW83</f>
        <v>0.26897785437563354</v>
      </c>
      <c r="AI69" s="272">
        <f>Sizing!DX83</f>
        <v>0.51863074954695232</v>
      </c>
      <c r="AJ69" s="216">
        <f>Sizing!GJ83</f>
        <v>0.25</v>
      </c>
      <c r="AK69" s="216">
        <f>Sizing!GK83</f>
        <v>2.3622047244094495E-2</v>
      </c>
      <c r="AL69" s="17">
        <f>Sizing!GL83</f>
        <v>2.3622047244094495E-2</v>
      </c>
      <c r="AM69" s="216">
        <f t="shared" si="9"/>
        <v>3.6269531605028051E-3</v>
      </c>
      <c r="AN69" s="138">
        <f t="shared" si="10"/>
        <v>7.2254596295506844E-4</v>
      </c>
      <c r="AO69" s="138">
        <f t="shared" si="11"/>
        <v>4.3494991234578739E-3</v>
      </c>
      <c r="AP69" s="311">
        <f t="shared" si="36"/>
        <v>1.7683337306266377E-2</v>
      </c>
      <c r="AQ69" s="11">
        <f t="shared" si="37"/>
        <v>3.522798177091497E-3</v>
      </c>
      <c r="AR69" s="21">
        <f t="shared" si="38"/>
        <v>2.1206135483357876E-2</v>
      </c>
      <c r="AS69" s="11">
        <f t="shared" si="12"/>
        <v>1.9511402205024259E-2</v>
      </c>
      <c r="AT69" s="21">
        <f t="shared" si="39"/>
        <v>1.9511402205024259E-2</v>
      </c>
      <c r="AU69" s="170">
        <f>Sizing!JC83</f>
        <v>4.2410538734210714E-3</v>
      </c>
      <c r="AV69" s="272">
        <f>Sizing!JD83</f>
        <v>6.5123374247815752E-2</v>
      </c>
      <c r="AW69" s="170">
        <f>Sizing!JC83</f>
        <v>4.2410538734210714E-3</v>
      </c>
      <c r="AX69" s="272">
        <f>Sizing!JD83</f>
        <v>6.5123374247815752E-2</v>
      </c>
      <c r="AY69" s="216">
        <f>Sizing!IT83</f>
        <v>0.25</v>
      </c>
      <c r="AZ69" s="216">
        <f>Sizing!IU83</f>
        <v>1.5748031496062995E-2</v>
      </c>
      <c r="BA69" s="17">
        <f>Sizing!IV83</f>
        <v>1.5748031496062995E-2</v>
      </c>
      <c r="BB69" s="216">
        <f t="shared" si="13"/>
        <v>2.4179687736685367E-3</v>
      </c>
      <c r="BC69" s="138">
        <f t="shared" si="14"/>
        <v>7.2254596295506844E-4</v>
      </c>
      <c r="BD69" s="138">
        <f t="shared" si="15"/>
        <v>3.1405147366236051E-3</v>
      </c>
      <c r="BE69" s="311">
        <f t="shared" si="16"/>
        <v>5.8944457687554585E-3</v>
      </c>
      <c r="BF69" s="11">
        <f t="shared" si="17"/>
        <v>1.7613990885457485E-3</v>
      </c>
      <c r="BG69" s="21">
        <f t="shared" si="18"/>
        <v>7.6558448573012068E-3</v>
      </c>
      <c r="BH69" s="21">
        <f t="shared" si="19"/>
        <v>3.0764208484589171E-4</v>
      </c>
      <c r="BI69" s="21">
        <f t="shared" si="20"/>
        <v>3.0764208484589171E-4</v>
      </c>
      <c r="BJ69" s="561"/>
      <c r="BK69">
        <f t="shared" si="21"/>
        <v>0.95308402000000003</v>
      </c>
      <c r="BL69">
        <f t="shared" si="22"/>
        <v>0.95308402000000003</v>
      </c>
      <c r="BM69">
        <f>C69*'Inputs-Imperial'!$E$12</f>
        <v>0.47654201000000002</v>
      </c>
      <c r="BN69">
        <f>C69*'Inputs-Imperial'!$E$12</f>
        <v>0.47654201000000002</v>
      </c>
      <c r="BO69">
        <f>C69*'Inputs-Imperial'!$E$12</f>
        <v>0.47654201000000002</v>
      </c>
      <c r="BP69">
        <f>C69*'Weight '!$E$15</f>
        <v>0.95308402000000003</v>
      </c>
      <c r="BQ69">
        <f>C69*'Weight '!$E$15</f>
        <v>0.95308402000000003</v>
      </c>
      <c r="BR69">
        <f>C69*'Weight '!$E$15</f>
        <v>0.95308402000000003</v>
      </c>
      <c r="BS69">
        <f t="shared" si="23"/>
        <v>0.23451170696224294</v>
      </c>
      <c r="BT69" s="564">
        <f t="shared" si="24"/>
        <v>0.27617011880989883</v>
      </c>
      <c r="BU69">
        <f t="shared" si="40"/>
        <v>0.84915670085100192</v>
      </c>
    </row>
    <row r="70" spans="1:73" x14ac:dyDescent="0.25">
      <c r="A70" s="186">
        <v>24</v>
      </c>
      <c r="B70" s="187">
        <f>A70/100*'Inputs-Imperial'!$E$5</f>
        <v>2.3622048000000002</v>
      </c>
      <c r="C70" s="188">
        <f>'Inputs-Imperial'!$E$10+('Inputs-Imperial'!$E$9-'Inputs-Imperial'!$E$10)*(100-A70)/100</f>
        <v>1.89632552</v>
      </c>
      <c r="D70" s="187">
        <f t="shared" si="25"/>
        <v>9.8425199999999879E-2</v>
      </c>
      <c r="E70" s="188">
        <f t="shared" si="26"/>
        <v>0.18713059457085579</v>
      </c>
      <c r="F70" s="423">
        <f>Sizing!F84</f>
        <v>84.997921730907734</v>
      </c>
      <c r="G70" s="423">
        <f>Sizing!G84</f>
        <v>849.9792173090766</v>
      </c>
      <c r="H70" s="423">
        <f>Sizing!H84</f>
        <v>2826.1405591415928</v>
      </c>
      <c r="I70" s="423">
        <f>Sizing!I84</f>
        <v>-738.36142705554573</v>
      </c>
      <c r="J70" s="189">
        <f>Sizing!J84</f>
        <v>282.61405591415939</v>
      </c>
      <c r="K70" s="128">
        <v>24</v>
      </c>
      <c r="L70" s="12">
        <f t="shared" si="5"/>
        <v>28.346457600000001</v>
      </c>
      <c r="M70" s="11">
        <f t="shared" si="5"/>
        <v>22.755906240000002</v>
      </c>
      <c r="N70" s="11">
        <f t="shared" si="5"/>
        <v>1.1811023999999986</v>
      </c>
      <c r="O70" s="152">
        <f t="shared" si="27"/>
        <v>26.946805618203236</v>
      </c>
      <c r="P70" s="8">
        <f t="shared" si="0"/>
        <v>4.0960631232000004</v>
      </c>
      <c r="Q70" s="12">
        <f t="shared" si="28"/>
        <v>4.8504250112765819</v>
      </c>
      <c r="R70" s="8">
        <f t="shared" si="1"/>
        <v>2.0480315616000002</v>
      </c>
      <c r="S70" s="12">
        <f t="shared" si="29"/>
        <v>2.4252125056382909</v>
      </c>
      <c r="T70" s="17">
        <f>Sizing!CN84</f>
        <v>0.25</v>
      </c>
      <c r="U70" s="17">
        <f>Sizing!CO84</f>
        <v>2.3622047244094495E-2</v>
      </c>
      <c r="V70" s="17">
        <f>Sizing!CP84</f>
        <v>1.5748031496062995E-2</v>
      </c>
      <c r="W70" s="128">
        <f t="shared" si="6"/>
        <v>3.0224609670856709E-3</v>
      </c>
      <c r="X70" s="2">
        <f t="shared" si="7"/>
        <v>7.2254596295506844E-4</v>
      </c>
      <c r="Y70" s="2">
        <f t="shared" si="8"/>
        <v>3.7450069300407392E-3</v>
      </c>
      <c r="Z70" s="216">
        <f t="shared" si="30"/>
        <v>8.4094889902502024E-2</v>
      </c>
      <c r="AA70" s="138">
        <f t="shared" si="31"/>
        <v>2.0103625444927536E-2</v>
      </c>
      <c r="AB70" s="17">
        <f t="shared" si="32"/>
        <v>0.10419851534742955</v>
      </c>
      <c r="AC70" s="311">
        <f t="shared" si="33"/>
        <v>8.2644978007631292E-2</v>
      </c>
      <c r="AD70" s="316">
        <f t="shared" si="34"/>
        <v>1.9757011213118441E-2</v>
      </c>
      <c r="AE70" s="21">
        <f t="shared" si="35"/>
        <v>0.10240198922074974</v>
      </c>
      <c r="AF70" s="170">
        <f>Sizing!DU84</f>
        <v>0.26897785437563354</v>
      </c>
      <c r="AG70" s="170">
        <f>Sizing!DV84</f>
        <v>0.51863074954695232</v>
      </c>
      <c r="AH70" s="170">
        <f>Sizing!DW84</f>
        <v>0.26897785437563354</v>
      </c>
      <c r="AI70" s="272">
        <f>Sizing!DX84</f>
        <v>0.51863074954695232</v>
      </c>
      <c r="AJ70" s="216">
        <f>Sizing!GJ84</f>
        <v>0.25</v>
      </c>
      <c r="AK70" s="216">
        <f>Sizing!GK84</f>
        <v>2.3622047244094495E-2</v>
      </c>
      <c r="AL70" s="17">
        <f>Sizing!GL84</f>
        <v>2.3622047244094495E-2</v>
      </c>
      <c r="AM70" s="216">
        <f t="shared" si="9"/>
        <v>3.6269531605028051E-3</v>
      </c>
      <c r="AN70" s="138">
        <f t="shared" si="10"/>
        <v>7.2254596295506844E-4</v>
      </c>
      <c r="AO70" s="138">
        <f t="shared" si="11"/>
        <v>4.3494991234578739E-3</v>
      </c>
      <c r="AP70" s="311">
        <f t="shared" si="36"/>
        <v>1.7592264324431454E-2</v>
      </c>
      <c r="AQ70" s="11">
        <f t="shared" si="37"/>
        <v>3.5046550105141865E-3</v>
      </c>
      <c r="AR70" s="21">
        <f t="shared" si="38"/>
        <v>2.1096919334945639E-2</v>
      </c>
      <c r="AS70" s="11">
        <f t="shared" si="12"/>
        <v>1.9511402205024168E-2</v>
      </c>
      <c r="AT70" s="21">
        <f t="shared" si="39"/>
        <v>1.9511402205024168E-2</v>
      </c>
      <c r="AU70" s="170">
        <f>Sizing!JC84</f>
        <v>4.2410538734210714E-3</v>
      </c>
      <c r="AV70" s="272">
        <f>Sizing!JD84</f>
        <v>6.5123374247815752E-2</v>
      </c>
      <c r="AW70" s="170">
        <f>Sizing!JC84</f>
        <v>4.2410538734210714E-3</v>
      </c>
      <c r="AX70" s="272">
        <f>Sizing!JD84</f>
        <v>6.5123374247815752E-2</v>
      </c>
      <c r="AY70" s="216">
        <f>Sizing!IT84</f>
        <v>0.25</v>
      </c>
      <c r="AZ70" s="216">
        <f>Sizing!IU84</f>
        <v>1.5748031496062995E-2</v>
      </c>
      <c r="BA70" s="17">
        <f>Sizing!IV84</f>
        <v>1.5748031496062995E-2</v>
      </c>
      <c r="BB70" s="216">
        <f t="shared" si="13"/>
        <v>2.4179687736685367E-3</v>
      </c>
      <c r="BC70" s="138">
        <f t="shared" si="14"/>
        <v>7.2254596295506844E-4</v>
      </c>
      <c r="BD70" s="138">
        <f t="shared" si="15"/>
        <v>3.1405147366236051E-3</v>
      </c>
      <c r="BE70" s="311">
        <f t="shared" si="16"/>
        <v>5.8640881081438176E-3</v>
      </c>
      <c r="BF70" s="11">
        <f t="shared" si="17"/>
        <v>1.7523275052570932E-3</v>
      </c>
      <c r="BG70" s="21">
        <f t="shared" si="18"/>
        <v>7.6164156134009104E-3</v>
      </c>
      <c r="BH70" s="21">
        <f t="shared" si="19"/>
        <v>3.0764208484589036E-4</v>
      </c>
      <c r="BI70" s="21">
        <f t="shared" si="20"/>
        <v>3.0764208484589036E-4</v>
      </c>
      <c r="BJ70" s="561"/>
      <c r="BK70">
        <f t="shared" si="21"/>
        <v>0.94816275999999999</v>
      </c>
      <c r="BL70">
        <f t="shared" si="22"/>
        <v>0.94816275999999999</v>
      </c>
      <c r="BM70">
        <f>C70*'Inputs-Imperial'!$E$12</f>
        <v>0.47408138</v>
      </c>
      <c r="BN70">
        <f>C70*'Inputs-Imperial'!$E$12</f>
        <v>0.47408138</v>
      </c>
      <c r="BO70">
        <f>C70*'Inputs-Imperial'!$E$12</f>
        <v>0.47408138</v>
      </c>
      <c r="BP70">
        <f>C70*'Weight '!$E$15</f>
        <v>0.94816275999999999</v>
      </c>
      <c r="BQ70">
        <f>C70*'Weight '!$E$15</f>
        <v>0.94816275999999999</v>
      </c>
      <c r="BR70">
        <f>C70*'Weight '!$E$15</f>
        <v>0.94816275999999999</v>
      </c>
      <c r="BS70">
        <f t="shared" si="23"/>
        <v>0.23219753741283156</v>
      </c>
      <c r="BT70" s="564">
        <f t="shared" si="24"/>
        <v>0.27495192809626601</v>
      </c>
      <c r="BU70">
        <f t="shared" si="40"/>
        <v>0.84450230635056578</v>
      </c>
    </row>
    <row r="71" spans="1:73" x14ac:dyDescent="0.25">
      <c r="A71" s="186">
        <v>25</v>
      </c>
      <c r="B71" s="187">
        <f>A71/100*'Inputs-Imperial'!$E$5</f>
        <v>2.4606300000000001</v>
      </c>
      <c r="C71" s="188">
        <f>'Inputs-Imperial'!$E$10+('Inputs-Imperial'!$E$9-'Inputs-Imperial'!$E$10)*(100-A71)/100</f>
        <v>1.8864830000000001</v>
      </c>
      <c r="D71" s="187">
        <f t="shared" si="25"/>
        <v>9.8425199999999879E-2</v>
      </c>
      <c r="E71" s="188">
        <f t="shared" si="26"/>
        <v>0.18616184257135177</v>
      </c>
      <c r="F71" s="423">
        <f>Sizing!F85</f>
        <v>83.550820994494572</v>
      </c>
      <c r="G71" s="423">
        <f>Sizing!G85</f>
        <v>835.50820994494495</v>
      </c>
      <c r="H71" s="423">
        <f>Sizing!H85</f>
        <v>2742.4811846821035</v>
      </c>
      <c r="I71" s="423">
        <f>Sizing!I85</f>
        <v>-722.80622254527884</v>
      </c>
      <c r="J71" s="189">
        <f>Sizing!J85</f>
        <v>274.24811846821046</v>
      </c>
      <c r="K71" s="128">
        <v>25</v>
      </c>
      <c r="L71" s="12">
        <f t="shared" si="5"/>
        <v>29.527560000000001</v>
      </c>
      <c r="M71" s="11">
        <f t="shared" si="5"/>
        <v>22.637796000000002</v>
      </c>
      <c r="N71" s="11">
        <f t="shared" si="5"/>
        <v>1.1811023999999986</v>
      </c>
      <c r="O71" s="152">
        <f t="shared" si="27"/>
        <v>26.807305330274652</v>
      </c>
      <c r="P71" s="8">
        <f t="shared" si="0"/>
        <v>4.0748032800000002</v>
      </c>
      <c r="Q71" s="12">
        <f t="shared" si="28"/>
        <v>4.8253149594494387</v>
      </c>
      <c r="R71" s="8">
        <f t="shared" si="1"/>
        <v>2.0374016400000001</v>
      </c>
      <c r="S71" s="12">
        <f t="shared" si="29"/>
        <v>2.4126574797247193</v>
      </c>
      <c r="T71" s="17">
        <f>Sizing!CN85</f>
        <v>0.25</v>
      </c>
      <c r="U71" s="17">
        <f>Sizing!CO85</f>
        <v>2.3622047244094495E-2</v>
      </c>
      <c r="V71" s="17">
        <f>Sizing!CP85</f>
        <v>1.5748031496062995E-2</v>
      </c>
      <c r="W71" s="128">
        <f t="shared" si="6"/>
        <v>3.0224609670856709E-3</v>
      </c>
      <c r="X71" s="2">
        <f t="shared" si="7"/>
        <v>7.2254596295506844E-4</v>
      </c>
      <c r="Y71" s="2">
        <f t="shared" si="8"/>
        <v>3.7450069300407392E-3</v>
      </c>
      <c r="Z71" s="216">
        <f t="shared" si="30"/>
        <v>8.3659541033291457E-2</v>
      </c>
      <c r="AA71" s="138">
        <f t="shared" si="31"/>
        <v>1.9999551456429201E-2</v>
      </c>
      <c r="AB71" s="17">
        <f t="shared" si="32"/>
        <v>0.10365909248972065</v>
      </c>
      <c r="AC71" s="311">
        <f t="shared" si="33"/>
        <v>8.2217135153407117E-2</v>
      </c>
      <c r="AD71" s="316">
        <f t="shared" si="34"/>
        <v>1.9654731603732146E-2</v>
      </c>
      <c r="AE71" s="21">
        <f t="shared" si="35"/>
        <v>0.10187186675713926</v>
      </c>
      <c r="AF71" s="170">
        <f>Sizing!DU85</f>
        <v>0.26897785437563354</v>
      </c>
      <c r="AG71" s="170">
        <f>Sizing!DV85</f>
        <v>0.51863074954695232</v>
      </c>
      <c r="AH71" s="170">
        <f>Sizing!DW85</f>
        <v>0.26897785437563354</v>
      </c>
      <c r="AI71" s="272">
        <f>Sizing!DX85</f>
        <v>0.51863074954695232</v>
      </c>
      <c r="AJ71" s="216">
        <f>Sizing!GJ85</f>
        <v>0.25</v>
      </c>
      <c r="AK71" s="216">
        <f>Sizing!GK85</f>
        <v>1.5748031496062995E-2</v>
      </c>
      <c r="AL71" s="17">
        <f>Sizing!GL85</f>
        <v>1.5748031496062995E-2</v>
      </c>
      <c r="AM71" s="216">
        <f t="shared" si="9"/>
        <v>2.4179687736685367E-3</v>
      </c>
      <c r="AN71" s="138">
        <f t="shared" si="10"/>
        <v>7.2254596295506844E-4</v>
      </c>
      <c r="AO71" s="138">
        <f t="shared" si="11"/>
        <v>3.1405147366236051E-3</v>
      </c>
      <c r="AP71" s="311">
        <f t="shared" si="36"/>
        <v>1.1667460895064404E-2</v>
      </c>
      <c r="AQ71" s="11">
        <f t="shared" si="37"/>
        <v>3.4865118439368916E-3</v>
      </c>
      <c r="AR71" s="21">
        <f t="shared" si="38"/>
        <v>1.5153972739001296E-2</v>
      </c>
      <c r="AS71" s="11">
        <f t="shared" si="12"/>
        <v>1.9511402205024168E-2</v>
      </c>
      <c r="AT71" s="21">
        <f t="shared" si="39"/>
        <v>1.9511402205024168E-2</v>
      </c>
      <c r="AU71" s="170">
        <f>Sizing!JC85</f>
        <v>4.2410538734210714E-3</v>
      </c>
      <c r="AV71" s="272">
        <f>Sizing!JD85</f>
        <v>6.5123374247815752E-2</v>
      </c>
      <c r="AW71" s="170">
        <f>Sizing!JC85</f>
        <v>4.2410538734210714E-3</v>
      </c>
      <c r="AX71" s="272">
        <f>Sizing!JD85</f>
        <v>6.5123374247815752E-2</v>
      </c>
      <c r="AY71" s="216">
        <f>Sizing!IT85</f>
        <v>0.25</v>
      </c>
      <c r="AZ71" s="216">
        <f>Sizing!IU85</f>
        <v>1.5748031496062995E-2</v>
      </c>
      <c r="BA71" s="17">
        <f>Sizing!IV85</f>
        <v>1.5748031496062995E-2</v>
      </c>
      <c r="BB71" s="216">
        <f t="shared" si="13"/>
        <v>2.4179687736685367E-3</v>
      </c>
      <c r="BC71" s="138">
        <f t="shared" si="14"/>
        <v>7.2254596295506844E-4</v>
      </c>
      <c r="BD71" s="138">
        <f t="shared" si="15"/>
        <v>3.1405147366236051E-3</v>
      </c>
      <c r="BE71" s="311">
        <f t="shared" si="16"/>
        <v>5.8337304475322019E-3</v>
      </c>
      <c r="BF71" s="11">
        <f t="shared" si="17"/>
        <v>1.7432559219684458E-3</v>
      </c>
      <c r="BG71" s="21">
        <f t="shared" si="18"/>
        <v>7.5769863695006479E-3</v>
      </c>
      <c r="BH71" s="21">
        <f t="shared" si="19"/>
        <v>3.0764208484589036E-4</v>
      </c>
      <c r="BI71" s="21">
        <f t="shared" si="20"/>
        <v>3.0764208484589036E-4</v>
      </c>
      <c r="BJ71" s="561"/>
      <c r="BK71">
        <f t="shared" si="21"/>
        <v>0.94324150000000007</v>
      </c>
      <c r="BL71">
        <f t="shared" si="22"/>
        <v>0.94324150000000007</v>
      </c>
      <c r="BM71">
        <f>C71*'Inputs-Imperial'!$E$12</f>
        <v>0.47162075000000003</v>
      </c>
      <c r="BN71">
        <f>C71*'Inputs-Imperial'!$E$12</f>
        <v>0.47162075000000003</v>
      </c>
      <c r="BO71">
        <f>C71*'Inputs-Imperial'!$E$12</f>
        <v>0.47162075000000003</v>
      </c>
      <c r="BP71">
        <f>C71*'Weight '!$E$15</f>
        <v>0.94324150000000007</v>
      </c>
      <c r="BQ71">
        <f>C71*'Weight '!$E$15</f>
        <v>0.94324150000000007</v>
      </c>
      <c r="BR71">
        <f>C71*'Weight '!$E$15</f>
        <v>0.94324150000000007</v>
      </c>
      <c r="BS71">
        <f t="shared" si="23"/>
        <v>0.22714351211985839</v>
      </c>
      <c r="BT71" s="564">
        <f t="shared" si="24"/>
        <v>0.26790000693510202</v>
      </c>
      <c r="BU71">
        <f t="shared" si="40"/>
        <v>0.8478667646129745</v>
      </c>
    </row>
    <row r="72" spans="1:73" x14ac:dyDescent="0.25">
      <c r="A72" s="186">
        <v>26</v>
      </c>
      <c r="B72" s="187">
        <f>A72/100*'Inputs-Imperial'!$E$5</f>
        <v>2.5590552</v>
      </c>
      <c r="C72" s="188">
        <f>'Inputs-Imperial'!$E$10+('Inputs-Imperial'!$E$9-'Inputs-Imperial'!$E$10)*(100-A72)/100</f>
        <v>1.8766404800000001</v>
      </c>
      <c r="D72" s="187">
        <f t="shared" si="25"/>
        <v>9.8425199999999879E-2</v>
      </c>
      <c r="E72" s="188">
        <f t="shared" si="26"/>
        <v>0.18519309057184777</v>
      </c>
      <c r="F72" s="423">
        <f>Sizing!F86</f>
        <v>82.1093498573955</v>
      </c>
      <c r="G72" s="423">
        <f>Sizing!G86</f>
        <v>821.09349857395432</v>
      </c>
      <c r="H72" s="423">
        <f>Sizing!H86</f>
        <v>2660.2461220166306</v>
      </c>
      <c r="I72" s="423">
        <f>Sizing!I86</f>
        <v>-707.3723828860775</v>
      </c>
      <c r="J72" s="189">
        <f>Sizing!J86</f>
        <v>266.02461220166316</v>
      </c>
      <c r="K72" s="128">
        <v>26</v>
      </c>
      <c r="L72" s="12">
        <f t="shared" si="5"/>
        <v>30.708662400000001</v>
      </c>
      <c r="M72" s="11">
        <f t="shared" si="5"/>
        <v>22.519685760000002</v>
      </c>
      <c r="N72" s="11">
        <f t="shared" si="5"/>
        <v>1.1811023999999986</v>
      </c>
      <c r="O72" s="152">
        <f t="shared" si="27"/>
        <v>26.667805042346082</v>
      </c>
      <c r="P72" s="8">
        <f t="shared" si="0"/>
        <v>4.0535434368000001</v>
      </c>
      <c r="Q72" s="12">
        <f t="shared" si="28"/>
        <v>4.8002049076222937</v>
      </c>
      <c r="R72" s="8">
        <f t="shared" si="1"/>
        <v>2.0267717184</v>
      </c>
      <c r="S72" s="12">
        <f t="shared" si="29"/>
        <v>2.4001024538111468</v>
      </c>
      <c r="T72" s="17">
        <f>Sizing!CN86</f>
        <v>0.25</v>
      </c>
      <c r="U72" s="17">
        <f>Sizing!CO86</f>
        <v>2.3622047244094495E-2</v>
      </c>
      <c r="V72" s="17">
        <f>Sizing!CP86</f>
        <v>1.5748031496062995E-2</v>
      </c>
      <c r="W72" s="128">
        <f t="shared" si="6"/>
        <v>3.0224609670856709E-3</v>
      </c>
      <c r="X72" s="2">
        <f t="shared" si="7"/>
        <v>7.2254596295506844E-4</v>
      </c>
      <c r="Y72" s="2">
        <f t="shared" si="8"/>
        <v>3.7450069300407392E-3</v>
      </c>
      <c r="Z72" s="216">
        <f t="shared" si="30"/>
        <v>8.3224192164080946E-2</v>
      </c>
      <c r="AA72" s="138">
        <f t="shared" si="31"/>
        <v>1.9895477467930876E-2</v>
      </c>
      <c r="AB72" s="17">
        <f t="shared" si="32"/>
        <v>0.10311966963201182</v>
      </c>
      <c r="AC72" s="311">
        <f t="shared" si="33"/>
        <v>8.1789292299182983E-2</v>
      </c>
      <c r="AD72" s="316">
        <f t="shared" si="34"/>
        <v>1.9552451994345858E-2</v>
      </c>
      <c r="AE72" s="21">
        <f t="shared" si="35"/>
        <v>0.10134174429352885</v>
      </c>
      <c r="AF72" s="170">
        <f>Sizing!DU86</f>
        <v>0.26897785437563354</v>
      </c>
      <c r="AG72" s="170">
        <f>Sizing!DV86</f>
        <v>0.51863074954695232</v>
      </c>
      <c r="AH72" s="170">
        <f>Sizing!DW86</f>
        <v>0.26897785437563354</v>
      </c>
      <c r="AI72" s="272">
        <f>Sizing!DX86</f>
        <v>0.51863074954695232</v>
      </c>
      <c r="AJ72" s="216">
        <f>Sizing!GJ86</f>
        <v>0.25</v>
      </c>
      <c r="AK72" s="216">
        <f>Sizing!GK86</f>
        <v>1.5748031496062995E-2</v>
      </c>
      <c r="AL72" s="17">
        <f>Sizing!GL86</f>
        <v>1.5748031496062995E-2</v>
      </c>
      <c r="AM72" s="216">
        <f t="shared" si="9"/>
        <v>2.4179687736685367E-3</v>
      </c>
      <c r="AN72" s="138">
        <f t="shared" si="10"/>
        <v>7.2254596295506844E-4</v>
      </c>
      <c r="AO72" s="138">
        <f t="shared" si="11"/>
        <v>3.1405147366236051E-3</v>
      </c>
      <c r="AP72" s="311">
        <f t="shared" si="36"/>
        <v>1.1606745573841169E-2</v>
      </c>
      <c r="AQ72" s="11">
        <f t="shared" si="37"/>
        <v>3.4683686773595954E-3</v>
      </c>
      <c r="AR72" s="21">
        <f t="shared" si="38"/>
        <v>1.5075114251200764E-2</v>
      </c>
      <c r="AS72" s="11">
        <f t="shared" si="12"/>
        <v>1.9511402205024168E-2</v>
      </c>
      <c r="AT72" s="21">
        <f t="shared" si="39"/>
        <v>1.9511402205024168E-2</v>
      </c>
      <c r="AU72" s="170">
        <f>Sizing!JC86</f>
        <v>4.2410538734210714E-3</v>
      </c>
      <c r="AV72" s="272">
        <f>Sizing!JD86</f>
        <v>6.5123374247815752E-2</v>
      </c>
      <c r="AW72" s="170">
        <f>Sizing!JC86</f>
        <v>4.2410538734210714E-3</v>
      </c>
      <c r="AX72" s="272">
        <f>Sizing!JD86</f>
        <v>6.5123374247815752E-2</v>
      </c>
      <c r="AY72" s="216">
        <f>Sizing!IT86</f>
        <v>0.25</v>
      </c>
      <c r="AZ72" s="216">
        <f>Sizing!IU86</f>
        <v>1.5748031496062995E-2</v>
      </c>
      <c r="BA72" s="17">
        <f>Sizing!IV86</f>
        <v>1.5748031496062995E-2</v>
      </c>
      <c r="BB72" s="216">
        <f t="shared" si="13"/>
        <v>2.4179687736685367E-3</v>
      </c>
      <c r="BC72" s="138">
        <f t="shared" si="14"/>
        <v>7.2254596295506844E-4</v>
      </c>
      <c r="BD72" s="138">
        <f t="shared" si="15"/>
        <v>3.1405147366236051E-3</v>
      </c>
      <c r="BE72" s="311">
        <f t="shared" si="16"/>
        <v>5.8033727869205845E-3</v>
      </c>
      <c r="BF72" s="11">
        <f t="shared" si="17"/>
        <v>1.7341843386797977E-3</v>
      </c>
      <c r="BG72" s="21">
        <f t="shared" si="18"/>
        <v>7.5375571256003819E-3</v>
      </c>
      <c r="BH72" s="21">
        <f t="shared" si="19"/>
        <v>3.0764208484589036E-4</v>
      </c>
      <c r="BI72" s="21">
        <f t="shared" si="20"/>
        <v>3.0764208484589036E-4</v>
      </c>
      <c r="BJ72" s="561"/>
      <c r="BK72">
        <f t="shared" si="21"/>
        <v>0.93832024000000003</v>
      </c>
      <c r="BL72">
        <f t="shared" si="22"/>
        <v>0.93832024000000003</v>
      </c>
      <c r="BM72">
        <f>C72*'Inputs-Imperial'!$E$12</f>
        <v>0.46916012000000001</v>
      </c>
      <c r="BN72">
        <f>C72*'Inputs-Imperial'!$E$12</f>
        <v>0.46916012000000001</v>
      </c>
      <c r="BO72">
        <f>C72*'Inputs-Imperial'!$E$12</f>
        <v>0.46916012000000001</v>
      </c>
      <c r="BP72">
        <f>C72*'Weight '!$E$15</f>
        <v>0.93832024000000003</v>
      </c>
      <c r="BQ72">
        <f>C72*'Weight '!$E$15</f>
        <v>0.93832024000000003</v>
      </c>
      <c r="BR72">
        <f>C72*'Weight '!$E$15</f>
        <v>0.93832024000000003</v>
      </c>
      <c r="BS72">
        <f t="shared" si="23"/>
        <v>0.22488084499709499</v>
      </c>
      <c r="BT72" s="564">
        <f t="shared" si="24"/>
        <v>0.26671217388208196</v>
      </c>
      <c r="BU72">
        <f t="shared" si="40"/>
        <v>0.84315928187259526</v>
      </c>
    </row>
    <row r="73" spans="1:73" x14ac:dyDescent="0.25">
      <c r="A73" s="186">
        <v>27</v>
      </c>
      <c r="B73" s="187">
        <f>A73/100*'Inputs-Imperial'!$E$5</f>
        <v>2.6574804000000003</v>
      </c>
      <c r="C73" s="188">
        <f>'Inputs-Imperial'!$E$10+('Inputs-Imperial'!$E$9-'Inputs-Imperial'!$E$10)*(100-A73)/100</f>
        <v>1.86679796</v>
      </c>
      <c r="D73" s="187">
        <f t="shared" si="25"/>
        <v>9.8425200000000324E-2</v>
      </c>
      <c r="E73" s="188">
        <f t="shared" si="26"/>
        <v>0.18422433857234463</v>
      </c>
      <c r="F73" s="423">
        <f>Sizing!F87</f>
        <v>80.673593692428213</v>
      </c>
      <c r="G73" s="423">
        <f>Sizing!G87</f>
        <v>806.73593692428153</v>
      </c>
      <c r="H73" s="423">
        <f>Sizing!H87</f>
        <v>2579.4298302007892</v>
      </c>
      <c r="I73" s="423">
        <f>Sizing!I87</f>
        <v>-692.06125924988567</v>
      </c>
      <c r="J73" s="189">
        <f>Sizing!J87</f>
        <v>257.942983020079</v>
      </c>
      <c r="K73" s="128">
        <v>27</v>
      </c>
      <c r="L73" s="12">
        <f t="shared" si="5"/>
        <v>31.889764800000002</v>
      </c>
      <c r="M73" s="11">
        <f t="shared" si="5"/>
        <v>22.401575520000002</v>
      </c>
      <c r="N73" s="11">
        <f t="shared" si="5"/>
        <v>1.1811024000000039</v>
      </c>
      <c r="O73" s="152">
        <f t="shared" si="27"/>
        <v>26.528304754417626</v>
      </c>
      <c r="P73" s="8">
        <f t="shared" si="0"/>
        <v>4.0322835935999999</v>
      </c>
      <c r="Q73" s="12">
        <f t="shared" si="28"/>
        <v>4.7750948557951727</v>
      </c>
      <c r="R73" s="8">
        <f t="shared" si="1"/>
        <v>2.0161417967999999</v>
      </c>
      <c r="S73" s="12">
        <f t="shared" si="29"/>
        <v>2.3875474278975863</v>
      </c>
      <c r="T73" s="17">
        <f>Sizing!CN87</f>
        <v>0.25</v>
      </c>
      <c r="U73" s="17">
        <f>Sizing!CO87</f>
        <v>2.3622047244094495E-2</v>
      </c>
      <c r="V73" s="17">
        <f>Sizing!CP87</f>
        <v>1.5748031496062995E-2</v>
      </c>
      <c r="W73" s="128">
        <f t="shared" si="6"/>
        <v>3.0224609670856709E-3</v>
      </c>
      <c r="X73" s="2">
        <f t="shared" si="7"/>
        <v>7.2254596295506844E-4</v>
      </c>
      <c r="Y73" s="2">
        <f t="shared" si="8"/>
        <v>3.7450069300407392E-3</v>
      </c>
      <c r="Z73" s="216">
        <f t="shared" si="30"/>
        <v>8.2788843294870781E-2</v>
      </c>
      <c r="AA73" s="138">
        <f t="shared" si="31"/>
        <v>1.9791403479432632E-2</v>
      </c>
      <c r="AB73" s="17">
        <f t="shared" si="32"/>
        <v>0.1025802467743034</v>
      </c>
      <c r="AC73" s="311">
        <f t="shared" si="33"/>
        <v>8.1361449444959211E-2</v>
      </c>
      <c r="AD73" s="316">
        <f t="shared" si="34"/>
        <v>1.9450172384959656E-2</v>
      </c>
      <c r="AE73" s="21">
        <f t="shared" si="35"/>
        <v>0.10081162182991886</v>
      </c>
      <c r="AF73" s="170">
        <f>Sizing!DU87</f>
        <v>0.26897785437563354</v>
      </c>
      <c r="AG73" s="170">
        <f>Sizing!DV87</f>
        <v>0.51863074954695232</v>
      </c>
      <c r="AH73" s="170">
        <f>Sizing!DW87</f>
        <v>0.26897785437563354</v>
      </c>
      <c r="AI73" s="272">
        <f>Sizing!DX87</f>
        <v>0.51863074954695232</v>
      </c>
      <c r="AJ73" s="216">
        <f>Sizing!GJ87</f>
        <v>0.25</v>
      </c>
      <c r="AK73" s="216">
        <f>Sizing!GK87</f>
        <v>1.5748031496062995E-2</v>
      </c>
      <c r="AL73" s="17">
        <f>Sizing!GL87</f>
        <v>1.5748031496062995E-2</v>
      </c>
      <c r="AM73" s="216">
        <f t="shared" si="9"/>
        <v>2.4179687736685367E-3</v>
      </c>
      <c r="AN73" s="138">
        <f t="shared" si="10"/>
        <v>7.2254596295506844E-4</v>
      </c>
      <c r="AO73" s="138">
        <f t="shared" si="11"/>
        <v>3.1405147366236051E-3</v>
      </c>
      <c r="AP73" s="311">
        <f t="shared" si="36"/>
        <v>1.1546030252617991E-2</v>
      </c>
      <c r="AQ73" s="11">
        <f t="shared" si="37"/>
        <v>3.4502255107823165E-3</v>
      </c>
      <c r="AR73" s="21">
        <f t="shared" si="38"/>
        <v>1.4996255763400308E-2</v>
      </c>
      <c r="AS73" s="11">
        <f t="shared" si="12"/>
        <v>1.9511402205024259E-2</v>
      </c>
      <c r="AT73" s="21">
        <f t="shared" si="39"/>
        <v>1.9511402205024259E-2</v>
      </c>
      <c r="AU73" s="170">
        <f>Sizing!JC87</f>
        <v>4.2410538734210714E-3</v>
      </c>
      <c r="AV73" s="272">
        <f>Sizing!JD87</f>
        <v>6.5123374247815752E-2</v>
      </c>
      <c r="AW73" s="170">
        <f>Sizing!JC87</f>
        <v>4.2410538734210714E-3</v>
      </c>
      <c r="AX73" s="272">
        <f>Sizing!JD87</f>
        <v>6.5123374247815752E-2</v>
      </c>
      <c r="AY73" s="216">
        <f>Sizing!IT87</f>
        <v>0.25</v>
      </c>
      <c r="AZ73" s="216">
        <f>Sizing!IU87</f>
        <v>1.5748031496062995E-2</v>
      </c>
      <c r="BA73" s="17">
        <f>Sizing!IV87</f>
        <v>1.5748031496062995E-2</v>
      </c>
      <c r="BB73" s="216">
        <f t="shared" si="13"/>
        <v>2.4179687736685367E-3</v>
      </c>
      <c r="BC73" s="138">
        <f t="shared" si="14"/>
        <v>7.2254596295506844E-4</v>
      </c>
      <c r="BD73" s="138">
        <f t="shared" si="15"/>
        <v>3.1405147366236051E-3</v>
      </c>
      <c r="BE73" s="311">
        <f t="shared" si="16"/>
        <v>5.7730151263089956E-3</v>
      </c>
      <c r="BF73" s="11">
        <f t="shared" si="17"/>
        <v>1.7251127553911583E-3</v>
      </c>
      <c r="BG73" s="21">
        <f t="shared" si="18"/>
        <v>7.4981278817001541E-3</v>
      </c>
      <c r="BH73" s="21">
        <f t="shared" si="19"/>
        <v>3.0764208484589171E-4</v>
      </c>
      <c r="BI73" s="21">
        <f t="shared" si="20"/>
        <v>3.0764208484589171E-4</v>
      </c>
      <c r="BJ73" s="561"/>
      <c r="BK73">
        <f t="shared" si="21"/>
        <v>0.93339897999999999</v>
      </c>
      <c r="BL73">
        <f t="shared" si="22"/>
        <v>0.93339897999999999</v>
      </c>
      <c r="BM73">
        <f>C73*'Inputs-Imperial'!$E$12</f>
        <v>0.46669948999999999</v>
      </c>
      <c r="BN73">
        <f>C73*'Inputs-Imperial'!$E$12</f>
        <v>0.46669948999999999</v>
      </c>
      <c r="BO73">
        <f>C73*'Inputs-Imperial'!$E$12</f>
        <v>0.46669948999999999</v>
      </c>
      <c r="BP73">
        <f>C73*'Weight '!$E$15</f>
        <v>0.93339897999999999</v>
      </c>
      <c r="BQ73">
        <f>C73*'Weight '!$E$15</f>
        <v>0.93339897999999999</v>
      </c>
      <c r="BR73">
        <f>C73*'Weight '!$E$15</f>
        <v>0.93339897999999999</v>
      </c>
      <c r="BS73">
        <f t="shared" si="23"/>
        <v>0.2226294810617919</v>
      </c>
      <c r="BT73" s="564">
        <f t="shared" si="24"/>
        <v>0.26552434082906307</v>
      </c>
      <c r="BU73">
        <f t="shared" si="40"/>
        <v>0.83845225024064496</v>
      </c>
    </row>
    <row r="74" spans="1:73" x14ac:dyDescent="0.25">
      <c r="A74" s="186">
        <v>28</v>
      </c>
      <c r="B74" s="187">
        <f>A74/100*'Inputs-Imperial'!$E$5</f>
        <v>2.7559056000000002</v>
      </c>
      <c r="C74" s="188">
        <f>'Inputs-Imperial'!$E$10+('Inputs-Imperial'!$E$9-'Inputs-Imperial'!$E$10)*(100-A74)/100</f>
        <v>1.8569554400000001</v>
      </c>
      <c r="D74" s="187">
        <f t="shared" si="25"/>
        <v>9.8425199999999879E-2</v>
      </c>
      <c r="E74" s="188">
        <f t="shared" si="26"/>
        <v>0.18325558657283977</v>
      </c>
      <c r="F74" s="423">
        <f>Sizing!F88</f>
        <v>79.243638589830752</v>
      </c>
      <c r="G74" s="423">
        <f>Sizing!G88</f>
        <v>792.43638589830698</v>
      </c>
      <c r="H74" s="423">
        <f>Sizing!H88</f>
        <v>2500.0266842618294</v>
      </c>
      <c r="I74" s="423">
        <f>Sizing!I88</f>
        <v>-676.87419634972912</v>
      </c>
      <c r="J74" s="189">
        <f>Sizing!J88</f>
        <v>250.00266842618305</v>
      </c>
      <c r="K74" s="128">
        <v>28</v>
      </c>
      <c r="L74" s="12">
        <f t="shared" si="5"/>
        <v>33.070867200000002</v>
      </c>
      <c r="M74" s="11">
        <f t="shared" si="5"/>
        <v>22.283465280000001</v>
      </c>
      <c r="N74" s="11">
        <f t="shared" si="5"/>
        <v>1.1811023999999986</v>
      </c>
      <c r="O74" s="152">
        <f t="shared" si="27"/>
        <v>26.388804466488928</v>
      </c>
      <c r="P74" s="8">
        <f t="shared" si="0"/>
        <v>4.0110237503999997</v>
      </c>
      <c r="Q74" s="12">
        <f t="shared" si="28"/>
        <v>4.7499848039680064</v>
      </c>
      <c r="R74" s="8">
        <f t="shared" si="1"/>
        <v>2.0055118751999998</v>
      </c>
      <c r="S74" s="12">
        <f t="shared" si="29"/>
        <v>2.3749924019840032</v>
      </c>
      <c r="T74" s="17">
        <f>Sizing!CN88</f>
        <v>0.25</v>
      </c>
      <c r="U74" s="17">
        <f>Sizing!CO88</f>
        <v>2.3622047244094495E-2</v>
      </c>
      <c r="V74" s="17">
        <f>Sizing!CP88</f>
        <v>1.5748031496062995E-2</v>
      </c>
      <c r="W74" s="128">
        <f t="shared" si="6"/>
        <v>3.0224609670856709E-3</v>
      </c>
      <c r="X74" s="2">
        <f t="shared" si="7"/>
        <v>7.2254596295506844E-4</v>
      </c>
      <c r="Y74" s="2">
        <f t="shared" si="8"/>
        <v>3.7450069300407392E-3</v>
      </c>
      <c r="Z74" s="216">
        <f t="shared" si="30"/>
        <v>8.2353494425659854E-2</v>
      </c>
      <c r="AA74" s="138">
        <f t="shared" si="31"/>
        <v>1.968732949093421E-2</v>
      </c>
      <c r="AB74" s="17">
        <f t="shared" si="32"/>
        <v>0.10204082391659407</v>
      </c>
      <c r="AC74" s="311">
        <f t="shared" si="33"/>
        <v>8.0933606590734689E-2</v>
      </c>
      <c r="AD74" s="316">
        <f t="shared" si="34"/>
        <v>1.9347892775573274E-2</v>
      </c>
      <c r="AE74" s="21">
        <f t="shared" si="35"/>
        <v>0.10028149936630795</v>
      </c>
      <c r="AF74" s="170">
        <f>Sizing!DU88</f>
        <v>0.26897785437563354</v>
      </c>
      <c r="AG74" s="170">
        <f>Sizing!DV88</f>
        <v>0.51863074954695232</v>
      </c>
      <c r="AH74" s="170">
        <f>Sizing!DW88</f>
        <v>0.26897785437563354</v>
      </c>
      <c r="AI74" s="272">
        <f>Sizing!DX88</f>
        <v>0.51863074954695232</v>
      </c>
      <c r="AJ74" s="216">
        <f>Sizing!GJ88</f>
        <v>0.25</v>
      </c>
      <c r="AK74" s="216">
        <f>Sizing!GK88</f>
        <v>1.5748031496062995E-2</v>
      </c>
      <c r="AL74" s="17">
        <f>Sizing!GL88</f>
        <v>1.5748031496062995E-2</v>
      </c>
      <c r="AM74" s="216">
        <f t="shared" si="9"/>
        <v>2.4179687736685367E-3</v>
      </c>
      <c r="AN74" s="138">
        <f t="shared" si="10"/>
        <v>7.2254596295506844E-4</v>
      </c>
      <c r="AO74" s="138">
        <f t="shared" si="11"/>
        <v>3.1405147366236051E-3</v>
      </c>
      <c r="AP74" s="311">
        <f t="shared" si="36"/>
        <v>1.1485314931394704E-2</v>
      </c>
      <c r="AQ74" s="11">
        <f t="shared" si="37"/>
        <v>3.4320823442050051E-3</v>
      </c>
      <c r="AR74" s="21">
        <f t="shared" si="38"/>
        <v>1.491739727559971E-2</v>
      </c>
      <c r="AS74" s="11">
        <f t="shared" si="12"/>
        <v>1.9511402205024168E-2</v>
      </c>
      <c r="AT74" s="21">
        <f t="shared" si="39"/>
        <v>1.9511402205024168E-2</v>
      </c>
      <c r="AU74" s="170">
        <f>Sizing!JC88</f>
        <v>4.2410538734210714E-3</v>
      </c>
      <c r="AV74" s="272">
        <f>Sizing!JD88</f>
        <v>6.5123374247815752E-2</v>
      </c>
      <c r="AW74" s="170">
        <f>Sizing!JC88</f>
        <v>4.2410538734210714E-3</v>
      </c>
      <c r="AX74" s="272">
        <f>Sizing!JD88</f>
        <v>6.5123374247815752E-2</v>
      </c>
      <c r="AY74" s="216">
        <f>Sizing!IT88</f>
        <v>0.25</v>
      </c>
      <c r="AZ74" s="216">
        <f>Sizing!IU88</f>
        <v>1.5748031496062995E-2</v>
      </c>
      <c r="BA74" s="17">
        <f>Sizing!IV88</f>
        <v>1.5748031496062995E-2</v>
      </c>
      <c r="BB74" s="216">
        <f t="shared" si="13"/>
        <v>2.4179687736685367E-3</v>
      </c>
      <c r="BC74" s="138">
        <f t="shared" si="14"/>
        <v>7.2254596295506844E-4</v>
      </c>
      <c r="BD74" s="138">
        <f t="shared" si="15"/>
        <v>3.1405147366236051E-3</v>
      </c>
      <c r="BE74" s="311">
        <f t="shared" si="16"/>
        <v>5.7426574656973522E-3</v>
      </c>
      <c r="BF74" s="11">
        <f t="shared" si="17"/>
        <v>1.7160411721025026E-3</v>
      </c>
      <c r="BG74" s="21">
        <f t="shared" si="18"/>
        <v>7.4586986377998552E-3</v>
      </c>
      <c r="BH74" s="21">
        <f t="shared" si="19"/>
        <v>3.0764208484589036E-4</v>
      </c>
      <c r="BI74" s="21">
        <f t="shared" si="20"/>
        <v>3.0764208484589036E-4</v>
      </c>
      <c r="BJ74" s="561"/>
      <c r="BK74">
        <f t="shared" si="21"/>
        <v>0.92847772000000006</v>
      </c>
      <c r="BL74">
        <f t="shared" si="22"/>
        <v>0.92847772000000006</v>
      </c>
      <c r="BM74">
        <f>C74*'Inputs-Imperial'!$E$12</f>
        <v>0.46423886000000003</v>
      </c>
      <c r="BN74">
        <f>C74*'Inputs-Imperial'!$E$12</f>
        <v>0.46423886000000003</v>
      </c>
      <c r="BO74">
        <f>C74*'Inputs-Imperial'!$E$12</f>
        <v>0.46423886000000003</v>
      </c>
      <c r="BP74">
        <f>C74*'Weight '!$E$15</f>
        <v>0.92847772000000006</v>
      </c>
      <c r="BQ74">
        <f>C74*'Weight '!$E$15</f>
        <v>0.92847772000000006</v>
      </c>
      <c r="BR74">
        <f>C74*'Weight '!$E$15</f>
        <v>0.92847772000000006</v>
      </c>
      <c r="BS74">
        <f t="shared" si="23"/>
        <v>0.22038942031394612</v>
      </c>
      <c r="BT74" s="564">
        <f t="shared" si="24"/>
        <v>0.26433650777604173</v>
      </c>
      <c r="BU74">
        <f t="shared" si="40"/>
        <v>0.83374567579848013</v>
      </c>
    </row>
    <row r="75" spans="1:73" x14ac:dyDescent="0.25">
      <c r="A75" s="186">
        <v>29</v>
      </c>
      <c r="B75" s="187">
        <f>A75/100*'Inputs-Imperial'!$E$5</f>
        <v>2.8543308000000001</v>
      </c>
      <c r="C75" s="188">
        <f>'Inputs-Imperial'!$E$10+('Inputs-Imperial'!$E$9-'Inputs-Imperial'!$E$10)*(100-A75)/100</f>
        <v>1.84711292</v>
      </c>
      <c r="D75" s="187">
        <f t="shared" si="25"/>
        <v>9.8425199999999879E-2</v>
      </c>
      <c r="E75" s="188">
        <f t="shared" si="26"/>
        <v>0.18228683457333578</v>
      </c>
      <c r="F75" s="423">
        <f>Sizing!F89</f>
        <v>77.81957139555432</v>
      </c>
      <c r="G75" s="423">
        <f>Sizing!G89</f>
        <v>778.19571395554271</v>
      </c>
      <c r="H75" s="423">
        <f>Sizing!H89</f>
        <v>2422.0309744925116</v>
      </c>
      <c r="I75" s="423">
        <f>Sizing!I89</f>
        <v>-661.81253267549937</v>
      </c>
      <c r="J75" s="189">
        <f>Sizing!J89</f>
        <v>242.20309744925126</v>
      </c>
      <c r="K75" s="128">
        <v>29</v>
      </c>
      <c r="L75" s="12">
        <f t="shared" si="5"/>
        <v>34.251969600000002</v>
      </c>
      <c r="M75" s="11">
        <f t="shared" si="5"/>
        <v>22.165355040000001</v>
      </c>
      <c r="N75" s="11">
        <f t="shared" si="5"/>
        <v>1.1811023999999986</v>
      </c>
      <c r="O75" s="152">
        <f t="shared" si="27"/>
        <v>26.249304178560354</v>
      </c>
      <c r="P75" s="8">
        <f t="shared" si="0"/>
        <v>3.9897639072</v>
      </c>
      <c r="Q75" s="12">
        <f t="shared" si="28"/>
        <v>4.7248747521408632</v>
      </c>
      <c r="R75" s="8">
        <f t="shared" si="1"/>
        <v>1.9948819536</v>
      </c>
      <c r="S75" s="12">
        <f t="shared" si="29"/>
        <v>2.3624373760704316</v>
      </c>
      <c r="T75" s="17">
        <f>Sizing!CN89</f>
        <v>0.25</v>
      </c>
      <c r="U75" s="17">
        <f>Sizing!CO89</f>
        <v>2.3622047244094495E-2</v>
      </c>
      <c r="V75" s="17">
        <f>Sizing!CP89</f>
        <v>1.5748031496062995E-2</v>
      </c>
      <c r="W75" s="128">
        <f t="shared" si="6"/>
        <v>3.0224609670856709E-3</v>
      </c>
      <c r="X75" s="2">
        <f t="shared" si="7"/>
        <v>7.2254596295506844E-4</v>
      </c>
      <c r="Y75" s="2">
        <f t="shared" si="8"/>
        <v>3.7450069300407392E-3</v>
      </c>
      <c r="Z75" s="216">
        <f t="shared" si="30"/>
        <v>8.1918145556449329E-2</v>
      </c>
      <c r="AA75" s="138">
        <f t="shared" si="31"/>
        <v>1.9583255502435882E-2</v>
      </c>
      <c r="AB75" s="17">
        <f t="shared" si="32"/>
        <v>0.10150140105888521</v>
      </c>
      <c r="AC75" s="311">
        <f t="shared" si="33"/>
        <v>8.0505763736510555E-2</v>
      </c>
      <c r="AD75" s="316">
        <f t="shared" si="34"/>
        <v>1.9245613166186989E-2</v>
      </c>
      <c r="AE75" s="21">
        <f t="shared" si="35"/>
        <v>9.9751376902697531E-2</v>
      </c>
      <c r="AF75" s="170">
        <f>Sizing!DU89</f>
        <v>0.26897785437563354</v>
      </c>
      <c r="AG75" s="170">
        <f>Sizing!DV89</f>
        <v>0.51863074954695232</v>
      </c>
      <c r="AH75" s="170">
        <f>Sizing!DW89</f>
        <v>0.26897785437563354</v>
      </c>
      <c r="AI75" s="272">
        <f>Sizing!DX89</f>
        <v>0.51863074954695232</v>
      </c>
      <c r="AJ75" s="216">
        <f>Sizing!GJ89</f>
        <v>0.25</v>
      </c>
      <c r="AK75" s="216">
        <f>Sizing!GK89</f>
        <v>1.5748031496062995E-2</v>
      </c>
      <c r="AL75" s="17">
        <f>Sizing!GL89</f>
        <v>1.5748031496062995E-2</v>
      </c>
      <c r="AM75" s="216">
        <f t="shared" si="9"/>
        <v>2.4179687736685367E-3</v>
      </c>
      <c r="AN75" s="138">
        <f t="shared" si="10"/>
        <v>7.2254596295506844E-4</v>
      </c>
      <c r="AO75" s="138">
        <f t="shared" si="11"/>
        <v>3.1405147366236051E-3</v>
      </c>
      <c r="AP75" s="311">
        <f t="shared" si="36"/>
        <v>1.1424599610171475E-2</v>
      </c>
      <c r="AQ75" s="11">
        <f t="shared" si="37"/>
        <v>3.4139391776277102E-3</v>
      </c>
      <c r="AR75" s="21">
        <f t="shared" si="38"/>
        <v>1.4838538787799184E-2</v>
      </c>
      <c r="AS75" s="11">
        <f t="shared" si="12"/>
        <v>1.9511402205024168E-2</v>
      </c>
      <c r="AT75" s="21">
        <f t="shared" si="39"/>
        <v>1.9511402205024168E-2</v>
      </c>
      <c r="AU75" s="170">
        <f>Sizing!JC89</f>
        <v>4.2410538734210714E-3</v>
      </c>
      <c r="AV75" s="272">
        <f>Sizing!JD89</f>
        <v>6.5123374247815752E-2</v>
      </c>
      <c r="AW75" s="170">
        <f>Sizing!JC89</f>
        <v>4.2410538734210714E-3</v>
      </c>
      <c r="AX75" s="272">
        <f>Sizing!JD89</f>
        <v>6.5123374247815752E-2</v>
      </c>
      <c r="AY75" s="216">
        <f>Sizing!IT89</f>
        <v>0.25</v>
      </c>
      <c r="AZ75" s="216">
        <f>Sizing!IU89</f>
        <v>1.5748031496062995E-2</v>
      </c>
      <c r="BA75" s="17">
        <f>Sizing!IV89</f>
        <v>1.5748031496062995E-2</v>
      </c>
      <c r="BB75" s="216">
        <f t="shared" si="13"/>
        <v>2.4179687736685367E-3</v>
      </c>
      <c r="BC75" s="138">
        <f t="shared" si="14"/>
        <v>7.2254596295506844E-4</v>
      </c>
      <c r="BD75" s="138">
        <f t="shared" si="15"/>
        <v>3.1405147366236051E-3</v>
      </c>
      <c r="BE75" s="311">
        <f t="shared" si="16"/>
        <v>5.7122998050857373E-3</v>
      </c>
      <c r="BF75" s="11">
        <f t="shared" si="17"/>
        <v>1.7069695888138551E-3</v>
      </c>
      <c r="BG75" s="21">
        <f t="shared" si="18"/>
        <v>7.4192693938995918E-3</v>
      </c>
      <c r="BH75" s="21">
        <f t="shared" si="19"/>
        <v>3.0764208484589036E-4</v>
      </c>
      <c r="BI75" s="21">
        <f t="shared" si="20"/>
        <v>3.0764208484589036E-4</v>
      </c>
      <c r="BJ75" s="561"/>
      <c r="BK75">
        <f t="shared" si="21"/>
        <v>0.92355646000000002</v>
      </c>
      <c r="BL75">
        <f t="shared" si="22"/>
        <v>0.92355646000000002</v>
      </c>
      <c r="BM75">
        <f>C75*'Inputs-Imperial'!$E$12</f>
        <v>0.46177823000000001</v>
      </c>
      <c r="BN75">
        <f>C75*'Inputs-Imperial'!$E$12</f>
        <v>0.46177823000000001</v>
      </c>
      <c r="BO75">
        <f>C75*'Inputs-Imperial'!$E$12</f>
        <v>0.46177823000000001</v>
      </c>
      <c r="BP75">
        <f>C75*'Weight '!$E$15</f>
        <v>0.92355646000000002</v>
      </c>
      <c r="BQ75">
        <f>C75*'Weight '!$E$15</f>
        <v>0.92355646000000002</v>
      </c>
      <c r="BR75">
        <f>C75*'Weight '!$E$15</f>
        <v>0.92355646000000002</v>
      </c>
      <c r="BS75">
        <f t="shared" si="23"/>
        <v>0.21816066275356077</v>
      </c>
      <c r="BT75" s="564">
        <f t="shared" si="24"/>
        <v>0.26314867472302167</v>
      </c>
      <c r="BU75">
        <f t="shared" si="40"/>
        <v>0.82903956473726026</v>
      </c>
    </row>
    <row r="76" spans="1:73" x14ac:dyDescent="0.25">
      <c r="A76" s="186">
        <v>30</v>
      </c>
      <c r="B76" s="187">
        <f>A76/100*'Inputs-Imperial'!$E$5</f>
        <v>2.9527559999999999</v>
      </c>
      <c r="C76" s="188">
        <f>'Inputs-Imperial'!$E$10+('Inputs-Imperial'!$E$9-'Inputs-Imperial'!$E$10)*(100-A76)/100</f>
        <v>1.8372704</v>
      </c>
      <c r="D76" s="187">
        <f t="shared" si="25"/>
        <v>9.8425199999999879E-2</v>
      </c>
      <c r="E76" s="188">
        <f t="shared" si="26"/>
        <v>0.18131808257383178</v>
      </c>
      <c r="F76" s="423">
        <f>Sizing!F90</f>
        <v>76.401479751004828</v>
      </c>
      <c r="G76" s="423">
        <f>Sizing!G90</f>
        <v>764.01479751004774</v>
      </c>
      <c r="H76" s="423">
        <f>Sizing!H90</f>
        <v>2345.4369057072945</v>
      </c>
      <c r="I76" s="423">
        <f>Sizing!I90</f>
        <v>-646.87760073419781</v>
      </c>
      <c r="J76" s="189">
        <f>Sizing!J90</f>
        <v>234.54369057072955</v>
      </c>
      <c r="K76" s="128">
        <v>30</v>
      </c>
      <c r="L76" s="12">
        <f t="shared" si="5"/>
        <v>35.433071999999996</v>
      </c>
      <c r="M76" s="11">
        <f t="shared" si="5"/>
        <v>22.047244800000001</v>
      </c>
      <c r="N76" s="11">
        <f t="shared" si="5"/>
        <v>1.1811023999999986</v>
      </c>
      <c r="O76" s="152">
        <f t="shared" si="27"/>
        <v>26.109803890631778</v>
      </c>
      <c r="P76" s="8">
        <f t="shared" si="0"/>
        <v>3.9685040640000002</v>
      </c>
      <c r="Q76" s="12">
        <f t="shared" si="28"/>
        <v>4.69976470031372</v>
      </c>
      <c r="R76" s="8">
        <f t="shared" si="1"/>
        <v>1.9842520320000001</v>
      </c>
      <c r="S76" s="12">
        <f t="shared" si="29"/>
        <v>2.34988235015686</v>
      </c>
      <c r="T76" s="17">
        <f>Sizing!CN90</f>
        <v>0.25</v>
      </c>
      <c r="U76" s="17">
        <f>Sizing!CO90</f>
        <v>2.3622047244094495E-2</v>
      </c>
      <c r="V76" s="17">
        <f>Sizing!CP90</f>
        <v>1.5748031496062995E-2</v>
      </c>
      <c r="W76" s="128">
        <f t="shared" si="6"/>
        <v>3.0224609670856709E-3</v>
      </c>
      <c r="X76" s="2">
        <f t="shared" si="7"/>
        <v>7.2254596295506844E-4</v>
      </c>
      <c r="Y76" s="2">
        <f t="shared" si="8"/>
        <v>3.7450069300407392E-3</v>
      </c>
      <c r="Z76" s="216">
        <f t="shared" si="30"/>
        <v>8.148279668723879E-2</v>
      </c>
      <c r="AA76" s="138">
        <f t="shared" si="31"/>
        <v>1.947918151393755E-2</v>
      </c>
      <c r="AB76" s="17">
        <f t="shared" si="32"/>
        <v>0.10096197820117633</v>
      </c>
      <c r="AC76" s="311">
        <f t="shared" si="33"/>
        <v>8.0077920882286394E-2</v>
      </c>
      <c r="AD76" s="316">
        <f t="shared" si="34"/>
        <v>1.9143333556800698E-2</v>
      </c>
      <c r="AE76" s="21">
        <f t="shared" si="35"/>
        <v>9.9221254439087095E-2</v>
      </c>
      <c r="AF76" s="170">
        <f>Sizing!DU90</f>
        <v>0.20712205586855234</v>
      </c>
      <c r="AG76" s="170">
        <f>Sizing!DV90</f>
        <v>0.45510664230326536</v>
      </c>
      <c r="AH76" s="170">
        <f>Sizing!DW90</f>
        <v>0.20712205586855234</v>
      </c>
      <c r="AI76" s="272">
        <f>Sizing!DX90</f>
        <v>0.45510664230326536</v>
      </c>
      <c r="AJ76" s="216">
        <f>Sizing!GJ90</f>
        <v>0.25</v>
      </c>
      <c r="AK76" s="216">
        <f>Sizing!GK90</f>
        <v>1.5748031496062995E-2</v>
      </c>
      <c r="AL76" s="17">
        <f>Sizing!GL90</f>
        <v>1.5748031496062995E-2</v>
      </c>
      <c r="AM76" s="216">
        <f t="shared" si="9"/>
        <v>2.4179687736685367E-3</v>
      </c>
      <c r="AN76" s="138">
        <f t="shared" si="10"/>
        <v>7.2254596295506844E-4</v>
      </c>
      <c r="AO76" s="138">
        <f t="shared" si="11"/>
        <v>3.1405147366236051E-3</v>
      </c>
      <c r="AP76" s="311">
        <f t="shared" si="36"/>
        <v>1.1363884288948243E-2</v>
      </c>
      <c r="AQ76" s="11">
        <f t="shared" si="37"/>
        <v>3.3957960110504153E-3</v>
      </c>
      <c r="AR76" s="21">
        <f t="shared" si="38"/>
        <v>1.4759680299998659E-2</v>
      </c>
      <c r="AS76" s="11">
        <f t="shared" si="12"/>
        <v>1.5024440383627744E-2</v>
      </c>
      <c r="AT76" s="21">
        <f t="shared" si="39"/>
        <v>1.5024440383627744E-2</v>
      </c>
      <c r="AU76" s="170">
        <f>Sizing!JC90</f>
        <v>3.3006550714747922E-3</v>
      </c>
      <c r="AV76" s="272">
        <f>Sizing!JD90</f>
        <v>5.7451327847794713E-2</v>
      </c>
      <c r="AW76" s="170">
        <f>Sizing!JC90</f>
        <v>3.3006550714747922E-3</v>
      </c>
      <c r="AX76" s="272">
        <f>Sizing!JD90</f>
        <v>5.7451327847794713E-2</v>
      </c>
      <c r="AY76" s="216">
        <f>Sizing!IT90</f>
        <v>0.25</v>
      </c>
      <c r="AZ76" s="216">
        <f>Sizing!IU90</f>
        <v>1.5748031496062995E-2</v>
      </c>
      <c r="BA76" s="17">
        <f>Sizing!IV90</f>
        <v>1.5748031496062995E-2</v>
      </c>
      <c r="BB76" s="216">
        <f t="shared" si="13"/>
        <v>2.4179687736685367E-3</v>
      </c>
      <c r="BC76" s="138">
        <f t="shared" si="14"/>
        <v>7.2254596295506844E-4</v>
      </c>
      <c r="BD76" s="138">
        <f t="shared" si="15"/>
        <v>3.1405147366236051E-3</v>
      </c>
      <c r="BE76" s="311">
        <f t="shared" si="16"/>
        <v>5.6819421444741216E-3</v>
      </c>
      <c r="BF76" s="11">
        <f t="shared" si="17"/>
        <v>1.6978980055252077E-3</v>
      </c>
      <c r="BG76" s="21">
        <f t="shared" si="18"/>
        <v>7.3798401499993293E-3</v>
      </c>
      <c r="BH76" s="21">
        <f t="shared" si="19"/>
        <v>2.3942643452594753E-4</v>
      </c>
      <c r="BI76" s="21">
        <f t="shared" si="20"/>
        <v>2.3942643452594753E-4</v>
      </c>
      <c r="BJ76" s="561"/>
      <c r="BK76">
        <f t="shared" si="21"/>
        <v>0.91863519999999999</v>
      </c>
      <c r="BL76">
        <f t="shared" si="22"/>
        <v>0.91863519999999999</v>
      </c>
      <c r="BM76">
        <f>C76*'Inputs-Imperial'!$E$12</f>
        <v>0.45931759999999999</v>
      </c>
      <c r="BN76">
        <f>C76*'Inputs-Imperial'!$E$12</f>
        <v>0.45931759999999999</v>
      </c>
      <c r="BO76">
        <f>C76*'Inputs-Imperial'!$E$12</f>
        <v>0.45931759999999999</v>
      </c>
      <c r="BP76">
        <f>C76*'Weight '!$E$15</f>
        <v>0.91863519999999999</v>
      </c>
      <c r="BQ76">
        <f>C76*'Weight '!$E$15</f>
        <v>0.91863519999999999</v>
      </c>
      <c r="BR76">
        <f>C76*'Weight '!$E$15</f>
        <v>0.91863519999999999</v>
      </c>
      <c r="BS76">
        <f t="shared" si="23"/>
        <v>0.21169599671529427</v>
      </c>
      <c r="BT76" s="564">
        <f t="shared" si="24"/>
        <v>0.25285048672656885</v>
      </c>
      <c r="BU76">
        <f t="shared" si="40"/>
        <v>0.83723784540000179</v>
      </c>
    </row>
    <row r="77" spans="1:73" x14ac:dyDescent="0.25">
      <c r="A77" s="186">
        <v>31</v>
      </c>
      <c r="B77" s="187">
        <f>A77/100*'Inputs-Imperial'!$E$5</f>
        <v>3.0511812000000003</v>
      </c>
      <c r="C77" s="188">
        <f>'Inputs-Imperial'!$E$10+('Inputs-Imperial'!$E$9-'Inputs-Imperial'!$E$10)*(100-A77)/100</f>
        <v>1.8274278800000001</v>
      </c>
      <c r="D77" s="187">
        <f t="shared" si="25"/>
        <v>9.8425200000000324E-2</v>
      </c>
      <c r="E77" s="188">
        <f t="shared" si="26"/>
        <v>0.18034933057432859</v>
      </c>
      <c r="F77" s="423">
        <f>Sizing!F91</f>
        <v>74.989452134337839</v>
      </c>
      <c r="G77" s="423">
        <f>Sizing!G91</f>
        <v>749.89452134337785</v>
      </c>
      <c r="H77" s="423">
        <f>Sizing!H91</f>
        <v>2270.2385964594082</v>
      </c>
      <c r="I77" s="423">
        <f>Sizing!I91</f>
        <v>-632.07072729523384</v>
      </c>
      <c r="J77" s="189">
        <f>Sizing!J91</f>
        <v>227.02385964594092</v>
      </c>
      <c r="K77" s="128">
        <v>31</v>
      </c>
      <c r="L77" s="12">
        <f t="shared" si="5"/>
        <v>36.614174400000003</v>
      </c>
      <c r="M77" s="11">
        <f t="shared" si="5"/>
        <v>21.929134560000001</v>
      </c>
      <c r="N77" s="11">
        <f t="shared" si="5"/>
        <v>1.1811024000000039</v>
      </c>
      <c r="O77" s="152">
        <f t="shared" si="27"/>
        <v>25.970303602703318</v>
      </c>
      <c r="P77" s="8">
        <f t="shared" si="0"/>
        <v>3.9472442208</v>
      </c>
      <c r="Q77" s="12">
        <f t="shared" si="28"/>
        <v>4.6746546484865972</v>
      </c>
      <c r="R77" s="8">
        <f t="shared" si="1"/>
        <v>1.9736221104</v>
      </c>
      <c r="S77" s="12">
        <f t="shared" si="29"/>
        <v>2.3373273242432986</v>
      </c>
      <c r="T77" s="17">
        <f>Sizing!CN91</f>
        <v>0.25</v>
      </c>
      <c r="U77" s="17">
        <f>Sizing!CO91</f>
        <v>2.3622047244094495E-2</v>
      </c>
      <c r="V77" s="17">
        <f>Sizing!CP91</f>
        <v>1.5748031496062995E-2</v>
      </c>
      <c r="W77" s="128">
        <f t="shared" si="6"/>
        <v>3.0224609670856709E-3</v>
      </c>
      <c r="X77" s="2">
        <f t="shared" si="7"/>
        <v>7.2254596295506844E-4</v>
      </c>
      <c r="Y77" s="2">
        <f t="shared" si="8"/>
        <v>3.7450069300407392E-3</v>
      </c>
      <c r="Z77" s="216">
        <f t="shared" si="30"/>
        <v>8.1047447818028626E-2</v>
      </c>
      <c r="AA77" s="138">
        <f t="shared" si="31"/>
        <v>1.9375107525439309E-2</v>
      </c>
      <c r="AB77" s="17">
        <f t="shared" si="32"/>
        <v>0.10042255534346792</v>
      </c>
      <c r="AC77" s="311">
        <f t="shared" si="33"/>
        <v>7.9650078028062607E-2</v>
      </c>
      <c r="AD77" s="316">
        <f t="shared" si="34"/>
        <v>1.9041053947414493E-2</v>
      </c>
      <c r="AE77" s="21">
        <f t="shared" si="35"/>
        <v>9.8691131975477103E-2</v>
      </c>
      <c r="AF77" s="170">
        <f>Sizing!DU91</f>
        <v>0.20712205586855234</v>
      </c>
      <c r="AG77" s="170">
        <f>Sizing!DV91</f>
        <v>0.45510664230326536</v>
      </c>
      <c r="AH77" s="170">
        <f>Sizing!DW91</f>
        <v>0.20712205586855234</v>
      </c>
      <c r="AI77" s="272">
        <f>Sizing!DX91</f>
        <v>0.45510664230326536</v>
      </c>
      <c r="AJ77" s="216">
        <f>Sizing!GJ91</f>
        <v>0.25</v>
      </c>
      <c r="AK77" s="216">
        <f>Sizing!GK91</f>
        <v>1.5748031496062995E-2</v>
      </c>
      <c r="AL77" s="17">
        <f>Sizing!GL91</f>
        <v>1.5748031496062995E-2</v>
      </c>
      <c r="AM77" s="216">
        <f t="shared" si="9"/>
        <v>2.4179687736685367E-3</v>
      </c>
      <c r="AN77" s="138">
        <f t="shared" si="10"/>
        <v>7.2254596295506844E-4</v>
      </c>
      <c r="AO77" s="138">
        <f t="shared" si="11"/>
        <v>3.1405147366236051E-3</v>
      </c>
      <c r="AP77" s="311">
        <f t="shared" si="36"/>
        <v>1.1303168967725062E-2</v>
      </c>
      <c r="AQ77" s="11">
        <f t="shared" si="37"/>
        <v>3.3776528444731352E-3</v>
      </c>
      <c r="AR77" s="21">
        <f t="shared" si="38"/>
        <v>1.4680821812198196E-2</v>
      </c>
      <c r="AS77" s="11">
        <f t="shared" si="12"/>
        <v>1.5024440383627814E-2</v>
      </c>
      <c r="AT77" s="21">
        <f t="shared" si="39"/>
        <v>1.5024440383627814E-2</v>
      </c>
      <c r="AU77" s="170">
        <f>Sizing!JC91</f>
        <v>3.3006550714747922E-3</v>
      </c>
      <c r="AV77" s="272">
        <f>Sizing!JD91</f>
        <v>5.7451327847794713E-2</v>
      </c>
      <c r="AW77" s="170">
        <f>Sizing!JC91</f>
        <v>3.3006550714747922E-3</v>
      </c>
      <c r="AX77" s="272">
        <f>Sizing!JD91</f>
        <v>5.7451327847794713E-2</v>
      </c>
      <c r="AY77" s="216">
        <f>Sizing!IT91</f>
        <v>0.25</v>
      </c>
      <c r="AZ77" s="216">
        <f>Sizing!IU91</f>
        <v>1.5748031496062995E-2</v>
      </c>
      <c r="BA77" s="17">
        <f>Sizing!IV91</f>
        <v>1.5748031496062995E-2</v>
      </c>
      <c r="BB77" s="216">
        <f t="shared" si="13"/>
        <v>2.4179687736685367E-3</v>
      </c>
      <c r="BC77" s="138">
        <f t="shared" si="14"/>
        <v>7.2254596295506844E-4</v>
      </c>
      <c r="BD77" s="138">
        <f t="shared" si="15"/>
        <v>3.1405147366236051E-3</v>
      </c>
      <c r="BE77" s="311">
        <f t="shared" si="16"/>
        <v>5.6515844838625311E-3</v>
      </c>
      <c r="BF77" s="11">
        <f t="shared" si="17"/>
        <v>1.6888264222365676E-3</v>
      </c>
      <c r="BG77" s="21">
        <f t="shared" si="18"/>
        <v>7.340410906099098E-3</v>
      </c>
      <c r="BH77" s="21">
        <f t="shared" si="19"/>
        <v>2.3942643452594858E-4</v>
      </c>
      <c r="BI77" s="21">
        <f t="shared" si="20"/>
        <v>2.3942643452594858E-4</v>
      </c>
      <c r="BJ77" s="561"/>
      <c r="BK77">
        <f t="shared" si="21"/>
        <v>0.91371394000000006</v>
      </c>
      <c r="BL77">
        <f t="shared" si="22"/>
        <v>0.91371394000000006</v>
      </c>
      <c r="BM77">
        <f>C77*'Inputs-Imperial'!$E$12</f>
        <v>0.45685697000000003</v>
      </c>
      <c r="BN77">
        <f>C77*'Inputs-Imperial'!$E$12</f>
        <v>0.45685697000000003</v>
      </c>
      <c r="BO77">
        <f>C77*'Inputs-Imperial'!$E$12</f>
        <v>0.45685697000000003</v>
      </c>
      <c r="BP77">
        <f>C77*'Weight '!$E$15</f>
        <v>0.91371394000000006</v>
      </c>
      <c r="BQ77">
        <f>C77*'Weight '!$E$15</f>
        <v>0.91371394000000006</v>
      </c>
      <c r="BR77">
        <f>C77*'Weight '!$E$15</f>
        <v>0.91371394000000006</v>
      </c>
      <c r="BS77">
        <f t="shared" si="23"/>
        <v>0.20951259844946424</v>
      </c>
      <c r="BT77" s="564">
        <f t="shared" si="24"/>
        <v>0.2516626536735499</v>
      </c>
      <c r="BU77">
        <f t="shared" si="40"/>
        <v>0.83251366617646183</v>
      </c>
    </row>
    <row r="78" spans="1:73" x14ac:dyDescent="0.25">
      <c r="A78" s="186">
        <v>32</v>
      </c>
      <c r="B78" s="187">
        <f>A78/100*'Inputs-Imperial'!$E$5</f>
        <v>3.1496064000000001</v>
      </c>
      <c r="C78" s="188">
        <f>'Inputs-Imperial'!$E$10+('Inputs-Imperial'!$E$9-'Inputs-Imperial'!$E$10)*(100-A78)/100</f>
        <v>1.81758536</v>
      </c>
      <c r="D78" s="187">
        <f t="shared" si="25"/>
        <v>9.8425199999999879E-2</v>
      </c>
      <c r="E78" s="188">
        <f t="shared" si="26"/>
        <v>0.17938057857482378</v>
      </c>
      <c r="F78" s="423">
        <f>Sizing!F92</f>
        <v>73.583577903419553</v>
      </c>
      <c r="G78" s="423">
        <f>Sizing!G92</f>
        <v>735.83577903419507</v>
      </c>
      <c r="H78" s="423">
        <f>Sizing!H92</f>
        <v>2196.4300782172822</v>
      </c>
      <c r="I78" s="423">
        <f>Sizing!I92</f>
        <v>-617.39323364141092</v>
      </c>
      <c r="J78" s="189">
        <f>Sizing!J92</f>
        <v>219.6430078217283</v>
      </c>
      <c r="K78" s="128">
        <v>32</v>
      </c>
      <c r="L78" s="12">
        <f t="shared" si="5"/>
        <v>37.795276800000003</v>
      </c>
      <c r="M78" s="11">
        <f t="shared" si="5"/>
        <v>21.811024320000001</v>
      </c>
      <c r="N78" s="11">
        <f t="shared" si="5"/>
        <v>1.1811023999999986</v>
      </c>
      <c r="O78" s="152">
        <f t="shared" si="27"/>
        <v>25.830803314774624</v>
      </c>
      <c r="P78" s="8">
        <f t="shared" ref="P78:P109" si="41">M78*$E$17</f>
        <v>3.9259843776000003</v>
      </c>
      <c r="Q78" s="12">
        <f t="shared" si="28"/>
        <v>4.6495445966594326</v>
      </c>
      <c r="R78" s="8">
        <f t="shared" ref="R78:R109" si="42">M78*$E$21</f>
        <v>1.9629921888000001</v>
      </c>
      <c r="S78" s="12">
        <f t="shared" si="29"/>
        <v>2.3247722983297163</v>
      </c>
      <c r="T78" s="17">
        <f>Sizing!CN92</f>
        <v>0.25</v>
      </c>
      <c r="U78" s="17">
        <f>Sizing!CO92</f>
        <v>2.3622047244094495E-2</v>
      </c>
      <c r="V78" s="17">
        <f>Sizing!CP92</f>
        <v>1.5748031496062995E-2</v>
      </c>
      <c r="W78" s="128">
        <f t="shared" si="6"/>
        <v>3.0224609670856709E-3</v>
      </c>
      <c r="X78" s="2">
        <f t="shared" si="7"/>
        <v>7.2254596295506844E-4</v>
      </c>
      <c r="Y78" s="2">
        <f t="shared" si="8"/>
        <v>3.7450069300407392E-3</v>
      </c>
      <c r="Z78" s="216">
        <f t="shared" si="30"/>
        <v>8.0612098948817712E-2</v>
      </c>
      <c r="AA78" s="138">
        <f t="shared" si="31"/>
        <v>1.9271033536940887E-2</v>
      </c>
      <c r="AB78" s="17">
        <f t="shared" si="32"/>
        <v>9.9883132485758599E-2</v>
      </c>
      <c r="AC78" s="311">
        <f t="shared" si="33"/>
        <v>7.9222235173838085E-2</v>
      </c>
      <c r="AD78" s="316">
        <f t="shared" si="34"/>
        <v>1.8938774338028114E-2</v>
      </c>
      <c r="AE78" s="21">
        <f t="shared" si="35"/>
        <v>9.8161009511866196E-2</v>
      </c>
      <c r="AF78" s="170">
        <f>Sizing!DU92</f>
        <v>0.20712205586855234</v>
      </c>
      <c r="AG78" s="170">
        <f>Sizing!DV92</f>
        <v>0.45510664230326536</v>
      </c>
      <c r="AH78" s="170">
        <f>Sizing!DW92</f>
        <v>0.20712205586855234</v>
      </c>
      <c r="AI78" s="272">
        <f>Sizing!DX92</f>
        <v>0.45510664230326536</v>
      </c>
      <c r="AJ78" s="216">
        <f>Sizing!GJ92</f>
        <v>0.25</v>
      </c>
      <c r="AK78" s="216">
        <f>Sizing!GK92</f>
        <v>1.5748031496062995E-2</v>
      </c>
      <c r="AL78" s="17">
        <f>Sizing!GL92</f>
        <v>1.5748031496062995E-2</v>
      </c>
      <c r="AM78" s="216">
        <f t="shared" si="9"/>
        <v>2.4179687736685367E-3</v>
      </c>
      <c r="AN78" s="138">
        <f t="shared" si="10"/>
        <v>7.2254596295506844E-4</v>
      </c>
      <c r="AO78" s="138">
        <f t="shared" si="11"/>
        <v>3.1405147366236051E-3</v>
      </c>
      <c r="AP78" s="311">
        <f t="shared" si="36"/>
        <v>1.124245364650178E-2</v>
      </c>
      <c r="AQ78" s="11">
        <f t="shared" si="37"/>
        <v>3.3595096778958251E-3</v>
      </c>
      <c r="AR78" s="21">
        <f t="shared" si="38"/>
        <v>1.4601963324397603E-2</v>
      </c>
      <c r="AS78" s="11">
        <f t="shared" si="12"/>
        <v>1.5024440383627744E-2</v>
      </c>
      <c r="AT78" s="21">
        <f t="shared" si="39"/>
        <v>1.5024440383627744E-2</v>
      </c>
      <c r="AU78" s="170">
        <f>Sizing!JC92</f>
        <v>3.3006550714747922E-3</v>
      </c>
      <c r="AV78" s="272">
        <f>Sizing!JD92</f>
        <v>5.7451327847794713E-2</v>
      </c>
      <c r="AW78" s="170">
        <f>Sizing!JC92</f>
        <v>3.3006550714747922E-3</v>
      </c>
      <c r="AX78" s="272">
        <f>Sizing!JD92</f>
        <v>5.7451327847794713E-2</v>
      </c>
      <c r="AY78" s="216">
        <f>Sizing!IT92</f>
        <v>0.25</v>
      </c>
      <c r="AZ78" s="216">
        <f>Sizing!IU92</f>
        <v>1.5748031496062995E-2</v>
      </c>
      <c r="BA78" s="17">
        <f>Sizing!IV92</f>
        <v>1.5748031496062995E-2</v>
      </c>
      <c r="BB78" s="216">
        <f t="shared" si="13"/>
        <v>2.4179687736685367E-3</v>
      </c>
      <c r="BC78" s="138">
        <f t="shared" si="14"/>
        <v>7.2254596295506844E-4</v>
      </c>
      <c r="BD78" s="138">
        <f t="shared" si="15"/>
        <v>3.1405147366236051E-3</v>
      </c>
      <c r="BE78" s="311">
        <f t="shared" si="16"/>
        <v>5.6212268232508902E-3</v>
      </c>
      <c r="BF78" s="11">
        <f t="shared" si="17"/>
        <v>1.6797548389479125E-3</v>
      </c>
      <c r="BG78" s="21">
        <f t="shared" si="18"/>
        <v>7.3009816621988017E-3</v>
      </c>
      <c r="BH78" s="21">
        <f t="shared" si="19"/>
        <v>2.3942643452594753E-4</v>
      </c>
      <c r="BI78" s="21">
        <f t="shared" si="20"/>
        <v>2.3942643452594753E-4</v>
      </c>
      <c r="BJ78" s="561"/>
      <c r="BK78">
        <f t="shared" si="21"/>
        <v>0.90879268000000002</v>
      </c>
      <c r="BL78">
        <f t="shared" si="22"/>
        <v>0.90879268000000002</v>
      </c>
      <c r="BM78">
        <f>C78*'Inputs-Imperial'!$E$12</f>
        <v>0.45439634000000001</v>
      </c>
      <c r="BN78">
        <f>C78*'Inputs-Imperial'!$E$12</f>
        <v>0.45439634000000001</v>
      </c>
      <c r="BO78">
        <f>C78*'Inputs-Imperial'!$E$12</f>
        <v>0.45439634000000001</v>
      </c>
      <c r="BP78">
        <f>C78*'Weight '!$E$15</f>
        <v>0.90879268000000002</v>
      </c>
      <c r="BQ78">
        <f>C78*'Weight '!$E$15</f>
        <v>0.90879268000000002</v>
      </c>
      <c r="BR78">
        <f>C78*'Weight '!$E$15</f>
        <v>0.90879268000000002</v>
      </c>
      <c r="BS78">
        <f t="shared" si="23"/>
        <v>0.20734050337109161</v>
      </c>
      <c r="BT78" s="564">
        <f t="shared" si="24"/>
        <v>0.25047482062052862</v>
      </c>
      <c r="BU78">
        <f t="shared" si="40"/>
        <v>0.82778980680542802</v>
      </c>
    </row>
    <row r="79" spans="1:73" x14ac:dyDescent="0.25">
      <c r="A79" s="186">
        <v>33</v>
      </c>
      <c r="B79" s="187">
        <f>A79/100*'Inputs-Imperial'!$E$5</f>
        <v>3.2480316000000005</v>
      </c>
      <c r="C79" s="188">
        <f>'Inputs-Imperial'!$E$10+('Inputs-Imperial'!$E$9-'Inputs-Imperial'!$E$10)*(100-A79)/100</f>
        <v>1.80774284</v>
      </c>
      <c r="D79" s="187">
        <f t="shared" si="25"/>
        <v>9.8425200000000324E-2</v>
      </c>
      <c r="E79" s="188">
        <f t="shared" si="26"/>
        <v>0.17841182657532059</v>
      </c>
      <c r="F79" s="423">
        <f>Sizing!F93</f>
        <v>72.183947340574619</v>
      </c>
      <c r="G79" s="423">
        <f>Sizing!G93</f>
        <v>721.83947340574582</v>
      </c>
      <c r="H79" s="423">
        <f>Sizing!H93</f>
        <v>2124.0052944986855</v>
      </c>
      <c r="I79" s="423">
        <f>Sizing!I93</f>
        <v>-602.84643582627552</v>
      </c>
      <c r="J79" s="189">
        <f>Sizing!J93</f>
        <v>212.40052944986863</v>
      </c>
      <c r="K79" s="128">
        <v>33</v>
      </c>
      <c r="L79" s="12">
        <f t="shared" si="5"/>
        <v>38.976379200000004</v>
      </c>
      <c r="M79" s="11">
        <f t="shared" si="5"/>
        <v>21.692914080000001</v>
      </c>
      <c r="N79" s="11">
        <f t="shared" si="5"/>
        <v>1.1811024000000039</v>
      </c>
      <c r="O79" s="152">
        <f t="shared" si="27"/>
        <v>25.691303026846164</v>
      </c>
      <c r="P79" s="8">
        <f t="shared" si="41"/>
        <v>3.9047245344000001</v>
      </c>
      <c r="Q79" s="12">
        <f t="shared" si="28"/>
        <v>4.6244345448323099</v>
      </c>
      <c r="R79" s="8">
        <f t="shared" si="42"/>
        <v>1.9523622672000001</v>
      </c>
      <c r="S79" s="12">
        <f t="shared" si="29"/>
        <v>2.3122172724161549</v>
      </c>
      <c r="T79" s="17">
        <f>Sizing!CN93</f>
        <v>0.25</v>
      </c>
      <c r="U79" s="17">
        <f>Sizing!CO93</f>
        <v>2.3622047244094495E-2</v>
      </c>
      <c r="V79" s="17">
        <f>Sizing!CP93</f>
        <v>1.5748031496062995E-2</v>
      </c>
      <c r="W79" s="128">
        <f t="shared" si="6"/>
        <v>3.0224609670856709E-3</v>
      </c>
      <c r="X79" s="2">
        <f t="shared" si="7"/>
        <v>7.2254596295506844E-4</v>
      </c>
      <c r="Y79" s="2">
        <f t="shared" si="8"/>
        <v>3.7450069300407392E-3</v>
      </c>
      <c r="Z79" s="216">
        <f t="shared" si="30"/>
        <v>8.0176750079607548E-2</v>
      </c>
      <c r="AA79" s="138">
        <f t="shared" si="31"/>
        <v>1.9166959548442646E-2</v>
      </c>
      <c r="AB79" s="17">
        <f t="shared" si="32"/>
        <v>9.9343709628050184E-2</v>
      </c>
      <c r="AC79" s="311">
        <f t="shared" si="33"/>
        <v>7.8794392319614298E-2</v>
      </c>
      <c r="AD79" s="316">
        <f t="shared" si="34"/>
        <v>1.8836494728641909E-2</v>
      </c>
      <c r="AE79" s="21">
        <f t="shared" si="35"/>
        <v>9.7630887048256204E-2</v>
      </c>
      <c r="AF79" s="170">
        <f>Sizing!DU93</f>
        <v>0.20712205586855234</v>
      </c>
      <c r="AG79" s="170">
        <f>Sizing!DV93</f>
        <v>0.45510664230326536</v>
      </c>
      <c r="AH79" s="170">
        <f>Sizing!DW93</f>
        <v>0.20712205586855234</v>
      </c>
      <c r="AI79" s="272">
        <f>Sizing!DX93</f>
        <v>0.45510664230326536</v>
      </c>
      <c r="AJ79" s="216">
        <f>Sizing!GJ93</f>
        <v>0.25</v>
      </c>
      <c r="AK79" s="216">
        <f>Sizing!GK93</f>
        <v>1.5748031496062995E-2</v>
      </c>
      <c r="AL79" s="17">
        <f>Sizing!GL93</f>
        <v>1.5748031496062995E-2</v>
      </c>
      <c r="AM79" s="216">
        <f t="shared" si="9"/>
        <v>2.4179687736685367E-3</v>
      </c>
      <c r="AN79" s="138">
        <f t="shared" si="10"/>
        <v>7.2254596295506844E-4</v>
      </c>
      <c r="AO79" s="138">
        <f t="shared" si="11"/>
        <v>3.1405147366236051E-3</v>
      </c>
      <c r="AP79" s="311">
        <f t="shared" si="36"/>
        <v>1.1181738325278598E-2</v>
      </c>
      <c r="AQ79" s="11">
        <f t="shared" si="37"/>
        <v>3.3413665113185449E-3</v>
      </c>
      <c r="AR79" s="21">
        <f t="shared" si="38"/>
        <v>1.4523104836597142E-2</v>
      </c>
      <c r="AS79" s="11">
        <f t="shared" si="12"/>
        <v>1.5024440383627814E-2</v>
      </c>
      <c r="AT79" s="21">
        <f t="shared" si="39"/>
        <v>1.5024440383627814E-2</v>
      </c>
      <c r="AU79" s="170">
        <f>Sizing!JC93</f>
        <v>3.3006550714747922E-3</v>
      </c>
      <c r="AV79" s="272">
        <f>Sizing!JD93</f>
        <v>5.7451327847794713E-2</v>
      </c>
      <c r="AW79" s="170">
        <f>Sizing!JC93</f>
        <v>3.3006550714747922E-3</v>
      </c>
      <c r="AX79" s="272">
        <f>Sizing!JD93</f>
        <v>5.7451327847794713E-2</v>
      </c>
      <c r="AY79" s="216">
        <f>Sizing!IT93</f>
        <v>0.25</v>
      </c>
      <c r="AZ79" s="216">
        <f>Sizing!IU93</f>
        <v>1.5748031496062995E-2</v>
      </c>
      <c r="BA79" s="17">
        <f>Sizing!IV93</f>
        <v>1.5748031496062995E-2</v>
      </c>
      <c r="BB79" s="216">
        <f t="shared" si="13"/>
        <v>2.4179687736685367E-3</v>
      </c>
      <c r="BC79" s="138">
        <f t="shared" si="14"/>
        <v>7.2254596295506844E-4</v>
      </c>
      <c r="BD79" s="138">
        <f t="shared" si="15"/>
        <v>3.1405147366236051E-3</v>
      </c>
      <c r="BE79" s="311">
        <f t="shared" si="16"/>
        <v>5.5908691626392988E-3</v>
      </c>
      <c r="BF79" s="11">
        <f t="shared" si="17"/>
        <v>1.6706832556592725E-3</v>
      </c>
      <c r="BG79" s="21">
        <f t="shared" si="18"/>
        <v>7.2615524182985712E-3</v>
      </c>
      <c r="BH79" s="21">
        <f t="shared" si="19"/>
        <v>2.3942643452594858E-4</v>
      </c>
      <c r="BI79" s="21">
        <f t="shared" si="20"/>
        <v>2.3942643452594858E-4</v>
      </c>
      <c r="BJ79" s="561"/>
      <c r="BK79">
        <f t="shared" si="21"/>
        <v>0.90387141999999998</v>
      </c>
      <c r="BL79">
        <f t="shared" si="22"/>
        <v>0.90387141999999998</v>
      </c>
      <c r="BM79">
        <f>C79*'Inputs-Imperial'!$E$12</f>
        <v>0.45193570999999999</v>
      </c>
      <c r="BN79">
        <f>C79*'Inputs-Imperial'!$E$12</f>
        <v>0.45193570999999999</v>
      </c>
      <c r="BO79">
        <f>C79*'Inputs-Imperial'!$E$12</f>
        <v>0.45193570999999999</v>
      </c>
      <c r="BP79">
        <f>C79*'Weight '!$E$15</f>
        <v>0.90387141999999998</v>
      </c>
      <c r="BQ79">
        <f>C79*'Weight '!$E$15</f>
        <v>0.90387141999999998</v>
      </c>
      <c r="BR79">
        <f>C79*'Weight '!$E$15</f>
        <v>0.90387141999999998</v>
      </c>
      <c r="BS79">
        <f t="shared" si="23"/>
        <v>0.20517971148018027</v>
      </c>
      <c r="BT79" s="564">
        <f t="shared" si="24"/>
        <v>0.24928698756750967</v>
      </c>
      <c r="BU79">
        <f t="shared" si="40"/>
        <v>0.82306627185911718</v>
      </c>
    </row>
    <row r="80" spans="1:73" x14ac:dyDescent="0.25">
      <c r="A80" s="186">
        <v>34</v>
      </c>
      <c r="B80" s="187">
        <f>A80/100*'Inputs-Imperial'!$E$5</f>
        <v>3.3464568000000003</v>
      </c>
      <c r="C80" s="188">
        <f>'Inputs-Imperial'!$E$10+('Inputs-Imperial'!$E$9-'Inputs-Imperial'!$E$10)*(100-A80)/100</f>
        <v>1.7979003200000001</v>
      </c>
      <c r="D80" s="187">
        <f t="shared" si="25"/>
        <v>9.8425199999999879E-2</v>
      </c>
      <c r="E80" s="188">
        <f t="shared" si="26"/>
        <v>0.17744307457581579</v>
      </c>
      <c r="F80" s="423">
        <f>Sizing!F94</f>
        <v>70.790651699251086</v>
      </c>
      <c r="G80" s="423">
        <f>Sizing!G94</f>
        <v>707.90651699251043</v>
      </c>
      <c r="H80" s="423">
        <f>Sizing!H94</f>
        <v>2052.9580999608306</v>
      </c>
      <c r="I80" s="423">
        <f>Sizing!I94</f>
        <v>-588.43164493855397</v>
      </c>
      <c r="J80" s="189">
        <f>Sizing!J94</f>
        <v>205.29580999608311</v>
      </c>
      <c r="K80" s="128">
        <v>34</v>
      </c>
      <c r="L80" s="12">
        <f t="shared" si="5"/>
        <v>40.157481600000004</v>
      </c>
      <c r="M80" s="11">
        <f t="shared" si="5"/>
        <v>21.574803840000001</v>
      </c>
      <c r="N80" s="11">
        <f t="shared" si="5"/>
        <v>1.1811023999999986</v>
      </c>
      <c r="O80" s="152">
        <f t="shared" si="27"/>
        <v>25.551802738917473</v>
      </c>
      <c r="P80" s="8">
        <f t="shared" si="41"/>
        <v>3.8834646911999999</v>
      </c>
      <c r="Q80" s="12">
        <f t="shared" si="28"/>
        <v>4.5993244930051453</v>
      </c>
      <c r="R80" s="8">
        <f t="shared" si="42"/>
        <v>1.9417323456</v>
      </c>
      <c r="S80" s="12">
        <f t="shared" si="29"/>
        <v>2.2996622465025727</v>
      </c>
      <c r="T80" s="17">
        <f>Sizing!CN94</f>
        <v>0.25</v>
      </c>
      <c r="U80" s="17">
        <f>Sizing!CO94</f>
        <v>2.3622047244094495E-2</v>
      </c>
      <c r="V80" s="17">
        <f>Sizing!CP94</f>
        <v>1.5748031496062995E-2</v>
      </c>
      <c r="W80" s="128">
        <f t="shared" si="6"/>
        <v>3.0224609670856709E-3</v>
      </c>
      <c r="X80" s="2">
        <f t="shared" si="7"/>
        <v>7.2254596295506844E-4</v>
      </c>
      <c r="Y80" s="2">
        <f t="shared" si="8"/>
        <v>3.7450069300407392E-3</v>
      </c>
      <c r="Z80" s="216">
        <f t="shared" si="30"/>
        <v>7.9741401210396648E-2</v>
      </c>
      <c r="AA80" s="138">
        <f t="shared" si="31"/>
        <v>1.9062885559944228E-2</v>
      </c>
      <c r="AB80" s="17">
        <f t="shared" si="32"/>
        <v>9.8804286770340866E-2</v>
      </c>
      <c r="AC80" s="311">
        <f t="shared" si="33"/>
        <v>7.8366549465389804E-2</v>
      </c>
      <c r="AD80" s="316">
        <f t="shared" si="34"/>
        <v>1.8734215119255535E-2</v>
      </c>
      <c r="AE80" s="21">
        <f t="shared" si="35"/>
        <v>9.7100764584645338E-2</v>
      </c>
      <c r="AF80" s="170">
        <f>Sizing!DU94</f>
        <v>0.20712205586855234</v>
      </c>
      <c r="AG80" s="170">
        <f>Sizing!DV94</f>
        <v>0.45510664230326536</v>
      </c>
      <c r="AH80" s="170">
        <f>Sizing!DW94</f>
        <v>0.20712205586855234</v>
      </c>
      <c r="AI80" s="272">
        <f>Sizing!DX94</f>
        <v>0.45510664230326536</v>
      </c>
      <c r="AJ80" s="216">
        <f>Sizing!GJ94</f>
        <v>0.25</v>
      </c>
      <c r="AK80" s="216">
        <f>Sizing!GK94</f>
        <v>1.5748031496062995E-2</v>
      </c>
      <c r="AL80" s="17">
        <f>Sizing!GL94</f>
        <v>1.5748031496062995E-2</v>
      </c>
      <c r="AM80" s="216">
        <f t="shared" si="9"/>
        <v>2.4179687736685367E-3</v>
      </c>
      <c r="AN80" s="138">
        <f t="shared" si="10"/>
        <v>7.2254596295506844E-4</v>
      </c>
      <c r="AO80" s="138">
        <f t="shared" si="11"/>
        <v>3.1405147366236051E-3</v>
      </c>
      <c r="AP80" s="311">
        <f t="shared" si="36"/>
        <v>1.1121023004055316E-2</v>
      </c>
      <c r="AQ80" s="11">
        <f t="shared" si="37"/>
        <v>3.3232233447412348E-3</v>
      </c>
      <c r="AR80" s="21">
        <f t="shared" si="38"/>
        <v>1.444424634879655E-2</v>
      </c>
      <c r="AS80" s="11">
        <f t="shared" si="12"/>
        <v>1.5024440383627744E-2</v>
      </c>
      <c r="AT80" s="21">
        <f t="shared" si="39"/>
        <v>1.5024440383627744E-2</v>
      </c>
      <c r="AU80" s="170">
        <f>Sizing!JC94</f>
        <v>3.3006550714747922E-3</v>
      </c>
      <c r="AV80" s="272">
        <f>Sizing!JD94</f>
        <v>5.7451327847794713E-2</v>
      </c>
      <c r="AW80" s="170">
        <f>Sizing!JC94</f>
        <v>3.3006550714747922E-3</v>
      </c>
      <c r="AX80" s="272">
        <f>Sizing!JD94</f>
        <v>5.7451327847794713E-2</v>
      </c>
      <c r="AY80" s="216">
        <f>Sizing!IT94</f>
        <v>0.25</v>
      </c>
      <c r="AZ80" s="216">
        <f>Sizing!IU94</f>
        <v>1.5748031496062995E-2</v>
      </c>
      <c r="BA80" s="17">
        <f>Sizing!IV94</f>
        <v>1.5748031496062995E-2</v>
      </c>
      <c r="BB80" s="216">
        <f t="shared" si="13"/>
        <v>2.4179687736685367E-3</v>
      </c>
      <c r="BC80" s="138">
        <f t="shared" si="14"/>
        <v>7.2254596295506844E-4</v>
      </c>
      <c r="BD80" s="138">
        <f t="shared" si="15"/>
        <v>3.1405147366236051E-3</v>
      </c>
      <c r="BE80" s="311">
        <f t="shared" si="16"/>
        <v>5.5605115020276579E-3</v>
      </c>
      <c r="BF80" s="11">
        <f t="shared" si="17"/>
        <v>1.6616116723706174E-3</v>
      </c>
      <c r="BG80" s="21">
        <f t="shared" si="18"/>
        <v>7.2221231743982749E-3</v>
      </c>
      <c r="BH80" s="21">
        <f t="shared" si="19"/>
        <v>2.3942643452594753E-4</v>
      </c>
      <c r="BI80" s="21">
        <f t="shared" si="20"/>
        <v>2.3942643452594753E-4</v>
      </c>
      <c r="BJ80" s="561"/>
      <c r="BK80">
        <f t="shared" si="21"/>
        <v>0.89895016000000005</v>
      </c>
      <c r="BL80">
        <f t="shared" si="22"/>
        <v>0.89895016000000005</v>
      </c>
      <c r="BM80">
        <f>C80*'Inputs-Imperial'!$E$12</f>
        <v>0.44947508000000003</v>
      </c>
      <c r="BN80">
        <f>C80*'Inputs-Imperial'!$E$12</f>
        <v>0.44947508000000003</v>
      </c>
      <c r="BO80">
        <f>C80*'Inputs-Imperial'!$E$12</f>
        <v>0.44947508000000003</v>
      </c>
      <c r="BP80">
        <f>C80*'Weight '!$E$15</f>
        <v>0.89895016000000005</v>
      </c>
      <c r="BQ80">
        <f>C80*'Weight '!$E$15</f>
        <v>0.89895016000000005</v>
      </c>
      <c r="BR80">
        <f>C80*'Weight '!$E$15</f>
        <v>0.89895016000000005</v>
      </c>
      <c r="BS80">
        <f t="shared" si="23"/>
        <v>0.20303022277672642</v>
      </c>
      <c r="BT80" s="564">
        <f t="shared" si="24"/>
        <v>0.24809915451448841</v>
      </c>
      <c r="BU80">
        <f t="shared" si="40"/>
        <v>0.81834306599730844</v>
      </c>
    </row>
    <row r="81" spans="1:73" x14ac:dyDescent="0.25">
      <c r="A81" s="186">
        <v>35</v>
      </c>
      <c r="B81" s="187">
        <f>A81/100*'Inputs-Imperial'!$E$5</f>
        <v>3.4448819999999998</v>
      </c>
      <c r="C81" s="188">
        <f>'Inputs-Imperial'!$E$10+('Inputs-Imperial'!$E$9-'Inputs-Imperial'!$E$10)*(100-A81)/100</f>
        <v>1.7880578</v>
      </c>
      <c r="D81" s="187">
        <f t="shared" si="25"/>
        <v>9.8425199999999435E-2</v>
      </c>
      <c r="E81" s="188">
        <f t="shared" si="26"/>
        <v>0.17647432257631099</v>
      </c>
      <c r="F81" s="423">
        <f>Sizing!F95</f>
        <v>69.403783252742755</v>
      </c>
      <c r="G81" s="423">
        <f>Sizing!G95</f>
        <v>694.03783252742721</v>
      </c>
      <c r="H81" s="423">
        <f>Sizing!H95</f>
        <v>1983.2822594445397</v>
      </c>
      <c r="I81" s="423">
        <f>Sizing!I95</f>
        <v>-574.15016737445126</v>
      </c>
      <c r="J81" s="189">
        <f>Sizing!J95</f>
        <v>198.32822594445403</v>
      </c>
      <c r="K81" s="128">
        <v>35</v>
      </c>
      <c r="L81" s="12">
        <f t="shared" si="5"/>
        <v>41.338583999999997</v>
      </c>
      <c r="M81" s="11">
        <f t="shared" si="5"/>
        <v>21.456693600000001</v>
      </c>
      <c r="N81" s="11">
        <f t="shared" si="5"/>
        <v>1.1811023999999932</v>
      </c>
      <c r="O81" s="152">
        <f t="shared" si="27"/>
        <v>25.412302450988783</v>
      </c>
      <c r="P81" s="8">
        <f t="shared" si="41"/>
        <v>3.8622048480000002</v>
      </c>
      <c r="Q81" s="12">
        <f t="shared" si="28"/>
        <v>4.5742144411779808</v>
      </c>
      <c r="R81" s="8">
        <f t="shared" si="42"/>
        <v>1.9311024240000001</v>
      </c>
      <c r="S81" s="12">
        <f t="shared" si="29"/>
        <v>2.2871072205889904</v>
      </c>
      <c r="T81" s="17">
        <f>Sizing!CN95</f>
        <v>0.25</v>
      </c>
      <c r="U81" s="17">
        <f>Sizing!CO95</f>
        <v>2.3622047244094495E-2</v>
      </c>
      <c r="V81" s="17">
        <f>Sizing!CP95</f>
        <v>1.5748031496062995E-2</v>
      </c>
      <c r="W81" s="128">
        <f t="shared" si="6"/>
        <v>3.0224609670856709E-3</v>
      </c>
      <c r="X81" s="2">
        <f t="shared" si="7"/>
        <v>7.2254596295506844E-4</v>
      </c>
      <c r="Y81" s="2">
        <f t="shared" si="8"/>
        <v>3.7450069300407392E-3</v>
      </c>
      <c r="Z81" s="216">
        <f t="shared" si="30"/>
        <v>7.9306052341185748E-2</v>
      </c>
      <c r="AA81" s="138">
        <f t="shared" si="31"/>
        <v>1.895881157144581E-2</v>
      </c>
      <c r="AB81" s="17">
        <f t="shared" si="32"/>
        <v>9.8264863912631548E-2</v>
      </c>
      <c r="AC81" s="311">
        <f t="shared" si="33"/>
        <v>7.7938706611165295E-2</v>
      </c>
      <c r="AD81" s="316">
        <f t="shared" si="34"/>
        <v>1.863193550986916E-2</v>
      </c>
      <c r="AE81" s="21">
        <f t="shared" si="35"/>
        <v>9.6570642121034445E-2</v>
      </c>
      <c r="AF81" s="170">
        <f>Sizing!DU95</f>
        <v>0.20712205586855234</v>
      </c>
      <c r="AG81" s="170">
        <f>Sizing!DV95</f>
        <v>0.45510664230326536</v>
      </c>
      <c r="AH81" s="170">
        <f>Sizing!DW95</f>
        <v>0.20712205586855234</v>
      </c>
      <c r="AI81" s="272">
        <f>Sizing!DX95</f>
        <v>0.45510664230326536</v>
      </c>
      <c r="AJ81" s="216">
        <f>Sizing!GJ95</f>
        <v>0.25</v>
      </c>
      <c r="AK81" s="216">
        <f>Sizing!GK95</f>
        <v>1.5748031496062995E-2</v>
      </c>
      <c r="AL81" s="17">
        <f>Sizing!GL95</f>
        <v>1.5748031496062995E-2</v>
      </c>
      <c r="AM81" s="216">
        <f t="shared" si="9"/>
        <v>2.4179687736685367E-3</v>
      </c>
      <c r="AN81" s="138">
        <f t="shared" si="10"/>
        <v>7.2254596295506844E-4</v>
      </c>
      <c r="AO81" s="138">
        <f t="shared" si="11"/>
        <v>3.1405147366236051E-3</v>
      </c>
      <c r="AP81" s="311">
        <f t="shared" si="36"/>
        <v>1.1060307682832034E-2</v>
      </c>
      <c r="AQ81" s="11">
        <f t="shared" si="37"/>
        <v>3.3050801781639243E-3</v>
      </c>
      <c r="AR81" s="21">
        <f t="shared" si="38"/>
        <v>1.4365387860995957E-2</v>
      </c>
      <c r="AS81" s="11">
        <f t="shared" si="12"/>
        <v>1.5024440383627677E-2</v>
      </c>
      <c r="AT81" s="21">
        <f t="shared" si="39"/>
        <v>1.5024440383627677E-2</v>
      </c>
      <c r="AU81" s="170">
        <f>Sizing!JC95</f>
        <v>3.3006550714747922E-3</v>
      </c>
      <c r="AV81" s="272">
        <f>Sizing!JD95</f>
        <v>5.7451327847794713E-2</v>
      </c>
      <c r="AW81" s="170">
        <f>Sizing!JC95</f>
        <v>3.3006550714747922E-3</v>
      </c>
      <c r="AX81" s="272">
        <f>Sizing!JD95</f>
        <v>5.7451327847794713E-2</v>
      </c>
      <c r="AY81" s="216">
        <f>Sizing!IT95</f>
        <v>0.25</v>
      </c>
      <c r="AZ81" s="216">
        <f>Sizing!IU95</f>
        <v>1.5748031496062995E-2</v>
      </c>
      <c r="BA81" s="17">
        <f>Sizing!IV95</f>
        <v>1.5748031496062995E-2</v>
      </c>
      <c r="BB81" s="216">
        <f t="shared" si="13"/>
        <v>2.4179687736685367E-3</v>
      </c>
      <c r="BC81" s="138">
        <f t="shared" si="14"/>
        <v>7.2254596295506844E-4</v>
      </c>
      <c r="BD81" s="138">
        <f t="shared" si="15"/>
        <v>3.1405147366236051E-3</v>
      </c>
      <c r="BE81" s="311">
        <f t="shared" si="16"/>
        <v>5.530153841416017E-3</v>
      </c>
      <c r="BF81" s="11">
        <f t="shared" si="17"/>
        <v>1.6525400890819622E-3</v>
      </c>
      <c r="BG81" s="21">
        <f t="shared" si="18"/>
        <v>7.1826939304979786E-3</v>
      </c>
      <c r="BH81" s="21">
        <f t="shared" si="19"/>
        <v>2.3942643452594641E-4</v>
      </c>
      <c r="BI81" s="21">
        <f t="shared" si="20"/>
        <v>2.3942643452594641E-4</v>
      </c>
      <c r="BJ81" s="561"/>
      <c r="BK81">
        <f t="shared" si="21"/>
        <v>0.89402890000000002</v>
      </c>
      <c r="BL81">
        <f t="shared" si="22"/>
        <v>0.89402890000000002</v>
      </c>
      <c r="BM81">
        <f>C81*'Inputs-Imperial'!$E$12</f>
        <v>0.44701445000000001</v>
      </c>
      <c r="BN81">
        <f>C81*'Inputs-Imperial'!$E$12</f>
        <v>0.44701445000000001</v>
      </c>
      <c r="BO81">
        <f>C81*'Inputs-Imperial'!$E$12</f>
        <v>0.44701445000000001</v>
      </c>
      <c r="BP81">
        <f>C81*'Weight '!$E$15</f>
        <v>0.89402890000000002</v>
      </c>
      <c r="BQ81">
        <f>C81*'Weight '!$E$15</f>
        <v>0.89402890000000002</v>
      </c>
      <c r="BR81">
        <f>C81*'Weight '!$E$15</f>
        <v>0.89402890000000002</v>
      </c>
      <c r="BS81">
        <f t="shared" si="23"/>
        <v>0.20089203726073188</v>
      </c>
      <c r="BT81" s="564">
        <f t="shared" si="24"/>
        <v>0.24691132146146721</v>
      </c>
      <c r="BU81">
        <f t="shared" si="40"/>
        <v>0.81362019396944874</v>
      </c>
    </row>
    <row r="82" spans="1:73" x14ac:dyDescent="0.25">
      <c r="A82" s="186">
        <v>36</v>
      </c>
      <c r="B82" s="187">
        <f>A82/100*'Inputs-Imperial'!$E$5</f>
        <v>3.5433072000000001</v>
      </c>
      <c r="C82" s="188">
        <f>'Inputs-Imperial'!$E$10+('Inputs-Imperial'!$E$9-'Inputs-Imperial'!$E$10)*(100-A82)/100</f>
        <v>1.77821528</v>
      </c>
      <c r="D82" s="187">
        <f t="shared" si="25"/>
        <v>9.8425200000000324E-2</v>
      </c>
      <c r="E82" s="188">
        <f t="shared" si="26"/>
        <v>0.1755055705768086</v>
      </c>
      <c r="F82" s="423">
        <f>Sizing!F96</f>
        <v>68.023435345120873</v>
      </c>
      <c r="G82" s="423">
        <f>Sizing!G96</f>
        <v>680.23435345120834</v>
      </c>
      <c r="H82" s="423">
        <f>Sizing!H96</f>
        <v>1914.9714469704609</v>
      </c>
      <c r="I82" s="423">
        <f>Sizing!I96</f>
        <v>-560.00330511864775</v>
      </c>
      <c r="J82" s="189">
        <f>Sizing!J96</f>
        <v>191.49714469704617</v>
      </c>
      <c r="K82" s="128">
        <v>36</v>
      </c>
      <c r="L82" s="12">
        <f t="shared" si="5"/>
        <v>42.519686399999998</v>
      </c>
      <c r="M82" s="11">
        <f t="shared" si="5"/>
        <v>21.338583360000001</v>
      </c>
      <c r="N82" s="11">
        <f t="shared" si="5"/>
        <v>1.1811024000000039</v>
      </c>
      <c r="O82" s="152">
        <f t="shared" si="27"/>
        <v>25.27280216306044</v>
      </c>
      <c r="P82" s="8">
        <f t="shared" si="41"/>
        <v>3.8409450048</v>
      </c>
      <c r="Q82" s="12">
        <f t="shared" si="28"/>
        <v>4.5491043893508785</v>
      </c>
      <c r="R82" s="8">
        <f t="shared" si="42"/>
        <v>1.9204725024</v>
      </c>
      <c r="S82" s="12">
        <f t="shared" si="29"/>
        <v>2.2745521946754392</v>
      </c>
      <c r="T82" s="17">
        <f>Sizing!CN96</f>
        <v>0.25</v>
      </c>
      <c r="U82" s="17">
        <f>Sizing!CO96</f>
        <v>2.3622047244094495E-2</v>
      </c>
      <c r="V82" s="17">
        <f>Sizing!CP96</f>
        <v>1.5748031496062995E-2</v>
      </c>
      <c r="W82" s="128">
        <f t="shared" si="6"/>
        <v>3.0224609670856709E-3</v>
      </c>
      <c r="X82" s="2">
        <f t="shared" si="7"/>
        <v>7.2254596295506844E-4</v>
      </c>
      <c r="Y82" s="2">
        <f t="shared" si="8"/>
        <v>3.7450069300407392E-3</v>
      </c>
      <c r="Z82" s="216">
        <f t="shared" si="30"/>
        <v>7.8870703471975945E-2</v>
      </c>
      <c r="AA82" s="138">
        <f t="shared" si="31"/>
        <v>1.8854737582947655E-2</v>
      </c>
      <c r="AB82" s="17">
        <f t="shared" si="32"/>
        <v>9.772544105492359E-2</v>
      </c>
      <c r="AC82" s="311">
        <f t="shared" si="33"/>
        <v>7.751086375694187E-2</v>
      </c>
      <c r="AD82" s="316">
        <f t="shared" si="34"/>
        <v>1.8529655900483041E-2</v>
      </c>
      <c r="AE82" s="21">
        <f t="shared" si="35"/>
        <v>9.6040519657424911E-2</v>
      </c>
      <c r="AF82" s="170">
        <f>Sizing!DU96</f>
        <v>0.20712205586855234</v>
      </c>
      <c r="AG82" s="170">
        <f>Sizing!DV96</f>
        <v>0.45510664230326536</v>
      </c>
      <c r="AH82" s="170">
        <f>Sizing!DW96</f>
        <v>0.20712205586855234</v>
      </c>
      <c r="AI82" s="272">
        <f>Sizing!DX96</f>
        <v>0.45510664230326536</v>
      </c>
      <c r="AJ82" s="216">
        <f>Sizing!GJ96</f>
        <v>0.25</v>
      </c>
      <c r="AK82" s="216">
        <f>Sizing!GK96</f>
        <v>1.5748031496062995E-2</v>
      </c>
      <c r="AL82" s="17">
        <f>Sizing!GL96</f>
        <v>1.5748031496062995E-2</v>
      </c>
      <c r="AM82" s="216">
        <f t="shared" si="9"/>
        <v>2.4179687736685367E-3</v>
      </c>
      <c r="AN82" s="138">
        <f t="shared" si="10"/>
        <v>7.2254596295506844E-4</v>
      </c>
      <c r="AO82" s="138">
        <f t="shared" si="11"/>
        <v>3.1405147366236051E-3</v>
      </c>
      <c r="AP82" s="311">
        <f t="shared" si="36"/>
        <v>1.0999592361608902E-2</v>
      </c>
      <c r="AQ82" s="11">
        <f t="shared" si="37"/>
        <v>3.2869370115866589E-3</v>
      </c>
      <c r="AR82" s="21">
        <f t="shared" si="38"/>
        <v>1.428652937319556E-2</v>
      </c>
      <c r="AS82" s="11">
        <f t="shared" si="12"/>
        <v>1.5024440383627814E-2</v>
      </c>
      <c r="AT82" s="21">
        <f t="shared" si="39"/>
        <v>1.5024440383627814E-2</v>
      </c>
      <c r="AU82" s="170">
        <f>Sizing!JC96</f>
        <v>3.3006550714747922E-3</v>
      </c>
      <c r="AV82" s="272">
        <f>Sizing!JD96</f>
        <v>5.7451327847794713E-2</v>
      </c>
      <c r="AW82" s="170">
        <f>Sizing!JC96</f>
        <v>3.3006550714747922E-3</v>
      </c>
      <c r="AX82" s="272">
        <f>Sizing!JD96</f>
        <v>5.7451327847794713E-2</v>
      </c>
      <c r="AY82" s="216">
        <f>Sizing!IT96</f>
        <v>0.25</v>
      </c>
      <c r="AZ82" s="216">
        <f>Sizing!IU96</f>
        <v>1.5748031496062995E-2</v>
      </c>
      <c r="BA82" s="17">
        <f>Sizing!IV96</f>
        <v>1.5748031496062995E-2</v>
      </c>
      <c r="BB82" s="216">
        <f t="shared" si="13"/>
        <v>2.4179687736685367E-3</v>
      </c>
      <c r="BC82" s="138">
        <f t="shared" si="14"/>
        <v>7.2254596295506844E-4</v>
      </c>
      <c r="BD82" s="138">
        <f t="shared" si="15"/>
        <v>3.1405147366236051E-3</v>
      </c>
      <c r="BE82" s="311">
        <f t="shared" si="16"/>
        <v>5.4997961808044508E-3</v>
      </c>
      <c r="BF82" s="11">
        <f t="shared" si="17"/>
        <v>1.6434685057933295E-3</v>
      </c>
      <c r="BG82" s="21">
        <f t="shared" si="18"/>
        <v>7.1432646865977802E-3</v>
      </c>
      <c r="BH82" s="21">
        <f t="shared" si="19"/>
        <v>2.3942643452594858E-4</v>
      </c>
      <c r="BI82" s="21">
        <f t="shared" si="20"/>
        <v>2.3942643452594858E-4</v>
      </c>
      <c r="BJ82" s="561"/>
      <c r="BK82">
        <f t="shared" si="21"/>
        <v>0.88910763999999998</v>
      </c>
      <c r="BL82">
        <f t="shared" si="22"/>
        <v>0.88910763999999998</v>
      </c>
      <c r="BM82">
        <f>C82*'Inputs-Imperial'!$E$12</f>
        <v>0.44455381999999999</v>
      </c>
      <c r="BN82">
        <f>C82*'Inputs-Imperial'!$E$12</f>
        <v>0.44455381999999999</v>
      </c>
      <c r="BO82">
        <f>C82*'Inputs-Imperial'!$E$12</f>
        <v>0.44455381999999999</v>
      </c>
      <c r="BP82">
        <f>C82*'Weight '!$E$15</f>
        <v>0.88910763999999998</v>
      </c>
      <c r="BQ82">
        <f>C82*'Weight '!$E$15</f>
        <v>0.88910763999999998</v>
      </c>
      <c r="BR82">
        <f>C82*'Weight '!$E$15</f>
        <v>0.88910763999999998</v>
      </c>
      <c r="BS82">
        <f t="shared" si="23"/>
        <v>0.19876515493219948</v>
      </c>
      <c r="BT82" s="564">
        <f t="shared" si="24"/>
        <v>0.2457234884084494</v>
      </c>
      <c r="BU82">
        <f t="shared" si="40"/>
        <v>0.80889766061682189</v>
      </c>
    </row>
    <row r="83" spans="1:73" x14ac:dyDescent="0.25">
      <c r="A83" s="186">
        <v>37</v>
      </c>
      <c r="B83" s="187">
        <f>A83/100*'Inputs-Imperial'!$E$5</f>
        <v>3.6417324</v>
      </c>
      <c r="C83" s="188">
        <f>'Inputs-Imperial'!$E$10+('Inputs-Imperial'!$E$9-'Inputs-Imperial'!$E$10)*(100-A83)/100</f>
        <v>1.7683727600000001</v>
      </c>
      <c r="D83" s="187">
        <f t="shared" si="25"/>
        <v>9.8425199999999879E-2</v>
      </c>
      <c r="E83" s="188">
        <f t="shared" si="26"/>
        <v>0.1745368185773038</v>
      </c>
      <c r="F83" s="423">
        <f>Sizing!F97</f>
        <v>66.649702444538946</v>
      </c>
      <c r="G83" s="423">
        <f>Sizing!G97</f>
        <v>666.49702444538912</v>
      </c>
      <c r="H83" s="423">
        <f>Sizing!H97</f>
        <v>1848.0192446851552</v>
      </c>
      <c r="I83" s="423">
        <f>Sizing!I97</f>
        <v>-545.99235603489478</v>
      </c>
      <c r="J83" s="189">
        <f>Sizing!J97</f>
        <v>184.80192446851558</v>
      </c>
      <c r="K83" s="128">
        <v>37</v>
      </c>
      <c r="L83" s="12">
        <f t="shared" si="5"/>
        <v>43.700788799999998</v>
      </c>
      <c r="M83" s="11">
        <f t="shared" si="5"/>
        <v>21.220473120000001</v>
      </c>
      <c r="N83" s="11">
        <f t="shared" si="5"/>
        <v>1.1811023999999986</v>
      </c>
      <c r="O83" s="152">
        <f t="shared" si="27"/>
        <v>25.13330187513175</v>
      </c>
      <c r="P83" s="8">
        <f t="shared" si="41"/>
        <v>3.8196851616000003</v>
      </c>
      <c r="Q83" s="12">
        <f t="shared" si="28"/>
        <v>4.5239943375237148</v>
      </c>
      <c r="R83" s="8">
        <f t="shared" si="42"/>
        <v>1.9098425808000001</v>
      </c>
      <c r="S83" s="12">
        <f t="shared" si="29"/>
        <v>2.2619971687618574</v>
      </c>
      <c r="T83" s="17">
        <f>Sizing!CN97</f>
        <v>0.25</v>
      </c>
      <c r="U83" s="17">
        <f>Sizing!CO97</f>
        <v>2.3622047244094495E-2</v>
      </c>
      <c r="V83" s="17">
        <f>Sizing!CP97</f>
        <v>1.5748031496062995E-2</v>
      </c>
      <c r="W83" s="128">
        <f t="shared" si="6"/>
        <v>3.0224609670856709E-3</v>
      </c>
      <c r="X83" s="2">
        <f t="shared" si="7"/>
        <v>7.2254596295506844E-4</v>
      </c>
      <c r="Y83" s="2">
        <f t="shared" si="8"/>
        <v>3.7450069300407392E-3</v>
      </c>
      <c r="Z83" s="216">
        <f t="shared" si="30"/>
        <v>7.8435354602765045E-2</v>
      </c>
      <c r="AA83" s="138">
        <f t="shared" si="31"/>
        <v>1.8750663594449237E-2</v>
      </c>
      <c r="AB83" s="17">
        <f t="shared" si="32"/>
        <v>9.7186018197214272E-2</v>
      </c>
      <c r="AC83" s="311">
        <f t="shared" si="33"/>
        <v>7.7083020902717361E-2</v>
      </c>
      <c r="AD83" s="316">
        <f t="shared" si="34"/>
        <v>1.8427376291096663E-2</v>
      </c>
      <c r="AE83" s="21">
        <f t="shared" si="35"/>
        <v>9.5510397193814031E-2</v>
      </c>
      <c r="AF83" s="170">
        <f>Sizing!DU97</f>
        <v>0.20712205586855234</v>
      </c>
      <c r="AG83" s="170">
        <f>Sizing!DV97</f>
        <v>0.45510664230326536</v>
      </c>
      <c r="AH83" s="170">
        <f>Sizing!DW97</f>
        <v>0.20712205586855234</v>
      </c>
      <c r="AI83" s="272">
        <f>Sizing!DX97</f>
        <v>0.45510664230326536</v>
      </c>
      <c r="AJ83" s="216">
        <f>Sizing!GJ97</f>
        <v>0.25</v>
      </c>
      <c r="AK83" s="216">
        <f>Sizing!GK97</f>
        <v>1.5748031496062995E-2</v>
      </c>
      <c r="AL83" s="17">
        <f>Sizing!GL97</f>
        <v>1.5748031496062995E-2</v>
      </c>
      <c r="AM83" s="216">
        <f t="shared" si="9"/>
        <v>2.4179687736685367E-3</v>
      </c>
      <c r="AN83" s="138">
        <f t="shared" si="10"/>
        <v>7.2254596295506844E-4</v>
      </c>
      <c r="AO83" s="138">
        <f t="shared" si="11"/>
        <v>3.1405147366236051E-3</v>
      </c>
      <c r="AP83" s="311">
        <f t="shared" si="36"/>
        <v>1.0938877040385622E-2</v>
      </c>
      <c r="AQ83" s="11">
        <f t="shared" si="37"/>
        <v>3.2687938450093493E-3</v>
      </c>
      <c r="AR83" s="21">
        <f t="shared" si="38"/>
        <v>1.420767088539497E-2</v>
      </c>
      <c r="AS83" s="11">
        <f t="shared" si="12"/>
        <v>1.5024440383627744E-2</v>
      </c>
      <c r="AT83" s="21">
        <f t="shared" si="39"/>
        <v>1.5024440383627744E-2</v>
      </c>
      <c r="AU83" s="170">
        <f>Sizing!JC97</f>
        <v>3.3006550714747922E-3</v>
      </c>
      <c r="AV83" s="272">
        <f>Sizing!JD97</f>
        <v>5.7451327847794713E-2</v>
      </c>
      <c r="AW83" s="170">
        <f>Sizing!JC97</f>
        <v>3.3006550714747922E-3</v>
      </c>
      <c r="AX83" s="272">
        <f>Sizing!JD97</f>
        <v>5.7451327847794713E-2</v>
      </c>
      <c r="AY83" s="216">
        <f>Sizing!IT97</f>
        <v>0.25</v>
      </c>
      <c r="AZ83" s="216">
        <f>Sizing!IU97</f>
        <v>1.5748031496062995E-2</v>
      </c>
      <c r="BA83" s="17">
        <f>Sizing!IV97</f>
        <v>1.5748031496062995E-2</v>
      </c>
      <c r="BB83" s="216">
        <f t="shared" si="13"/>
        <v>2.4179687736685367E-3</v>
      </c>
      <c r="BC83" s="138">
        <f t="shared" si="14"/>
        <v>7.2254596295506844E-4</v>
      </c>
      <c r="BD83" s="138">
        <f t="shared" si="15"/>
        <v>3.1405147366236051E-3</v>
      </c>
      <c r="BE83" s="311">
        <f t="shared" si="16"/>
        <v>5.4694385201928108E-3</v>
      </c>
      <c r="BF83" s="11">
        <f t="shared" si="17"/>
        <v>1.6343969225046746E-3</v>
      </c>
      <c r="BG83" s="21">
        <f t="shared" si="18"/>
        <v>7.1038354426974848E-3</v>
      </c>
      <c r="BH83" s="21">
        <f t="shared" si="19"/>
        <v>2.3942643452594753E-4</v>
      </c>
      <c r="BI83" s="21">
        <f t="shared" si="20"/>
        <v>2.3942643452594753E-4</v>
      </c>
      <c r="BJ83" s="561"/>
      <c r="BK83">
        <f t="shared" si="21"/>
        <v>0.88418638000000005</v>
      </c>
      <c r="BL83">
        <f t="shared" si="22"/>
        <v>0.88418638000000005</v>
      </c>
      <c r="BM83">
        <f>C83*'Inputs-Imperial'!$E$12</f>
        <v>0.44209319000000002</v>
      </c>
      <c r="BN83">
        <f>C83*'Inputs-Imperial'!$E$12</f>
        <v>0.44209319000000002</v>
      </c>
      <c r="BO83">
        <f>C83*'Inputs-Imperial'!$E$12</f>
        <v>0.44209319000000002</v>
      </c>
      <c r="BP83">
        <f>C83*'Weight '!$E$15</f>
        <v>0.88418638000000005</v>
      </c>
      <c r="BQ83">
        <f>C83*'Weight '!$E$15</f>
        <v>0.88418638000000005</v>
      </c>
      <c r="BR83">
        <f>C83*'Weight '!$E$15</f>
        <v>0.88418638000000005</v>
      </c>
      <c r="BS83">
        <f t="shared" si="23"/>
        <v>0.19664957579112366</v>
      </c>
      <c r="BT83" s="564">
        <f t="shared" si="24"/>
        <v>0.24453565535542815</v>
      </c>
      <c r="BU83">
        <f t="shared" si="40"/>
        <v>0.80417547087477714</v>
      </c>
    </row>
    <row r="84" spans="1:73" x14ac:dyDescent="0.25">
      <c r="A84" s="186">
        <v>38</v>
      </c>
      <c r="B84" s="187">
        <f>A84/100*'Inputs-Imperial'!$E$5</f>
        <v>3.7401576000000003</v>
      </c>
      <c r="C84" s="188">
        <f>'Inputs-Imperial'!$E$10+('Inputs-Imperial'!$E$9-'Inputs-Imperial'!$E$10)*(100-A84)/100</f>
        <v>1.75853024</v>
      </c>
      <c r="D84" s="187">
        <f t="shared" si="25"/>
        <v>9.8425200000000324E-2</v>
      </c>
      <c r="E84" s="188">
        <f t="shared" si="26"/>
        <v>0.17356806657780058</v>
      </c>
      <c r="F84" s="423">
        <f>Sizing!F98</f>
        <v>65.282680199088574</v>
      </c>
      <c r="G84" s="423">
        <f>Sizing!G98</f>
        <v>652.82680199088543</v>
      </c>
      <c r="H84" s="423">
        <f>Sizing!H98</f>
        <v>1782.4191417547127</v>
      </c>
      <c r="I84" s="423">
        <f>Sizing!I98</f>
        <v>-532.11861416717909</v>
      </c>
      <c r="J84" s="189">
        <f>Sizing!J98</f>
        <v>178.24191417547132</v>
      </c>
      <c r="K84" s="128">
        <v>38</v>
      </c>
      <c r="L84" s="12">
        <f t="shared" si="5"/>
        <v>44.881891200000005</v>
      </c>
      <c r="M84" s="11">
        <f t="shared" si="5"/>
        <v>21.102362880000001</v>
      </c>
      <c r="N84" s="11">
        <f t="shared" si="5"/>
        <v>1.1811024000000039</v>
      </c>
      <c r="O84" s="152">
        <f t="shared" si="27"/>
        <v>24.993801587203286</v>
      </c>
      <c r="P84" s="8">
        <f t="shared" si="41"/>
        <v>3.7984253184000001</v>
      </c>
      <c r="Q84" s="12">
        <f t="shared" si="28"/>
        <v>4.4988842856965912</v>
      </c>
      <c r="R84" s="8">
        <f t="shared" si="42"/>
        <v>1.8992126592</v>
      </c>
      <c r="S84" s="12">
        <f t="shared" si="29"/>
        <v>2.2494421428482956</v>
      </c>
      <c r="T84" s="17">
        <f>Sizing!CN98</f>
        <v>0.25</v>
      </c>
      <c r="U84" s="17">
        <f>Sizing!CO98</f>
        <v>2.3622047244094495E-2</v>
      </c>
      <c r="V84" s="17">
        <f>Sizing!CP98</f>
        <v>1.5748031496062995E-2</v>
      </c>
      <c r="W84" s="128">
        <f t="shared" si="6"/>
        <v>3.0224609670856709E-3</v>
      </c>
      <c r="X84" s="2">
        <f t="shared" si="7"/>
        <v>7.2254596295506844E-4</v>
      </c>
      <c r="Y84" s="2">
        <f t="shared" si="8"/>
        <v>3.7450069300407392E-3</v>
      </c>
      <c r="Z84" s="216">
        <f t="shared" si="30"/>
        <v>7.8000005733554867E-2</v>
      </c>
      <c r="AA84" s="138">
        <f t="shared" si="31"/>
        <v>1.8646589605950992E-2</v>
      </c>
      <c r="AB84" s="17">
        <f t="shared" si="32"/>
        <v>9.6646595339505856E-2</v>
      </c>
      <c r="AC84" s="311">
        <f t="shared" si="33"/>
        <v>7.6655178048493561E-2</v>
      </c>
      <c r="AD84" s="316">
        <f t="shared" si="34"/>
        <v>1.8325096681710458E-2</v>
      </c>
      <c r="AE84" s="21">
        <f t="shared" si="35"/>
        <v>9.4980274730204026E-2</v>
      </c>
      <c r="AF84" s="170">
        <f>Sizing!DU98</f>
        <v>0.20712205586855234</v>
      </c>
      <c r="AG84" s="170">
        <f>Sizing!DV98</f>
        <v>0.45510664230326536</v>
      </c>
      <c r="AH84" s="170">
        <f>Sizing!DW98</f>
        <v>0.20712205586855234</v>
      </c>
      <c r="AI84" s="272">
        <f>Sizing!DX98</f>
        <v>0.45510664230326536</v>
      </c>
      <c r="AJ84" s="216">
        <f>Sizing!GJ98</f>
        <v>0.25</v>
      </c>
      <c r="AK84" s="216">
        <f>Sizing!GK98</f>
        <v>1.5748031496062995E-2</v>
      </c>
      <c r="AL84" s="17">
        <f>Sizing!GL98</f>
        <v>1.5748031496062995E-2</v>
      </c>
      <c r="AM84" s="216">
        <f t="shared" si="9"/>
        <v>2.4179687736685367E-3</v>
      </c>
      <c r="AN84" s="138">
        <f t="shared" si="10"/>
        <v>7.2254596295506844E-4</v>
      </c>
      <c r="AO84" s="138">
        <f t="shared" si="11"/>
        <v>3.1405147366236051E-3</v>
      </c>
      <c r="AP84" s="311">
        <f t="shared" si="36"/>
        <v>1.0878161719162437E-2</v>
      </c>
      <c r="AQ84" s="11">
        <f t="shared" si="37"/>
        <v>3.2506506784320687E-3</v>
      </c>
      <c r="AR84" s="21">
        <f t="shared" si="38"/>
        <v>1.4128812397594505E-2</v>
      </c>
      <c r="AS84" s="11">
        <f t="shared" si="12"/>
        <v>1.5024440383627814E-2</v>
      </c>
      <c r="AT84" s="21">
        <f t="shared" si="39"/>
        <v>1.5024440383627814E-2</v>
      </c>
      <c r="AU84" s="170">
        <f>Sizing!JC98</f>
        <v>3.3006550714747922E-3</v>
      </c>
      <c r="AV84" s="272">
        <f>Sizing!JD98</f>
        <v>5.7451327847794713E-2</v>
      </c>
      <c r="AW84" s="170">
        <f>Sizing!JC98</f>
        <v>3.3006550714747922E-3</v>
      </c>
      <c r="AX84" s="272">
        <f>Sizing!JD98</f>
        <v>5.7451327847794713E-2</v>
      </c>
      <c r="AY84" s="216">
        <f>Sizing!IT98</f>
        <v>0.25</v>
      </c>
      <c r="AZ84" s="216">
        <f>Sizing!IU98</f>
        <v>1.5748031496062995E-2</v>
      </c>
      <c r="BA84" s="17">
        <f>Sizing!IV98</f>
        <v>1.5748031496062995E-2</v>
      </c>
      <c r="BB84" s="216">
        <f t="shared" si="13"/>
        <v>2.4179687736685367E-3</v>
      </c>
      <c r="BC84" s="138">
        <f t="shared" si="14"/>
        <v>7.2254596295506844E-4</v>
      </c>
      <c r="BD84" s="138">
        <f t="shared" si="15"/>
        <v>3.1405147366236051E-3</v>
      </c>
      <c r="BE84" s="311">
        <f t="shared" si="16"/>
        <v>5.4390808595812185E-3</v>
      </c>
      <c r="BF84" s="11">
        <f t="shared" si="17"/>
        <v>1.6253253392160343E-3</v>
      </c>
      <c r="BG84" s="21">
        <f t="shared" si="18"/>
        <v>7.0644061987972526E-3</v>
      </c>
      <c r="BH84" s="21">
        <f t="shared" si="19"/>
        <v>2.3942643452594858E-4</v>
      </c>
      <c r="BI84" s="21">
        <f t="shared" si="20"/>
        <v>2.3942643452594858E-4</v>
      </c>
      <c r="BJ84" s="561"/>
      <c r="BK84">
        <f t="shared" si="21"/>
        <v>0.87926512000000001</v>
      </c>
      <c r="BL84">
        <f t="shared" si="22"/>
        <v>0.87926512000000001</v>
      </c>
      <c r="BM84">
        <f>C84*'Inputs-Imperial'!$E$12</f>
        <v>0.43963256000000001</v>
      </c>
      <c r="BN84">
        <f>C84*'Inputs-Imperial'!$E$12</f>
        <v>0.43963256000000001</v>
      </c>
      <c r="BO84">
        <f>C84*'Inputs-Imperial'!$E$12</f>
        <v>0.43963256000000001</v>
      </c>
      <c r="BP84">
        <f>C84*'Weight '!$E$15</f>
        <v>0.87926512000000001</v>
      </c>
      <c r="BQ84">
        <f>C84*'Weight '!$E$15</f>
        <v>0.87926512000000001</v>
      </c>
      <c r="BR84">
        <f>C84*'Weight '!$E$15</f>
        <v>0.87926512000000001</v>
      </c>
      <c r="BS84">
        <f t="shared" si="23"/>
        <v>0.1945452998375089</v>
      </c>
      <c r="BT84" s="564">
        <f t="shared" si="24"/>
        <v>0.2433478223024092</v>
      </c>
      <c r="BU84">
        <f t="shared" si="40"/>
        <v>0.79945362977502532</v>
      </c>
    </row>
    <row r="85" spans="1:73" x14ac:dyDescent="0.25">
      <c r="A85" s="186">
        <v>39</v>
      </c>
      <c r="B85" s="187">
        <f>A85/100*'Inputs-Imperial'!$E$5</f>
        <v>3.8385828000000002</v>
      </c>
      <c r="C85" s="188">
        <f>'Inputs-Imperial'!$E$10+('Inputs-Imperial'!$E$9-'Inputs-Imperial'!$E$10)*(100-A85)/100</f>
        <v>1.7486877199999999</v>
      </c>
      <c r="D85" s="187">
        <f t="shared" si="25"/>
        <v>9.8425199999999879E-2</v>
      </c>
      <c r="E85" s="188">
        <f t="shared" si="26"/>
        <v>0.1725993145782958</v>
      </c>
      <c r="F85" s="423">
        <f>Sizing!F99</f>
        <v>63.92246549539923</v>
      </c>
      <c r="G85" s="423">
        <f>Sizing!G99</f>
        <v>639.22465495399194</v>
      </c>
      <c r="H85" s="423">
        <f>Sizing!H99</f>
        <v>1718.1645332033995</v>
      </c>
      <c r="I85" s="423">
        <f>Sizing!I99</f>
        <v>-518.38337005251219</v>
      </c>
      <c r="J85" s="189">
        <f>Sizing!J99</f>
        <v>171.81645332034</v>
      </c>
      <c r="K85" s="128">
        <v>39</v>
      </c>
      <c r="L85" s="12">
        <f t="shared" si="5"/>
        <v>46.062993599999999</v>
      </c>
      <c r="M85" s="11">
        <f t="shared" si="5"/>
        <v>20.984252640000001</v>
      </c>
      <c r="N85" s="11">
        <f t="shared" si="5"/>
        <v>1.1811023999999986</v>
      </c>
      <c r="O85" s="152">
        <f t="shared" si="27"/>
        <v>24.854301299274596</v>
      </c>
      <c r="P85" s="8">
        <f t="shared" si="41"/>
        <v>3.7771654751999999</v>
      </c>
      <c r="Q85" s="12">
        <f t="shared" si="28"/>
        <v>4.4737742338694266</v>
      </c>
      <c r="R85" s="8">
        <f t="shared" si="42"/>
        <v>1.8885827376</v>
      </c>
      <c r="S85" s="12">
        <f t="shared" si="29"/>
        <v>2.2368871169347133</v>
      </c>
      <c r="T85" s="17">
        <f>Sizing!CN99</f>
        <v>0.25</v>
      </c>
      <c r="U85" s="17">
        <f>Sizing!CO99</f>
        <v>2.3622047244094495E-2</v>
      </c>
      <c r="V85" s="17">
        <f>Sizing!CP99</f>
        <v>1.5748031496062995E-2</v>
      </c>
      <c r="W85" s="128">
        <f t="shared" si="6"/>
        <v>3.0224609670856709E-3</v>
      </c>
      <c r="X85" s="2">
        <f t="shared" si="7"/>
        <v>7.2254596295506844E-4</v>
      </c>
      <c r="Y85" s="2">
        <f t="shared" si="8"/>
        <v>3.7450069300407392E-3</v>
      </c>
      <c r="Z85" s="216">
        <f t="shared" si="30"/>
        <v>7.7564656864343967E-2</v>
      </c>
      <c r="AA85" s="138">
        <f t="shared" si="31"/>
        <v>1.8542515617452574E-2</v>
      </c>
      <c r="AB85" s="17">
        <f t="shared" si="32"/>
        <v>9.6107172481796538E-2</v>
      </c>
      <c r="AC85" s="311">
        <f t="shared" si="33"/>
        <v>7.6227335194269066E-2</v>
      </c>
      <c r="AD85" s="316">
        <f t="shared" si="34"/>
        <v>1.8222817072324083E-2</v>
      </c>
      <c r="AE85" s="21">
        <f t="shared" si="35"/>
        <v>9.4450152266593146E-2</v>
      </c>
      <c r="AF85" s="170">
        <f>Sizing!DU99</f>
        <v>0.20712205586855234</v>
      </c>
      <c r="AG85" s="170">
        <f>Sizing!DV99</f>
        <v>0.45510664230326536</v>
      </c>
      <c r="AH85" s="170">
        <f>Sizing!DW99</f>
        <v>0.20712205586855234</v>
      </c>
      <c r="AI85" s="272">
        <f>Sizing!DX99</f>
        <v>0.45510664230326536</v>
      </c>
      <c r="AJ85" s="216">
        <f>Sizing!GJ99</f>
        <v>0.25</v>
      </c>
      <c r="AK85" s="216">
        <f>Sizing!GK99</f>
        <v>1.5748031496062995E-2</v>
      </c>
      <c r="AL85" s="17">
        <f>Sizing!GL99</f>
        <v>1.5748031496062995E-2</v>
      </c>
      <c r="AM85" s="216">
        <f t="shared" si="9"/>
        <v>2.4179687736685367E-3</v>
      </c>
      <c r="AN85" s="138">
        <f t="shared" si="10"/>
        <v>7.2254596295506844E-4</v>
      </c>
      <c r="AO85" s="138">
        <f t="shared" si="11"/>
        <v>3.1405147366236051E-3</v>
      </c>
      <c r="AP85" s="311">
        <f t="shared" si="36"/>
        <v>1.0817446397939155E-2</v>
      </c>
      <c r="AQ85" s="11">
        <f t="shared" si="37"/>
        <v>3.2325075118547586E-3</v>
      </c>
      <c r="AR85" s="21">
        <f t="shared" si="38"/>
        <v>1.4049953909793913E-2</v>
      </c>
      <c r="AS85" s="11">
        <f t="shared" si="12"/>
        <v>1.5024440383627744E-2</v>
      </c>
      <c r="AT85" s="21">
        <f t="shared" si="39"/>
        <v>1.5024440383627744E-2</v>
      </c>
      <c r="AU85" s="170">
        <f>Sizing!JC99</f>
        <v>3.3006550714747922E-3</v>
      </c>
      <c r="AV85" s="272">
        <f>Sizing!JD99</f>
        <v>5.7451327847794713E-2</v>
      </c>
      <c r="AW85" s="170">
        <f>Sizing!JC99</f>
        <v>3.3006550714747922E-3</v>
      </c>
      <c r="AX85" s="272">
        <f>Sizing!JD99</f>
        <v>5.7451327847794713E-2</v>
      </c>
      <c r="AY85" s="216">
        <f>Sizing!IT99</f>
        <v>0.25</v>
      </c>
      <c r="AZ85" s="216">
        <f>Sizing!IU99</f>
        <v>1.5748031496062995E-2</v>
      </c>
      <c r="BA85" s="17">
        <f>Sizing!IV99</f>
        <v>1.5748031496062995E-2</v>
      </c>
      <c r="BB85" s="216">
        <f t="shared" si="13"/>
        <v>2.4179687736685367E-3</v>
      </c>
      <c r="BC85" s="138">
        <f t="shared" si="14"/>
        <v>7.2254596295506844E-4</v>
      </c>
      <c r="BD85" s="138">
        <f t="shared" si="15"/>
        <v>3.1405147366236051E-3</v>
      </c>
      <c r="BE85" s="311">
        <f t="shared" si="16"/>
        <v>5.4087231989695776E-3</v>
      </c>
      <c r="BF85" s="11">
        <f t="shared" si="17"/>
        <v>1.6162537559273793E-3</v>
      </c>
      <c r="BG85" s="21">
        <f t="shared" si="18"/>
        <v>7.0249769548969563E-3</v>
      </c>
      <c r="BH85" s="21">
        <f t="shared" si="19"/>
        <v>2.3942643452594753E-4</v>
      </c>
      <c r="BI85" s="21">
        <f t="shared" si="20"/>
        <v>2.3942643452594753E-4</v>
      </c>
      <c r="BJ85" s="561"/>
      <c r="BK85">
        <f t="shared" si="21"/>
        <v>0.87434385999999997</v>
      </c>
      <c r="BL85">
        <f t="shared" si="22"/>
        <v>0.87434385999999997</v>
      </c>
      <c r="BM85">
        <f>C85*'Inputs-Imperial'!$E$12</f>
        <v>0.43717192999999999</v>
      </c>
      <c r="BN85">
        <f>C85*'Inputs-Imperial'!$E$12</f>
        <v>0.43717192999999999</v>
      </c>
      <c r="BO85">
        <f>C85*'Inputs-Imperial'!$E$12</f>
        <v>0.43717192999999999</v>
      </c>
      <c r="BP85">
        <f>C85*'Weight '!$E$15</f>
        <v>0.87434385999999997</v>
      </c>
      <c r="BQ85">
        <f>C85*'Weight '!$E$15</f>
        <v>0.87434385999999997</v>
      </c>
      <c r="BR85">
        <f>C85*'Weight '!$E$15</f>
        <v>0.87434385999999997</v>
      </c>
      <c r="BS85">
        <f t="shared" si="23"/>
        <v>0.19245232707135171</v>
      </c>
      <c r="BT85" s="564">
        <f t="shared" si="24"/>
        <v>0.24215998924938795</v>
      </c>
      <c r="BU85">
        <f t="shared" si="40"/>
        <v>0.79473214244800405</v>
      </c>
    </row>
    <row r="86" spans="1:73" x14ac:dyDescent="0.25">
      <c r="A86" s="186">
        <v>40</v>
      </c>
      <c r="B86" s="187">
        <f>A86/100*'Inputs-Imperial'!$E$5</f>
        <v>3.9370080000000005</v>
      </c>
      <c r="C86" s="188">
        <f>'Inputs-Imperial'!$E$10+('Inputs-Imperial'!$E$9-'Inputs-Imperial'!$E$10)*(100-A86)/100</f>
        <v>1.7388452000000001</v>
      </c>
      <c r="D86" s="187">
        <f t="shared" si="25"/>
        <v>9.8425200000000324E-2</v>
      </c>
      <c r="E86" s="188">
        <f t="shared" si="26"/>
        <v>0.17163056257879256</v>
      </c>
      <c r="F86" s="423">
        <f>Sizing!F100</f>
        <v>62.569156520191456</v>
      </c>
      <c r="G86" s="423">
        <f>Sizing!G100</f>
        <v>625.69156520191427</v>
      </c>
      <c r="H86" s="423">
        <f>Sizing!H100</f>
        <v>1655.2487186946216</v>
      </c>
      <c r="I86" s="423">
        <f>Sizing!I100</f>
        <v>-504.78791104648616</v>
      </c>
      <c r="J86" s="189">
        <f>Sizing!J100</f>
        <v>165.5248718694622</v>
      </c>
      <c r="K86" s="128">
        <v>40</v>
      </c>
      <c r="L86" s="12">
        <f t="shared" si="5"/>
        <v>47.244096000000006</v>
      </c>
      <c r="M86" s="11">
        <f t="shared" si="5"/>
        <v>20.866142400000001</v>
      </c>
      <c r="N86" s="11">
        <f t="shared" si="5"/>
        <v>1.1811024000000039</v>
      </c>
      <c r="O86" s="152">
        <f t="shared" si="27"/>
        <v>24.714801011346125</v>
      </c>
      <c r="P86" s="8">
        <f t="shared" si="41"/>
        <v>3.7559056320000002</v>
      </c>
      <c r="Q86" s="12">
        <f t="shared" si="28"/>
        <v>4.448664182042303</v>
      </c>
      <c r="R86" s="8">
        <f t="shared" si="42"/>
        <v>1.8779528160000001</v>
      </c>
      <c r="S86" s="12">
        <f t="shared" si="29"/>
        <v>2.2243320910211515</v>
      </c>
      <c r="T86" s="17">
        <f>Sizing!CN100</f>
        <v>0.25</v>
      </c>
      <c r="U86" s="17">
        <f>Sizing!CO100</f>
        <v>2.3622047244094495E-2</v>
      </c>
      <c r="V86" s="17">
        <f>Sizing!CP100</f>
        <v>1.5748031496062995E-2</v>
      </c>
      <c r="W86" s="128">
        <f t="shared" si="6"/>
        <v>3.0224609670856709E-3</v>
      </c>
      <c r="X86" s="2">
        <f t="shared" si="7"/>
        <v>7.2254596295506844E-4</v>
      </c>
      <c r="Y86" s="2">
        <f t="shared" si="8"/>
        <v>3.7450069300407392E-3</v>
      </c>
      <c r="Z86" s="216">
        <f t="shared" si="30"/>
        <v>7.7129307995133747E-2</v>
      </c>
      <c r="AA86" s="138">
        <f t="shared" si="31"/>
        <v>1.8438441628954323E-2</v>
      </c>
      <c r="AB86" s="17">
        <f t="shared" si="32"/>
        <v>9.5567749624088066E-2</v>
      </c>
      <c r="AC86" s="311">
        <f t="shared" si="33"/>
        <v>7.5799492340045238E-2</v>
      </c>
      <c r="AD86" s="316">
        <f t="shared" si="34"/>
        <v>1.8120537462937868E-2</v>
      </c>
      <c r="AE86" s="21">
        <f t="shared" si="35"/>
        <v>9.3920029802983099E-2</v>
      </c>
      <c r="AF86" s="170">
        <f>Sizing!DU100</f>
        <v>0.15260733333097529</v>
      </c>
      <c r="AG86" s="170">
        <f>Sizing!DV100</f>
        <v>0.39064988587093596</v>
      </c>
      <c r="AH86" s="170">
        <f>Sizing!DW100</f>
        <v>0.15260733333097529</v>
      </c>
      <c r="AI86" s="272">
        <f>Sizing!DX100</f>
        <v>0.39064988587093596</v>
      </c>
      <c r="AJ86" s="216">
        <f>Sizing!GJ100</f>
        <v>0.25</v>
      </c>
      <c r="AK86" s="216">
        <f>Sizing!GK100</f>
        <v>1.5748031496062995E-2</v>
      </c>
      <c r="AL86" s="17">
        <f>Sizing!GL100</f>
        <v>1.5748031496062995E-2</v>
      </c>
      <c r="AM86" s="216">
        <f t="shared" si="9"/>
        <v>2.4179687736685367E-3</v>
      </c>
      <c r="AN86" s="138">
        <f t="shared" si="10"/>
        <v>7.2254596295506844E-4</v>
      </c>
      <c r="AO86" s="138">
        <f t="shared" si="11"/>
        <v>3.1405147366236051E-3</v>
      </c>
      <c r="AP86" s="311">
        <f t="shared" si="36"/>
        <v>1.0756731076715971E-2</v>
      </c>
      <c r="AQ86" s="11">
        <f t="shared" si="37"/>
        <v>3.2143643452774776E-3</v>
      </c>
      <c r="AR86" s="21">
        <f t="shared" si="38"/>
        <v>1.3971095421993448E-2</v>
      </c>
      <c r="AS86" s="11">
        <f t="shared" si="12"/>
        <v>1.1069993353053528E-2</v>
      </c>
      <c r="AT86" s="21">
        <f t="shared" si="39"/>
        <v>1.1069993353053528E-2</v>
      </c>
      <c r="AU86" s="170">
        <f>Sizing!JC100</f>
        <v>2.4612277601232125E-3</v>
      </c>
      <c r="AV86" s="272">
        <f>Sizing!JD100</f>
        <v>4.9610762543254791E-2</v>
      </c>
      <c r="AW86" s="170">
        <f>Sizing!JC100</f>
        <v>2.4612277601232125E-3</v>
      </c>
      <c r="AX86" s="272">
        <f>Sizing!JD100</f>
        <v>4.9610762543254791E-2</v>
      </c>
      <c r="AY86" s="216">
        <f>Sizing!IT100</f>
        <v>0.25</v>
      </c>
      <c r="AZ86" s="216">
        <f>Sizing!IU100</f>
        <v>1.5748031496062995E-2</v>
      </c>
      <c r="BA86" s="17">
        <f>Sizing!IV100</f>
        <v>1.5748031496062995E-2</v>
      </c>
      <c r="BB86" s="216">
        <f t="shared" si="13"/>
        <v>2.4179687736685367E-3</v>
      </c>
      <c r="BC86" s="138">
        <f t="shared" si="14"/>
        <v>7.2254596295506844E-4</v>
      </c>
      <c r="BD86" s="138">
        <f t="shared" si="15"/>
        <v>3.1405147366236051E-3</v>
      </c>
      <c r="BE86" s="311">
        <f t="shared" si="16"/>
        <v>5.3783655383579853E-3</v>
      </c>
      <c r="BF86" s="11">
        <f t="shared" si="17"/>
        <v>1.6071821726387388E-3</v>
      </c>
      <c r="BG86" s="21">
        <f t="shared" si="18"/>
        <v>6.9855477109967241E-3</v>
      </c>
      <c r="BH86" s="21">
        <f t="shared" si="19"/>
        <v>1.7853516177904804E-4</v>
      </c>
      <c r="BI86" s="21">
        <f t="shared" si="20"/>
        <v>1.7853516177904804E-4</v>
      </c>
      <c r="BJ86" s="561"/>
      <c r="BK86">
        <f t="shared" si="21"/>
        <v>0.86942260000000005</v>
      </c>
      <c r="BL86">
        <f t="shared" si="22"/>
        <v>0.86942260000000005</v>
      </c>
      <c r="BM86">
        <f>C86*'Inputs-Imperial'!$E$12</f>
        <v>0.43471130000000002</v>
      </c>
      <c r="BN86">
        <f>C86*'Inputs-Imperial'!$E$12</f>
        <v>0.43471130000000002</v>
      </c>
      <c r="BO86">
        <f>C86*'Inputs-Imperial'!$E$12</f>
        <v>0.43471130000000002</v>
      </c>
      <c r="BP86">
        <f>C86*'Weight '!$E$15</f>
        <v>0.86942260000000005</v>
      </c>
      <c r="BQ86">
        <f>C86*'Weight '!$E$15</f>
        <v>0.86942260000000005</v>
      </c>
      <c r="BR86">
        <f>C86*'Weight '!$E$15</f>
        <v>0.86942260000000005</v>
      </c>
      <c r="BS86">
        <f t="shared" si="23"/>
        <v>0.18682669137643362</v>
      </c>
      <c r="BT86" s="564">
        <f t="shared" si="24"/>
        <v>0.2329414795897265</v>
      </c>
      <c r="BU86">
        <f t="shared" si="40"/>
        <v>0.80203273245059836</v>
      </c>
    </row>
    <row r="87" spans="1:73" x14ac:dyDescent="0.25">
      <c r="A87" s="186">
        <v>41</v>
      </c>
      <c r="B87" s="187">
        <f>A87/100*'Inputs-Imperial'!$E$5</f>
        <v>4.0354331999999999</v>
      </c>
      <c r="C87" s="188">
        <f>'Inputs-Imperial'!$E$10+('Inputs-Imperial'!$E$9-'Inputs-Imperial'!$E$10)*(100-A87)/100</f>
        <v>1.72900268</v>
      </c>
      <c r="D87" s="187">
        <f t="shared" si="25"/>
        <v>9.8425199999999435E-2</v>
      </c>
      <c r="E87" s="188">
        <f t="shared" si="26"/>
        <v>0.170661810579287</v>
      </c>
      <c r="F87" s="423">
        <f>Sizing!F101</f>
        <v>61.222852825011948</v>
      </c>
      <c r="G87" s="423">
        <f>Sizing!G101</f>
        <v>612.22852825011921</v>
      </c>
      <c r="H87" s="423">
        <f>Sizing!H101</f>
        <v>1593.6649012513105</v>
      </c>
      <c r="I87" s="423">
        <f>Sizing!I101</f>
        <v>-491.33352166284101</v>
      </c>
      <c r="J87" s="189">
        <f>Sizing!J101</f>
        <v>159.36649012513109</v>
      </c>
      <c r="K87" s="128">
        <v>41</v>
      </c>
      <c r="L87" s="12">
        <f t="shared" si="5"/>
        <v>48.425198399999999</v>
      </c>
      <c r="M87" s="11">
        <f t="shared" si="5"/>
        <v>20.748032160000001</v>
      </c>
      <c r="N87" s="11">
        <f t="shared" si="5"/>
        <v>1.1811023999999932</v>
      </c>
      <c r="O87" s="152">
        <f t="shared" si="27"/>
        <v>24.575300723417328</v>
      </c>
      <c r="P87" s="8">
        <f t="shared" si="41"/>
        <v>3.7346457888</v>
      </c>
      <c r="Q87" s="12">
        <f t="shared" si="28"/>
        <v>4.4235541302151198</v>
      </c>
      <c r="R87" s="8">
        <f t="shared" si="42"/>
        <v>1.8673228944</v>
      </c>
      <c r="S87" s="12">
        <f t="shared" si="29"/>
        <v>2.2117770651075599</v>
      </c>
      <c r="T87" s="17">
        <f>Sizing!CN101</f>
        <v>0.25</v>
      </c>
      <c r="U87" s="17">
        <f>Sizing!CO101</f>
        <v>2.3622047244094495E-2</v>
      </c>
      <c r="V87" s="17">
        <f>Sizing!CP101</f>
        <v>1.5748031496062995E-2</v>
      </c>
      <c r="W87" s="128">
        <f t="shared" si="6"/>
        <v>3.0224609670856709E-3</v>
      </c>
      <c r="X87" s="2">
        <f t="shared" si="7"/>
        <v>7.2254596295506844E-4</v>
      </c>
      <c r="Y87" s="2">
        <f t="shared" si="8"/>
        <v>3.7450069300407392E-3</v>
      </c>
      <c r="Z87" s="216">
        <f t="shared" si="30"/>
        <v>7.6693959125922528E-2</v>
      </c>
      <c r="AA87" s="138">
        <f t="shared" si="31"/>
        <v>1.8334367640455828E-2</v>
      </c>
      <c r="AB87" s="17">
        <f t="shared" si="32"/>
        <v>9.502832676637836E-2</v>
      </c>
      <c r="AC87" s="311">
        <f t="shared" si="33"/>
        <v>7.5371649485820411E-2</v>
      </c>
      <c r="AD87" s="316">
        <f t="shared" si="34"/>
        <v>1.8018257853551416E-2</v>
      </c>
      <c r="AE87" s="21">
        <f t="shared" si="35"/>
        <v>9.338990733937183E-2</v>
      </c>
      <c r="AF87" s="170">
        <f>Sizing!DU101</f>
        <v>0.15260733333097529</v>
      </c>
      <c r="AG87" s="170">
        <f>Sizing!DV101</f>
        <v>0.39064988587093596</v>
      </c>
      <c r="AH87" s="170">
        <f>Sizing!DW101</f>
        <v>0.15260733333097529</v>
      </c>
      <c r="AI87" s="272">
        <f>Sizing!DX101</f>
        <v>0.39064988587093596</v>
      </c>
      <c r="AJ87" s="216">
        <f>Sizing!GJ101</f>
        <v>0.25</v>
      </c>
      <c r="AK87" s="216">
        <f>Sizing!GK101</f>
        <v>1.5748031496062995E-2</v>
      </c>
      <c r="AL87" s="17">
        <f>Sizing!GL101</f>
        <v>1.5748031496062995E-2</v>
      </c>
      <c r="AM87" s="216">
        <f t="shared" si="9"/>
        <v>2.4179687736685367E-3</v>
      </c>
      <c r="AN87" s="138">
        <f t="shared" si="10"/>
        <v>7.2254596295506844E-4</v>
      </c>
      <c r="AO87" s="138">
        <f t="shared" si="11"/>
        <v>3.1405147366236051E-3</v>
      </c>
      <c r="AP87" s="311">
        <f t="shared" si="36"/>
        <v>1.0696015755492644E-2</v>
      </c>
      <c r="AQ87" s="11">
        <f t="shared" si="37"/>
        <v>3.196221178700154E-3</v>
      </c>
      <c r="AR87" s="21">
        <f t="shared" si="38"/>
        <v>1.3892236934192797E-2</v>
      </c>
      <c r="AS87" s="11">
        <f t="shared" si="12"/>
        <v>1.1069993353053427E-2</v>
      </c>
      <c r="AT87" s="21">
        <f t="shared" si="39"/>
        <v>1.1069993353053427E-2</v>
      </c>
      <c r="AU87" s="170">
        <f>Sizing!JC101</f>
        <v>2.4612277601232125E-3</v>
      </c>
      <c r="AV87" s="272">
        <f>Sizing!JD101</f>
        <v>4.9610762543254791E-2</v>
      </c>
      <c r="AW87" s="170">
        <f>Sizing!JC101</f>
        <v>2.4612277601232125E-3</v>
      </c>
      <c r="AX87" s="272">
        <f>Sizing!JD101</f>
        <v>4.9610762543254791E-2</v>
      </c>
      <c r="AY87" s="216">
        <f>Sizing!IT101</f>
        <v>0.25</v>
      </c>
      <c r="AZ87" s="216">
        <f>Sizing!IU101</f>
        <v>1.5748031496062995E-2</v>
      </c>
      <c r="BA87" s="17">
        <f>Sizing!IV101</f>
        <v>1.5748031496062995E-2</v>
      </c>
      <c r="BB87" s="216">
        <f t="shared" si="13"/>
        <v>2.4179687736685367E-3</v>
      </c>
      <c r="BC87" s="138">
        <f t="shared" si="14"/>
        <v>7.2254596295506844E-4</v>
      </c>
      <c r="BD87" s="138">
        <f t="shared" si="15"/>
        <v>3.1405147366236051E-3</v>
      </c>
      <c r="BE87" s="311">
        <f t="shared" si="16"/>
        <v>5.3480078777463219E-3</v>
      </c>
      <c r="BF87" s="11">
        <f t="shared" si="17"/>
        <v>1.598110589350077E-3</v>
      </c>
      <c r="BG87" s="21">
        <f t="shared" si="18"/>
        <v>6.9461184670963983E-3</v>
      </c>
      <c r="BH87" s="21">
        <f t="shared" si="19"/>
        <v>1.7853516177904644E-4</v>
      </c>
      <c r="BI87" s="21">
        <f t="shared" si="20"/>
        <v>1.7853516177904644E-4</v>
      </c>
      <c r="BJ87" s="561"/>
      <c r="BK87">
        <f t="shared" si="21"/>
        <v>0.86450134000000001</v>
      </c>
      <c r="BL87">
        <f t="shared" si="22"/>
        <v>0.86450134000000001</v>
      </c>
      <c r="BM87">
        <f>C87*'Inputs-Imperial'!$E$12</f>
        <v>0.43225067</v>
      </c>
      <c r="BN87">
        <f>C87*'Inputs-Imperial'!$E$12</f>
        <v>0.43225067</v>
      </c>
      <c r="BO87">
        <f>C87*'Inputs-Imperial'!$E$12</f>
        <v>0.43225067</v>
      </c>
      <c r="BP87">
        <f>C87*'Weight '!$E$15</f>
        <v>0.86450134000000001</v>
      </c>
      <c r="BQ87">
        <f>C87*'Weight '!$E$15</f>
        <v>0.86450134000000001</v>
      </c>
      <c r="BR87">
        <f>C87*'Weight '!$E$15</f>
        <v>0.86450134000000001</v>
      </c>
      <c r="BS87">
        <f t="shared" si="23"/>
        <v>0.1847763851707579</v>
      </c>
      <c r="BT87" s="564">
        <f t="shared" si="24"/>
        <v>0.23175364653670433</v>
      </c>
      <c r="BU87">
        <f t="shared" si="40"/>
        <v>0.7972965600845191</v>
      </c>
    </row>
    <row r="88" spans="1:73" x14ac:dyDescent="0.25">
      <c r="A88" s="186">
        <v>42</v>
      </c>
      <c r="B88" s="187">
        <f>A88/100*'Inputs-Imperial'!$E$5</f>
        <v>4.1338584000000003</v>
      </c>
      <c r="C88" s="188">
        <f>'Inputs-Imperial'!$E$10+('Inputs-Imperial'!$E$9-'Inputs-Imperial'!$E$10)*(100-A88)/100</f>
        <v>1.7191601599999999</v>
      </c>
      <c r="D88" s="187">
        <f t="shared" si="25"/>
        <v>9.8425200000000324E-2</v>
      </c>
      <c r="E88" s="188">
        <f t="shared" si="26"/>
        <v>0.16969305857978456</v>
      </c>
      <c r="F88" s="423">
        <f>Sizing!F102</f>
        <v>59.883655394399014</v>
      </c>
      <c r="G88" s="423">
        <f>Sizing!G102</f>
        <v>598.83655394398988</v>
      </c>
      <c r="H88" s="423">
        <f>Sizing!H102</f>
        <v>1533.4061859125868</v>
      </c>
      <c r="I88" s="423">
        <f>Sizing!I102</f>
        <v>-478.02148392839842</v>
      </c>
      <c r="J88" s="189">
        <f>Sizing!J102</f>
        <v>153.3406185912587</v>
      </c>
      <c r="K88" s="128">
        <v>42</v>
      </c>
      <c r="L88" s="12">
        <f t="shared" si="5"/>
        <v>49.6063008</v>
      </c>
      <c r="M88" s="11">
        <f t="shared" si="5"/>
        <v>20.629921920000001</v>
      </c>
      <c r="N88" s="11">
        <f t="shared" si="5"/>
        <v>1.1811024000000039</v>
      </c>
      <c r="O88" s="152">
        <f t="shared" si="27"/>
        <v>24.435800435488979</v>
      </c>
      <c r="P88" s="8">
        <f t="shared" si="41"/>
        <v>3.7133859456000002</v>
      </c>
      <c r="Q88" s="12">
        <f t="shared" si="28"/>
        <v>4.3984440783880165</v>
      </c>
      <c r="R88" s="8">
        <f t="shared" si="42"/>
        <v>1.8566929728000001</v>
      </c>
      <c r="S88" s="12">
        <f t="shared" si="29"/>
        <v>2.1992220391940083</v>
      </c>
      <c r="T88" s="17">
        <f>Sizing!CN102</f>
        <v>0.25</v>
      </c>
      <c r="U88" s="17">
        <f>Sizing!CO102</f>
        <v>2.3622047244094495E-2</v>
      </c>
      <c r="V88" s="17">
        <f>Sizing!CP102</f>
        <v>1.5748031496062995E-2</v>
      </c>
      <c r="W88" s="128">
        <f t="shared" si="6"/>
        <v>3.0224609670856709E-3</v>
      </c>
      <c r="X88" s="2">
        <f t="shared" si="7"/>
        <v>7.2254596295506844E-4</v>
      </c>
      <c r="Y88" s="2">
        <f t="shared" si="8"/>
        <v>3.7450069300407392E-3</v>
      </c>
      <c r="Z88" s="216">
        <f t="shared" si="30"/>
        <v>7.6258610256712697E-2</v>
      </c>
      <c r="AA88" s="138">
        <f t="shared" si="31"/>
        <v>1.8230293651957667E-2</v>
      </c>
      <c r="AB88" s="17">
        <f t="shared" si="32"/>
        <v>9.448890390867036E-2</v>
      </c>
      <c r="AC88" s="311">
        <f t="shared" si="33"/>
        <v>7.4943806631596957E-2</v>
      </c>
      <c r="AD88" s="316">
        <f t="shared" si="34"/>
        <v>1.7915978244165291E-2</v>
      </c>
      <c r="AE88" s="21">
        <f t="shared" si="35"/>
        <v>9.2859784875762255E-2</v>
      </c>
      <c r="AF88" s="170">
        <f>Sizing!DU102</f>
        <v>0.15260733333097529</v>
      </c>
      <c r="AG88" s="170">
        <f>Sizing!DV102</f>
        <v>0.39064988587093596</v>
      </c>
      <c r="AH88" s="170">
        <f>Sizing!DW102</f>
        <v>0.15260733333097529</v>
      </c>
      <c r="AI88" s="272">
        <f>Sizing!DX102</f>
        <v>0.39064988587093596</v>
      </c>
      <c r="AJ88" s="216">
        <f>Sizing!GJ102</f>
        <v>0.25</v>
      </c>
      <c r="AK88" s="216">
        <f>Sizing!GK102</f>
        <v>1.5748031496062995E-2</v>
      </c>
      <c r="AL88" s="17">
        <f>Sizing!GL102</f>
        <v>1.5748031496062995E-2</v>
      </c>
      <c r="AM88" s="216">
        <f t="shared" si="9"/>
        <v>2.4179687736685367E-3</v>
      </c>
      <c r="AN88" s="138">
        <f t="shared" si="10"/>
        <v>7.2254596295506844E-4</v>
      </c>
      <c r="AO88" s="138">
        <f t="shared" si="11"/>
        <v>3.1405147366236051E-3</v>
      </c>
      <c r="AP88" s="311">
        <f t="shared" si="36"/>
        <v>1.063530043426951E-2</v>
      </c>
      <c r="AQ88" s="11">
        <f t="shared" si="37"/>
        <v>3.1780780121228877E-3</v>
      </c>
      <c r="AR88" s="21">
        <f t="shared" si="38"/>
        <v>1.3813378446392396E-2</v>
      </c>
      <c r="AS88" s="11">
        <f t="shared" si="12"/>
        <v>1.1069993353053528E-2</v>
      </c>
      <c r="AT88" s="21">
        <f t="shared" si="39"/>
        <v>1.1069993353053528E-2</v>
      </c>
      <c r="AU88" s="170">
        <f>Sizing!JC102</f>
        <v>2.4612277601232125E-3</v>
      </c>
      <c r="AV88" s="272">
        <f>Sizing!JD102</f>
        <v>4.9610762543254791E-2</v>
      </c>
      <c r="AW88" s="170">
        <f>Sizing!JC102</f>
        <v>2.4612277601232125E-3</v>
      </c>
      <c r="AX88" s="272">
        <f>Sizing!JD102</f>
        <v>4.9610762543254791E-2</v>
      </c>
      <c r="AY88" s="216">
        <f>Sizing!IT102</f>
        <v>0.25</v>
      </c>
      <c r="AZ88" s="216">
        <f>Sizing!IU102</f>
        <v>1.5748031496062995E-2</v>
      </c>
      <c r="BA88" s="17">
        <f>Sizing!IV102</f>
        <v>1.5748031496062995E-2</v>
      </c>
      <c r="BB88" s="216">
        <f t="shared" si="13"/>
        <v>2.4179687736685367E-3</v>
      </c>
      <c r="BC88" s="138">
        <f t="shared" si="14"/>
        <v>7.2254596295506844E-4</v>
      </c>
      <c r="BD88" s="138">
        <f t="shared" si="15"/>
        <v>3.1405147366236051E-3</v>
      </c>
      <c r="BE88" s="311">
        <f t="shared" si="16"/>
        <v>5.3176502171347548E-3</v>
      </c>
      <c r="BF88" s="11">
        <f t="shared" si="17"/>
        <v>1.5890390060614439E-3</v>
      </c>
      <c r="BG88" s="21">
        <f t="shared" si="18"/>
        <v>6.9066892231961982E-3</v>
      </c>
      <c r="BH88" s="21">
        <f t="shared" si="19"/>
        <v>1.7853516177904804E-4</v>
      </c>
      <c r="BI88" s="21">
        <f t="shared" si="20"/>
        <v>1.7853516177904804E-4</v>
      </c>
      <c r="BJ88" s="561"/>
      <c r="BK88">
        <f t="shared" si="21"/>
        <v>0.85958007999999997</v>
      </c>
      <c r="BL88">
        <f t="shared" si="22"/>
        <v>0.85958007999999997</v>
      </c>
      <c r="BM88">
        <f>C88*'Inputs-Imperial'!$E$12</f>
        <v>0.42979003999999998</v>
      </c>
      <c r="BN88">
        <f>C88*'Inputs-Imperial'!$E$12</f>
        <v>0.42979003999999998</v>
      </c>
      <c r="BO88">
        <f>C88*'Inputs-Imperial'!$E$12</f>
        <v>0.42979003999999998</v>
      </c>
      <c r="BP88">
        <f>C88*'Weight '!$E$15</f>
        <v>0.85958007999999997</v>
      </c>
      <c r="BQ88">
        <f>C88*'Weight '!$E$15</f>
        <v>0.85958007999999997</v>
      </c>
      <c r="BR88">
        <f>C88*'Weight '!$E$15</f>
        <v>0.85958007999999997</v>
      </c>
      <c r="BS88">
        <f t="shared" si="23"/>
        <v>0.18273738215254487</v>
      </c>
      <c r="BT88" s="564">
        <f t="shared" si="24"/>
        <v>0.23056581348368638</v>
      </c>
      <c r="BU88">
        <f t="shared" si="40"/>
        <v>0.79256061161675384</v>
      </c>
    </row>
    <row r="89" spans="1:73" x14ac:dyDescent="0.25">
      <c r="A89" s="186">
        <v>43</v>
      </c>
      <c r="B89" s="187">
        <f>A89/100*'Inputs-Imperial'!$E$5</f>
        <v>4.2322835999999997</v>
      </c>
      <c r="C89" s="188">
        <f>'Inputs-Imperial'!$E$10+('Inputs-Imperial'!$E$9-'Inputs-Imperial'!$E$10)*(100-A89)/100</f>
        <v>1.7093176400000001</v>
      </c>
      <c r="D89" s="187">
        <f t="shared" si="25"/>
        <v>9.8425199999999435E-2</v>
      </c>
      <c r="E89" s="188">
        <f t="shared" si="26"/>
        <v>0.16872430658027904</v>
      </c>
      <c r="F89" s="423">
        <f>Sizing!F103</f>
        <v>58.551666717750557</v>
      </c>
      <c r="G89" s="423">
        <f>Sizing!G103</f>
        <v>585.51666717750527</v>
      </c>
      <c r="H89" s="423">
        <f>Sizing!H103</f>
        <v>1474.4655783233391</v>
      </c>
      <c r="I89" s="423">
        <f>Sizing!I103</f>
        <v>-464.85307775484478</v>
      </c>
      <c r="J89" s="189">
        <f>Sizing!J103</f>
        <v>147.44655783233392</v>
      </c>
      <c r="K89" s="128">
        <v>43</v>
      </c>
      <c r="L89" s="12">
        <f t="shared" si="5"/>
        <v>50.7874032</v>
      </c>
      <c r="M89" s="11">
        <f t="shared" si="5"/>
        <v>20.511811680000001</v>
      </c>
      <c r="N89" s="11">
        <f t="shared" si="5"/>
        <v>1.1811023999999932</v>
      </c>
      <c r="O89" s="152">
        <f t="shared" si="27"/>
        <v>24.296300147560181</v>
      </c>
      <c r="P89" s="8">
        <f t="shared" si="41"/>
        <v>3.6921261024000001</v>
      </c>
      <c r="Q89" s="12">
        <f t="shared" si="28"/>
        <v>4.3733340265608325</v>
      </c>
      <c r="R89" s="8">
        <f t="shared" si="42"/>
        <v>1.8460630512</v>
      </c>
      <c r="S89" s="12">
        <f t="shared" si="29"/>
        <v>2.1866670132804162</v>
      </c>
      <c r="T89" s="17">
        <f>Sizing!CN103</f>
        <v>0.25</v>
      </c>
      <c r="U89" s="17">
        <f>Sizing!CO103</f>
        <v>2.3622047244094495E-2</v>
      </c>
      <c r="V89" s="17">
        <f>Sizing!CP103</f>
        <v>1.5748031496062995E-2</v>
      </c>
      <c r="W89" s="128">
        <f t="shared" si="6"/>
        <v>3.0224609670856709E-3</v>
      </c>
      <c r="X89" s="2">
        <f t="shared" si="7"/>
        <v>7.2254596295506844E-4</v>
      </c>
      <c r="Y89" s="2">
        <f t="shared" si="8"/>
        <v>3.7450069300407392E-3</v>
      </c>
      <c r="Z89" s="216">
        <f t="shared" si="30"/>
        <v>7.5823261387501464E-2</v>
      </c>
      <c r="AA89" s="138">
        <f t="shared" si="31"/>
        <v>1.8126219663459169E-2</v>
      </c>
      <c r="AB89" s="17">
        <f t="shared" si="32"/>
        <v>9.3949481050960626E-2</v>
      </c>
      <c r="AC89" s="311">
        <f t="shared" si="33"/>
        <v>7.451596377737213E-2</v>
      </c>
      <c r="AD89" s="316">
        <f t="shared" si="34"/>
        <v>1.781369863477884E-2</v>
      </c>
      <c r="AE89" s="21">
        <f t="shared" si="35"/>
        <v>9.2329662412150973E-2</v>
      </c>
      <c r="AF89" s="170">
        <f>Sizing!DU103</f>
        <v>0.15260733333097529</v>
      </c>
      <c r="AG89" s="170">
        <f>Sizing!DV103</f>
        <v>0.39064988587093596</v>
      </c>
      <c r="AH89" s="170">
        <f>Sizing!DW103</f>
        <v>0.15260733333097529</v>
      </c>
      <c r="AI89" s="272">
        <f>Sizing!DX103</f>
        <v>0.39064988587093596</v>
      </c>
      <c r="AJ89" s="216">
        <f>Sizing!GJ103</f>
        <v>0.25</v>
      </c>
      <c r="AK89" s="216">
        <f>Sizing!GK103</f>
        <v>1.5748031496062995E-2</v>
      </c>
      <c r="AL89" s="17">
        <f>Sizing!GL103</f>
        <v>1.5748031496062995E-2</v>
      </c>
      <c r="AM89" s="216">
        <f t="shared" si="9"/>
        <v>2.4179687736685367E-3</v>
      </c>
      <c r="AN89" s="138">
        <f t="shared" si="10"/>
        <v>7.2254596295506844E-4</v>
      </c>
      <c r="AO89" s="138">
        <f t="shared" si="11"/>
        <v>3.1405147366236051E-3</v>
      </c>
      <c r="AP89" s="311">
        <f t="shared" si="36"/>
        <v>1.0574585113046179E-2</v>
      </c>
      <c r="AQ89" s="11">
        <f t="shared" si="37"/>
        <v>3.1599348455455638E-3</v>
      </c>
      <c r="AR89" s="21">
        <f t="shared" si="38"/>
        <v>1.3734519958591743E-2</v>
      </c>
      <c r="AS89" s="11">
        <f t="shared" si="12"/>
        <v>1.1069993353053427E-2</v>
      </c>
      <c r="AT89" s="21">
        <f t="shared" si="39"/>
        <v>1.1069993353053427E-2</v>
      </c>
      <c r="AU89" s="170">
        <f>Sizing!JC103</f>
        <v>2.4612277601232125E-3</v>
      </c>
      <c r="AV89" s="272">
        <f>Sizing!JD103</f>
        <v>4.9610762543254791E-2</v>
      </c>
      <c r="AW89" s="170">
        <f>Sizing!JC103</f>
        <v>2.4612277601232125E-3</v>
      </c>
      <c r="AX89" s="272">
        <f>Sizing!JD103</f>
        <v>4.9610762543254791E-2</v>
      </c>
      <c r="AY89" s="216">
        <f>Sizing!IT103</f>
        <v>0.25</v>
      </c>
      <c r="AZ89" s="216">
        <f>Sizing!IU103</f>
        <v>1.5748031496062995E-2</v>
      </c>
      <c r="BA89" s="17">
        <f>Sizing!IV103</f>
        <v>1.5748031496062995E-2</v>
      </c>
      <c r="BB89" s="216">
        <f t="shared" si="13"/>
        <v>2.4179687736685367E-3</v>
      </c>
      <c r="BC89" s="138">
        <f t="shared" si="14"/>
        <v>7.2254596295506844E-4</v>
      </c>
      <c r="BD89" s="138">
        <f t="shared" si="15"/>
        <v>3.1405147366236051E-3</v>
      </c>
      <c r="BE89" s="311">
        <f t="shared" si="16"/>
        <v>5.2872925565230896E-3</v>
      </c>
      <c r="BF89" s="11">
        <f t="shared" si="17"/>
        <v>1.5799674227727819E-3</v>
      </c>
      <c r="BG89" s="21">
        <f t="shared" si="18"/>
        <v>6.8672599792958715E-3</v>
      </c>
      <c r="BH89" s="21">
        <f t="shared" si="19"/>
        <v>1.7853516177904644E-4</v>
      </c>
      <c r="BI89" s="21">
        <f t="shared" si="20"/>
        <v>1.7853516177904644E-4</v>
      </c>
      <c r="BJ89" s="561"/>
      <c r="BK89">
        <f t="shared" si="21"/>
        <v>0.85465882000000004</v>
      </c>
      <c r="BL89">
        <f t="shared" si="22"/>
        <v>0.85465882000000004</v>
      </c>
      <c r="BM89">
        <f>C89*'Inputs-Imperial'!$E$12</f>
        <v>0.42732941000000002</v>
      </c>
      <c r="BN89">
        <f>C89*'Inputs-Imperial'!$E$12</f>
        <v>0.42732941000000002</v>
      </c>
      <c r="BO89">
        <f>C89*'Inputs-Imperial'!$E$12</f>
        <v>0.42732941000000002</v>
      </c>
      <c r="BP89">
        <f>C89*'Weight '!$E$15</f>
        <v>0.85465882000000004</v>
      </c>
      <c r="BQ89">
        <f>C89*'Weight '!$E$15</f>
        <v>0.85465882000000004</v>
      </c>
      <c r="BR89">
        <f>C89*'Weight '!$E$15</f>
        <v>0.85465882000000004</v>
      </c>
      <c r="BS89">
        <f t="shared" si="23"/>
        <v>0.18070968232178783</v>
      </c>
      <c r="BT89" s="564">
        <f t="shared" si="24"/>
        <v>0.22937798043066412</v>
      </c>
      <c r="BU89">
        <f t="shared" si="40"/>
        <v>0.78782489052567262</v>
      </c>
    </row>
    <row r="90" spans="1:73" x14ac:dyDescent="0.25">
      <c r="A90" s="186">
        <v>44</v>
      </c>
      <c r="B90" s="187">
        <f>A90/100*'Inputs-Imperial'!$E$5</f>
        <v>4.3307088</v>
      </c>
      <c r="C90" s="188">
        <f>'Inputs-Imperial'!$E$10+('Inputs-Imperial'!$E$9-'Inputs-Imperial'!$E$10)*(100-A90)/100</f>
        <v>1.69947512</v>
      </c>
      <c r="D90" s="187">
        <f t="shared" si="25"/>
        <v>9.8425200000000324E-2</v>
      </c>
      <c r="E90" s="188">
        <f t="shared" si="26"/>
        <v>0.16775555458077654</v>
      </c>
      <c r="F90" s="423">
        <f>Sizing!F104</f>
        <v>57.226990865191389</v>
      </c>
      <c r="G90" s="423">
        <f>Sizing!G104</f>
        <v>572.26990865191362</v>
      </c>
      <c r="H90" s="423">
        <f>Sizing!H104</f>
        <v>1416.8359832530596</v>
      </c>
      <c r="I90" s="423">
        <f>Sizing!I104</f>
        <v>-451.82958132898278</v>
      </c>
      <c r="J90" s="189">
        <f>Sizing!J104</f>
        <v>141.68359832530595</v>
      </c>
      <c r="K90" s="128">
        <v>44</v>
      </c>
      <c r="L90" s="12">
        <f t="shared" si="5"/>
        <v>51.9685056</v>
      </c>
      <c r="M90" s="11">
        <f t="shared" si="5"/>
        <v>20.393701440000001</v>
      </c>
      <c r="N90" s="11">
        <f t="shared" si="5"/>
        <v>1.1811024000000039</v>
      </c>
      <c r="O90" s="152">
        <f t="shared" si="27"/>
        <v>24.156799859631825</v>
      </c>
      <c r="P90" s="8">
        <f t="shared" si="41"/>
        <v>3.6708662591999999</v>
      </c>
      <c r="Q90" s="12">
        <f t="shared" si="28"/>
        <v>4.3482239747337283</v>
      </c>
      <c r="R90" s="8">
        <f t="shared" si="42"/>
        <v>1.8354331295999999</v>
      </c>
      <c r="S90" s="12">
        <f t="shared" si="29"/>
        <v>2.1741119873668642</v>
      </c>
      <c r="T90" s="17">
        <f>Sizing!CN104</f>
        <v>0.25</v>
      </c>
      <c r="U90" s="17">
        <f>Sizing!CO104</f>
        <v>2.3622047244094495E-2</v>
      </c>
      <c r="V90" s="17">
        <f>Sizing!CP104</f>
        <v>1.5748031496062995E-2</v>
      </c>
      <c r="W90" s="128">
        <f t="shared" si="6"/>
        <v>3.0224609670856709E-3</v>
      </c>
      <c r="X90" s="2">
        <f t="shared" si="7"/>
        <v>7.2254596295506844E-4</v>
      </c>
      <c r="Y90" s="2">
        <f t="shared" si="8"/>
        <v>3.7450069300407392E-3</v>
      </c>
      <c r="Z90" s="216">
        <f t="shared" si="30"/>
        <v>7.5387912518291619E-2</v>
      </c>
      <c r="AA90" s="138">
        <f t="shared" si="31"/>
        <v>1.8022145674961004E-2</v>
      </c>
      <c r="AB90" s="17">
        <f t="shared" si="32"/>
        <v>9.3410058193252613E-2</v>
      </c>
      <c r="AC90" s="311">
        <f t="shared" si="33"/>
        <v>7.4088120923148648E-2</v>
      </c>
      <c r="AD90" s="316">
        <f t="shared" si="34"/>
        <v>1.7711419025392708E-2</v>
      </c>
      <c r="AE90" s="21">
        <f t="shared" si="35"/>
        <v>9.1799539948541356E-2</v>
      </c>
      <c r="AF90" s="170">
        <f>Sizing!DU104</f>
        <v>0.15260733333097529</v>
      </c>
      <c r="AG90" s="170">
        <f>Sizing!DV104</f>
        <v>0.39064988587093596</v>
      </c>
      <c r="AH90" s="170">
        <f>Sizing!DW104</f>
        <v>0.15260733333097529</v>
      </c>
      <c r="AI90" s="272">
        <f>Sizing!DX104</f>
        <v>0.39064988587093596</v>
      </c>
      <c r="AJ90" s="216">
        <f>Sizing!GJ104</f>
        <v>0.25</v>
      </c>
      <c r="AK90" s="216">
        <f>Sizing!GK104</f>
        <v>1.5748031496062995E-2</v>
      </c>
      <c r="AL90" s="17">
        <f>Sizing!GL104</f>
        <v>1.5748031496062995E-2</v>
      </c>
      <c r="AM90" s="216">
        <f t="shared" si="9"/>
        <v>2.4179687736685367E-3</v>
      </c>
      <c r="AN90" s="138">
        <f t="shared" si="10"/>
        <v>7.2254596295506844E-4</v>
      </c>
      <c r="AO90" s="138">
        <f t="shared" si="11"/>
        <v>3.1405147366236051E-3</v>
      </c>
      <c r="AP90" s="311">
        <f t="shared" si="36"/>
        <v>1.0513869791823043E-2</v>
      </c>
      <c r="AQ90" s="11">
        <f t="shared" si="37"/>
        <v>3.1417916789682971E-3</v>
      </c>
      <c r="AR90" s="21">
        <f t="shared" si="38"/>
        <v>1.3655661470791339E-2</v>
      </c>
      <c r="AS90" s="11">
        <f t="shared" si="12"/>
        <v>1.1069993353053528E-2</v>
      </c>
      <c r="AT90" s="21">
        <f t="shared" si="39"/>
        <v>1.1069993353053528E-2</v>
      </c>
      <c r="AU90" s="170">
        <f>Sizing!JC104</f>
        <v>2.4612277601232125E-3</v>
      </c>
      <c r="AV90" s="272">
        <f>Sizing!JD104</f>
        <v>4.9610762543254791E-2</v>
      </c>
      <c r="AW90" s="170">
        <f>Sizing!JC104</f>
        <v>2.4612277601232125E-3</v>
      </c>
      <c r="AX90" s="272">
        <f>Sizing!JD104</f>
        <v>4.9610762543254791E-2</v>
      </c>
      <c r="AY90" s="216">
        <f>Sizing!IT104</f>
        <v>0.25</v>
      </c>
      <c r="AZ90" s="216">
        <f>Sizing!IU104</f>
        <v>1.5748031496062995E-2</v>
      </c>
      <c r="BA90" s="17">
        <f>Sizing!IV104</f>
        <v>1.5748031496062995E-2</v>
      </c>
      <c r="BB90" s="216">
        <f t="shared" si="13"/>
        <v>2.4179687736685367E-3</v>
      </c>
      <c r="BC90" s="138">
        <f t="shared" si="14"/>
        <v>7.2254596295506844E-4</v>
      </c>
      <c r="BD90" s="138">
        <f t="shared" si="15"/>
        <v>3.1405147366236051E-3</v>
      </c>
      <c r="BE90" s="311">
        <f t="shared" si="16"/>
        <v>5.2569348959115216E-3</v>
      </c>
      <c r="BF90" s="11">
        <f t="shared" si="17"/>
        <v>1.5708958394841485E-3</v>
      </c>
      <c r="BG90" s="21">
        <f t="shared" si="18"/>
        <v>6.8278307353956697E-3</v>
      </c>
      <c r="BH90" s="21">
        <f t="shared" si="19"/>
        <v>1.7853516177904804E-4</v>
      </c>
      <c r="BI90" s="21">
        <f t="shared" si="20"/>
        <v>1.7853516177904804E-4</v>
      </c>
      <c r="BJ90" s="561"/>
      <c r="BK90">
        <f t="shared" si="21"/>
        <v>0.84973756</v>
      </c>
      <c r="BL90">
        <f t="shared" si="22"/>
        <v>0.84973756</v>
      </c>
      <c r="BM90">
        <f>C90*'Inputs-Imperial'!$E$12</f>
        <v>0.42486878</v>
      </c>
      <c r="BN90">
        <f>C90*'Inputs-Imperial'!$E$12</f>
        <v>0.42486878</v>
      </c>
      <c r="BO90">
        <f>C90*'Inputs-Imperial'!$E$12</f>
        <v>0.42486878</v>
      </c>
      <c r="BP90">
        <f>C90*'Weight '!$E$15</f>
        <v>0.84973756</v>
      </c>
      <c r="BQ90">
        <f>C90*'Weight '!$E$15</f>
        <v>0.84973756</v>
      </c>
      <c r="BR90">
        <f>C90*'Weight '!$E$15</f>
        <v>0.84973756</v>
      </c>
      <c r="BS90">
        <f t="shared" si="23"/>
        <v>0.17869328567849341</v>
      </c>
      <c r="BT90" s="564">
        <f t="shared" si="24"/>
        <v>0.22819014737764612</v>
      </c>
      <c r="BU90">
        <f t="shared" si="40"/>
        <v>0.78308940036207053</v>
      </c>
    </row>
    <row r="91" spans="1:73" x14ac:dyDescent="0.25">
      <c r="A91" s="186">
        <v>45</v>
      </c>
      <c r="B91" s="187">
        <f>A91/100*'Inputs-Imperial'!$E$5</f>
        <v>4.4291340000000003</v>
      </c>
      <c r="C91" s="188">
        <f>'Inputs-Imperial'!$E$10+('Inputs-Imperial'!$E$9-'Inputs-Imperial'!$E$10)*(100-A91)/100</f>
        <v>1.6896325999999999</v>
      </c>
      <c r="D91" s="187">
        <f t="shared" si="25"/>
        <v>9.8425200000000324E-2</v>
      </c>
      <c r="E91" s="188">
        <f t="shared" si="26"/>
        <v>0.16678680258127257</v>
      </c>
      <c r="F91" s="423">
        <f>Sizing!F105</f>
        <v>55.909733567766089</v>
      </c>
      <c r="G91" s="423">
        <f>Sizing!G105</f>
        <v>559.09733567766068</v>
      </c>
      <c r="H91" s="423">
        <f>Sizing!H105</f>
        <v>1360.510203040013</v>
      </c>
      <c r="I91" s="423">
        <f>Sizing!I105</f>
        <v>-438.95227152323343</v>
      </c>
      <c r="J91" s="189">
        <f>Sizing!J105</f>
        <v>136.0510203040013</v>
      </c>
      <c r="K91" s="128">
        <v>45</v>
      </c>
      <c r="L91" s="12">
        <f t="shared" si="5"/>
        <v>53.149608000000001</v>
      </c>
      <c r="M91" s="11">
        <f t="shared" si="5"/>
        <v>20.275591200000001</v>
      </c>
      <c r="N91" s="11">
        <f t="shared" si="5"/>
        <v>1.1811024000000039</v>
      </c>
      <c r="O91" s="152">
        <f t="shared" si="27"/>
        <v>24.017299571703251</v>
      </c>
      <c r="P91" s="8">
        <f t="shared" si="41"/>
        <v>3.6496064160000001</v>
      </c>
      <c r="Q91" s="12">
        <f t="shared" si="28"/>
        <v>4.3231139229065842</v>
      </c>
      <c r="R91" s="8">
        <f t="shared" si="42"/>
        <v>1.8248032080000001</v>
      </c>
      <c r="S91" s="12">
        <f t="shared" si="29"/>
        <v>2.1615569614532921</v>
      </c>
      <c r="T91" s="17">
        <f>Sizing!CN105</f>
        <v>0.25</v>
      </c>
      <c r="U91" s="17">
        <f>Sizing!CO105</f>
        <v>2.3622047244094495E-2</v>
      </c>
      <c r="V91" s="17">
        <f>Sizing!CP105</f>
        <v>1.5748031496062995E-2</v>
      </c>
      <c r="W91" s="128">
        <f t="shared" si="6"/>
        <v>3.0224609670856709E-3</v>
      </c>
      <c r="X91" s="2">
        <f t="shared" si="7"/>
        <v>7.2254596295506844E-4</v>
      </c>
      <c r="Y91" s="2">
        <f t="shared" si="8"/>
        <v>3.7450069300407392E-3</v>
      </c>
      <c r="Z91" s="216">
        <f t="shared" si="30"/>
        <v>7.495256364908108E-2</v>
      </c>
      <c r="AA91" s="138">
        <f t="shared" si="31"/>
        <v>1.7918071686462672E-2</v>
      </c>
      <c r="AB91" s="17">
        <f t="shared" si="32"/>
        <v>9.2870635335543752E-2</v>
      </c>
      <c r="AC91" s="311">
        <f t="shared" si="33"/>
        <v>7.3660278068924515E-2</v>
      </c>
      <c r="AD91" s="316">
        <f t="shared" si="34"/>
        <v>1.760913941600642E-2</v>
      </c>
      <c r="AE91" s="21">
        <f t="shared" si="35"/>
        <v>9.1269417484930934E-2</v>
      </c>
      <c r="AF91" s="170">
        <f>Sizing!DU105</f>
        <v>0.15260733333097529</v>
      </c>
      <c r="AG91" s="170">
        <f>Sizing!DV105</f>
        <v>0.39064988587093596</v>
      </c>
      <c r="AH91" s="170">
        <f>Sizing!DW105</f>
        <v>0.15260733333097529</v>
      </c>
      <c r="AI91" s="272">
        <f>Sizing!DX105</f>
        <v>0.39064988587093596</v>
      </c>
      <c r="AJ91" s="216">
        <f>Sizing!GJ105</f>
        <v>0.25</v>
      </c>
      <c r="AK91" s="216">
        <f>Sizing!GK105</f>
        <v>1.5748031496062995E-2</v>
      </c>
      <c r="AL91" s="17">
        <f>Sizing!GL105</f>
        <v>1.5748031496062995E-2</v>
      </c>
      <c r="AM91" s="216">
        <f t="shared" si="9"/>
        <v>2.4179687736685367E-3</v>
      </c>
      <c r="AN91" s="138">
        <f t="shared" si="10"/>
        <v>7.2254596295506844E-4</v>
      </c>
      <c r="AO91" s="138">
        <f t="shared" si="11"/>
        <v>3.1405147366236051E-3</v>
      </c>
      <c r="AP91" s="311">
        <f t="shared" si="36"/>
        <v>1.045315447059981E-2</v>
      </c>
      <c r="AQ91" s="11">
        <f t="shared" si="37"/>
        <v>3.1236485123910013E-3</v>
      </c>
      <c r="AR91" s="21">
        <f t="shared" si="38"/>
        <v>1.3576802982990811E-2</v>
      </c>
      <c r="AS91" s="11">
        <f t="shared" si="12"/>
        <v>1.1069993353053528E-2</v>
      </c>
      <c r="AT91" s="21">
        <f t="shared" si="39"/>
        <v>1.1069993353053528E-2</v>
      </c>
      <c r="AU91" s="170">
        <f>Sizing!JC105</f>
        <v>2.4612277601232125E-3</v>
      </c>
      <c r="AV91" s="272">
        <f>Sizing!JD105</f>
        <v>4.9610762543254791E-2</v>
      </c>
      <c r="AW91" s="170">
        <f>Sizing!JC105</f>
        <v>2.4612277601232125E-3</v>
      </c>
      <c r="AX91" s="272">
        <f>Sizing!JD105</f>
        <v>4.9610762543254791E-2</v>
      </c>
      <c r="AY91" s="216">
        <f>Sizing!IT105</f>
        <v>0.25</v>
      </c>
      <c r="AZ91" s="216">
        <f>Sizing!IU105</f>
        <v>1.5748031496062995E-2</v>
      </c>
      <c r="BA91" s="17">
        <f>Sizing!IV105</f>
        <v>1.5748031496062995E-2</v>
      </c>
      <c r="BB91" s="216">
        <f t="shared" si="13"/>
        <v>2.4179687736685367E-3</v>
      </c>
      <c r="BC91" s="138">
        <f t="shared" si="14"/>
        <v>7.2254596295506844E-4</v>
      </c>
      <c r="BD91" s="138">
        <f t="shared" si="15"/>
        <v>3.1405147366236051E-3</v>
      </c>
      <c r="BE91" s="311">
        <f t="shared" si="16"/>
        <v>5.226577235299905E-3</v>
      </c>
      <c r="BF91" s="11">
        <f t="shared" si="17"/>
        <v>1.5618242561955006E-3</v>
      </c>
      <c r="BG91" s="21">
        <f t="shared" si="18"/>
        <v>6.7884014914954055E-3</v>
      </c>
      <c r="BH91" s="21">
        <f t="shared" si="19"/>
        <v>1.7853516177904804E-4</v>
      </c>
      <c r="BI91" s="21">
        <f t="shared" si="20"/>
        <v>1.7853516177904804E-4</v>
      </c>
      <c r="BJ91" s="561"/>
      <c r="BK91">
        <f t="shared" si="21"/>
        <v>0.84481629999999996</v>
      </c>
      <c r="BL91">
        <f t="shared" si="22"/>
        <v>0.84481629999999996</v>
      </c>
      <c r="BM91">
        <f>C91*'Inputs-Imperial'!$E$12</f>
        <v>0.42240814999999998</v>
      </c>
      <c r="BN91">
        <f>C91*'Inputs-Imperial'!$E$12</f>
        <v>0.42240814999999998</v>
      </c>
      <c r="BO91">
        <f>C91*'Inputs-Imperial'!$E$12</f>
        <v>0.42240814999999998</v>
      </c>
      <c r="BP91">
        <f>C91*'Weight '!$E$15</f>
        <v>0.84481629999999996</v>
      </c>
      <c r="BQ91">
        <f>C91*'Weight '!$E$15</f>
        <v>0.84481629999999996</v>
      </c>
      <c r="BR91">
        <f>C91*'Weight '!$E$15</f>
        <v>0.84481629999999996</v>
      </c>
      <c r="BS91">
        <f t="shared" si="23"/>
        <v>0.17668819222265666</v>
      </c>
      <c r="BT91" s="564">
        <f t="shared" si="24"/>
        <v>0.22700231432462603</v>
      </c>
      <c r="BU91">
        <f t="shared" si="40"/>
        <v>0.77835414475106468</v>
      </c>
    </row>
    <row r="92" spans="1:73" x14ac:dyDescent="0.25">
      <c r="A92" s="186">
        <v>46</v>
      </c>
      <c r="B92" s="187">
        <f>A92/100*'Inputs-Imperial'!$E$5</f>
        <v>4.5275592000000007</v>
      </c>
      <c r="C92" s="188">
        <f>'Inputs-Imperial'!$E$10+('Inputs-Imperial'!$E$9-'Inputs-Imperial'!$E$10)*(100-A92)/100</f>
        <v>1.6797900800000001</v>
      </c>
      <c r="D92" s="187">
        <f t="shared" si="25"/>
        <v>9.8425200000000324E-2</v>
      </c>
      <c r="E92" s="188">
        <f t="shared" si="26"/>
        <v>0.16581805058176854</v>
      </c>
      <c r="F92" s="423">
        <f>Sizing!F106</f>
        <v>54.600002302314621</v>
      </c>
      <c r="G92" s="423">
        <f>Sizing!G106</f>
        <v>546.00002302314601</v>
      </c>
      <c r="H92" s="423">
        <f>Sizing!H106</f>
        <v>1305.480935956472</v>
      </c>
      <c r="I92" s="423">
        <f>Sizing!I106</f>
        <v>-426.22242432834167</v>
      </c>
      <c r="J92" s="189">
        <f>Sizing!J106</f>
        <v>130.5480935956472</v>
      </c>
      <c r="K92" s="128">
        <v>46</v>
      </c>
      <c r="L92" s="12">
        <f t="shared" si="5"/>
        <v>54.330710400000008</v>
      </c>
      <c r="M92" s="11">
        <f t="shared" si="5"/>
        <v>20.157480960000001</v>
      </c>
      <c r="N92" s="11">
        <f t="shared" si="5"/>
        <v>1.1811024000000039</v>
      </c>
      <c r="O92" s="152">
        <f t="shared" si="27"/>
        <v>23.877799283774671</v>
      </c>
      <c r="P92" s="8">
        <f t="shared" si="41"/>
        <v>3.6283465727999999</v>
      </c>
      <c r="Q92" s="12">
        <f t="shared" si="28"/>
        <v>4.298003871079441</v>
      </c>
      <c r="R92" s="8">
        <f t="shared" si="42"/>
        <v>1.8141732864</v>
      </c>
      <c r="S92" s="12">
        <f t="shared" si="29"/>
        <v>2.1490019355397205</v>
      </c>
      <c r="T92" s="17">
        <f>Sizing!CN106</f>
        <v>0.25</v>
      </c>
      <c r="U92" s="17">
        <f>Sizing!CO106</f>
        <v>2.3622047244094495E-2</v>
      </c>
      <c r="V92" s="17">
        <f>Sizing!CP106</f>
        <v>1.5748031496062995E-2</v>
      </c>
      <c r="W92" s="128">
        <f t="shared" si="6"/>
        <v>3.0224609670856709E-3</v>
      </c>
      <c r="X92" s="2">
        <f t="shared" si="7"/>
        <v>7.2254596295506844E-4</v>
      </c>
      <c r="Y92" s="2">
        <f t="shared" si="8"/>
        <v>3.7450069300407392E-3</v>
      </c>
      <c r="Z92" s="216">
        <f t="shared" si="30"/>
        <v>7.4517214779870541E-2</v>
      </c>
      <c r="AA92" s="138">
        <f t="shared" si="31"/>
        <v>1.7813997697964341E-2</v>
      </c>
      <c r="AB92" s="17">
        <f t="shared" si="32"/>
        <v>9.2331212477834879E-2</v>
      </c>
      <c r="AC92" s="311">
        <f t="shared" si="33"/>
        <v>7.3232435214700353E-2</v>
      </c>
      <c r="AD92" s="316">
        <f t="shared" si="34"/>
        <v>1.7506859806620128E-2</v>
      </c>
      <c r="AE92" s="21">
        <f t="shared" si="35"/>
        <v>9.0739295021320485E-2</v>
      </c>
      <c r="AF92" s="170">
        <f>Sizing!DU106</f>
        <v>0.15260733333097529</v>
      </c>
      <c r="AG92" s="170">
        <f>Sizing!DV106</f>
        <v>0.39064988587093596</v>
      </c>
      <c r="AH92" s="170">
        <f>Sizing!DW106</f>
        <v>0.15260733333097529</v>
      </c>
      <c r="AI92" s="272">
        <f>Sizing!DX106</f>
        <v>0.39064988587093596</v>
      </c>
      <c r="AJ92" s="216">
        <f>Sizing!GJ106</f>
        <v>0.25</v>
      </c>
      <c r="AK92" s="216">
        <f>Sizing!GK106</f>
        <v>1.5748031496062995E-2</v>
      </c>
      <c r="AL92" s="17">
        <f>Sizing!GL106</f>
        <v>1.5748031496062995E-2</v>
      </c>
      <c r="AM92" s="216">
        <f t="shared" si="9"/>
        <v>2.4179687736685367E-3</v>
      </c>
      <c r="AN92" s="138">
        <f t="shared" si="10"/>
        <v>7.2254596295506844E-4</v>
      </c>
      <c r="AO92" s="138">
        <f t="shared" si="11"/>
        <v>3.1405147366236051E-3</v>
      </c>
      <c r="AP92" s="311">
        <f t="shared" si="36"/>
        <v>1.039243914937658E-2</v>
      </c>
      <c r="AQ92" s="11">
        <f t="shared" si="37"/>
        <v>3.1055053458137064E-3</v>
      </c>
      <c r="AR92" s="21">
        <f t="shared" si="38"/>
        <v>1.3497944495190286E-2</v>
      </c>
      <c r="AS92" s="11">
        <f t="shared" si="12"/>
        <v>1.1069993353053528E-2</v>
      </c>
      <c r="AT92" s="21">
        <f t="shared" si="39"/>
        <v>1.1069993353053528E-2</v>
      </c>
      <c r="AU92" s="170">
        <f>Sizing!JC106</f>
        <v>2.4612277601232125E-3</v>
      </c>
      <c r="AV92" s="272">
        <f>Sizing!JD106</f>
        <v>4.9610762543254791E-2</v>
      </c>
      <c r="AW92" s="170">
        <f>Sizing!JC106</f>
        <v>2.4612277601232125E-3</v>
      </c>
      <c r="AX92" s="272">
        <f>Sizing!JD106</f>
        <v>4.9610762543254791E-2</v>
      </c>
      <c r="AY92" s="216">
        <f>Sizing!IT106</f>
        <v>0.25</v>
      </c>
      <c r="AZ92" s="216">
        <f>Sizing!IU106</f>
        <v>1.5748031496062995E-2</v>
      </c>
      <c r="BA92" s="17">
        <f>Sizing!IV106</f>
        <v>1.5748031496062995E-2</v>
      </c>
      <c r="BB92" s="216">
        <f t="shared" si="13"/>
        <v>2.4179687736685367E-3</v>
      </c>
      <c r="BC92" s="138">
        <f t="shared" si="14"/>
        <v>7.2254596295506844E-4</v>
      </c>
      <c r="BD92" s="138">
        <f t="shared" si="15"/>
        <v>3.1405147366236051E-3</v>
      </c>
      <c r="BE92" s="311">
        <f t="shared" si="16"/>
        <v>5.1962195746882902E-3</v>
      </c>
      <c r="BF92" s="11">
        <f t="shared" si="17"/>
        <v>1.5527526729068532E-3</v>
      </c>
      <c r="BG92" s="21">
        <f t="shared" si="18"/>
        <v>6.748972247595143E-3</v>
      </c>
      <c r="BH92" s="21">
        <f t="shared" si="19"/>
        <v>1.7853516177904804E-4</v>
      </c>
      <c r="BI92" s="21">
        <f t="shared" si="20"/>
        <v>1.7853516177904804E-4</v>
      </c>
      <c r="BJ92" s="561"/>
      <c r="BK92">
        <f t="shared" si="21"/>
        <v>0.83989504000000004</v>
      </c>
      <c r="BL92">
        <f t="shared" si="22"/>
        <v>0.83989504000000004</v>
      </c>
      <c r="BM92">
        <f>C92*'Inputs-Imperial'!$E$12</f>
        <v>0.41994752000000002</v>
      </c>
      <c r="BN92">
        <f>C92*'Inputs-Imperial'!$E$12</f>
        <v>0.41994752000000002</v>
      </c>
      <c r="BO92">
        <f>C92*'Inputs-Imperial'!$E$12</f>
        <v>0.41994752000000002</v>
      </c>
      <c r="BP92">
        <f>C92*'Weight '!$E$15</f>
        <v>0.83989504000000004</v>
      </c>
      <c r="BQ92">
        <f>C92*'Weight '!$E$15</f>
        <v>0.83989504000000004</v>
      </c>
      <c r="BR92">
        <f>C92*'Weight '!$E$15</f>
        <v>0.83989504000000004</v>
      </c>
      <c r="BS92">
        <f t="shared" si="23"/>
        <v>0.17469440195427929</v>
      </c>
      <c r="BT92" s="564">
        <f t="shared" si="24"/>
        <v>0.22581448127160594</v>
      </c>
      <c r="BU92">
        <f t="shared" si="40"/>
        <v>0.77361912739404759</v>
      </c>
    </row>
    <row r="93" spans="1:73" x14ac:dyDescent="0.25">
      <c r="A93" s="186">
        <v>47</v>
      </c>
      <c r="B93" s="187">
        <f>A93/100*'Inputs-Imperial'!$E$5</f>
        <v>4.6259844000000001</v>
      </c>
      <c r="C93" s="188">
        <f>'Inputs-Imperial'!$E$10+('Inputs-Imperial'!$E$9-'Inputs-Imperial'!$E$10)*(100-A93)/100</f>
        <v>1.66994756</v>
      </c>
      <c r="D93" s="187">
        <f t="shared" si="25"/>
        <v>9.8425199999999435E-2</v>
      </c>
      <c r="E93" s="188">
        <f t="shared" si="26"/>
        <v>0.16484929858226305</v>
      </c>
      <c r="F93" s="423">
        <f>Sizing!F107</f>
        <v>53.297906381424134</v>
      </c>
      <c r="G93" s="423">
        <f>Sizing!G107</f>
        <v>532.97906381424116</v>
      </c>
      <c r="H93" s="423">
        <f>Sizing!H107</f>
        <v>1251.7407744904144</v>
      </c>
      <c r="I93" s="423">
        <f>Sizing!I107</f>
        <v>-413.64131531044177</v>
      </c>
      <c r="J93" s="189">
        <f>Sizing!J107</f>
        <v>125.17407744904145</v>
      </c>
      <c r="K93" s="128">
        <v>47</v>
      </c>
      <c r="L93" s="12">
        <f t="shared" si="5"/>
        <v>55.511812800000001</v>
      </c>
      <c r="M93" s="11">
        <f t="shared" si="5"/>
        <v>20.039370720000001</v>
      </c>
      <c r="N93" s="11">
        <f t="shared" si="5"/>
        <v>1.1811023999999932</v>
      </c>
      <c r="O93" s="152">
        <f t="shared" si="27"/>
        <v>23.738298995845881</v>
      </c>
      <c r="P93" s="8">
        <f t="shared" si="41"/>
        <v>3.6070867296000002</v>
      </c>
      <c r="Q93" s="12">
        <f t="shared" si="28"/>
        <v>4.2728938192522588</v>
      </c>
      <c r="R93" s="8">
        <f t="shared" si="42"/>
        <v>1.8035433648000001</v>
      </c>
      <c r="S93" s="12">
        <f t="shared" si="29"/>
        <v>2.1364469096261294</v>
      </c>
      <c r="T93" s="17">
        <f>Sizing!CN107</f>
        <v>0.25</v>
      </c>
      <c r="U93" s="17">
        <f>Sizing!CO107</f>
        <v>2.3622047244094495E-2</v>
      </c>
      <c r="V93" s="17">
        <f>Sizing!CP107</f>
        <v>1.5748031496062995E-2</v>
      </c>
      <c r="W93" s="128">
        <f t="shared" si="6"/>
        <v>3.0224609670856709E-3</v>
      </c>
      <c r="X93" s="2">
        <f t="shared" si="7"/>
        <v>7.2254596295506844E-4</v>
      </c>
      <c r="Y93" s="2">
        <f t="shared" si="8"/>
        <v>3.7450069300407392E-3</v>
      </c>
      <c r="Z93" s="216">
        <f t="shared" si="30"/>
        <v>7.4081865910659336E-2</v>
      </c>
      <c r="AA93" s="138">
        <f t="shared" si="31"/>
        <v>1.770992370946585E-2</v>
      </c>
      <c r="AB93" s="17">
        <f t="shared" si="32"/>
        <v>9.1791789620125172E-2</v>
      </c>
      <c r="AC93" s="311">
        <f t="shared" si="33"/>
        <v>7.2804592360475553E-2</v>
      </c>
      <c r="AD93" s="316">
        <f t="shared" si="34"/>
        <v>1.740458019723368E-2</v>
      </c>
      <c r="AE93" s="21">
        <f t="shared" si="35"/>
        <v>9.020917255770923E-2</v>
      </c>
      <c r="AF93" s="170">
        <f>Sizing!DU107</f>
        <v>0.15260733333097529</v>
      </c>
      <c r="AG93" s="170">
        <f>Sizing!DV107</f>
        <v>0.39064988587093596</v>
      </c>
      <c r="AH93" s="170">
        <f>Sizing!DW107</f>
        <v>0.15260733333097529</v>
      </c>
      <c r="AI93" s="272">
        <f>Sizing!DX107</f>
        <v>0.39064988587093596</v>
      </c>
      <c r="AJ93" s="216">
        <f>Sizing!GJ107</f>
        <v>0.25</v>
      </c>
      <c r="AK93" s="216">
        <f>Sizing!GK107</f>
        <v>1.5748031496062995E-2</v>
      </c>
      <c r="AL93" s="17">
        <f>Sizing!GL107</f>
        <v>1.5748031496062995E-2</v>
      </c>
      <c r="AM93" s="216">
        <f t="shared" si="9"/>
        <v>2.4179687736685367E-3</v>
      </c>
      <c r="AN93" s="138">
        <f t="shared" si="10"/>
        <v>7.2254596295506844E-4</v>
      </c>
      <c r="AO93" s="138">
        <f t="shared" si="11"/>
        <v>3.1405147366236051E-3</v>
      </c>
      <c r="AP93" s="311">
        <f t="shared" si="36"/>
        <v>1.0331723828153254E-2</v>
      </c>
      <c r="AQ93" s="11">
        <f t="shared" si="37"/>
        <v>3.0873621792363833E-3</v>
      </c>
      <c r="AR93" s="21">
        <f t="shared" si="38"/>
        <v>1.3419086007389638E-2</v>
      </c>
      <c r="AS93" s="11">
        <f t="shared" si="12"/>
        <v>1.1069993353053427E-2</v>
      </c>
      <c r="AT93" s="21">
        <f t="shared" si="39"/>
        <v>1.1069993353053427E-2</v>
      </c>
      <c r="AU93" s="170">
        <f>Sizing!JC107</f>
        <v>2.4612277601232125E-3</v>
      </c>
      <c r="AV93" s="272">
        <f>Sizing!JD107</f>
        <v>4.9610762543254791E-2</v>
      </c>
      <c r="AW93" s="170">
        <f>Sizing!JC107</f>
        <v>2.4612277601232125E-3</v>
      </c>
      <c r="AX93" s="272">
        <f>Sizing!JD107</f>
        <v>4.9610762543254791E-2</v>
      </c>
      <c r="AY93" s="216">
        <f>Sizing!IT107</f>
        <v>0.25</v>
      </c>
      <c r="AZ93" s="216">
        <f>Sizing!IU107</f>
        <v>1.5748031496062995E-2</v>
      </c>
      <c r="BA93" s="17">
        <f>Sizing!IV107</f>
        <v>1.5748031496062995E-2</v>
      </c>
      <c r="BB93" s="216">
        <f t="shared" si="13"/>
        <v>2.4179687736685367E-3</v>
      </c>
      <c r="BC93" s="138">
        <f t="shared" si="14"/>
        <v>7.2254596295506844E-4</v>
      </c>
      <c r="BD93" s="138">
        <f t="shared" si="15"/>
        <v>3.1405147366236051E-3</v>
      </c>
      <c r="BE93" s="311">
        <f t="shared" si="16"/>
        <v>5.1658619140766268E-3</v>
      </c>
      <c r="BF93" s="11">
        <f t="shared" si="17"/>
        <v>1.5436810896181916E-3</v>
      </c>
      <c r="BG93" s="21">
        <f t="shared" si="18"/>
        <v>6.7095430036948189E-3</v>
      </c>
      <c r="BH93" s="21">
        <f t="shared" si="19"/>
        <v>1.7853516177904644E-4</v>
      </c>
      <c r="BI93" s="21">
        <f t="shared" si="20"/>
        <v>1.7853516177904644E-4</v>
      </c>
      <c r="BJ93" s="561"/>
      <c r="BK93">
        <f t="shared" si="21"/>
        <v>0.83497378</v>
      </c>
      <c r="BL93">
        <f t="shared" si="22"/>
        <v>0.83497378</v>
      </c>
      <c r="BM93">
        <f>C93*'Inputs-Imperial'!$E$12</f>
        <v>0.41748689</v>
      </c>
      <c r="BN93">
        <f>C93*'Inputs-Imperial'!$E$12</f>
        <v>0.41748689</v>
      </c>
      <c r="BO93">
        <f>C93*'Inputs-Imperial'!$E$12</f>
        <v>0.41748689</v>
      </c>
      <c r="BP93">
        <f>C93*'Weight '!$E$15</f>
        <v>0.83497378</v>
      </c>
      <c r="BQ93">
        <f>C93*'Weight '!$E$15</f>
        <v>0.83497378</v>
      </c>
      <c r="BR93">
        <f>C93*'Weight '!$E$15</f>
        <v>0.83497378</v>
      </c>
      <c r="BS93">
        <f t="shared" si="23"/>
        <v>0.17271191487335968</v>
      </c>
      <c r="BT93" s="564">
        <f t="shared" si="24"/>
        <v>0.22462664821858377</v>
      </c>
      <c r="BU93">
        <f t="shared" si="40"/>
        <v>0.76888435207070371</v>
      </c>
    </row>
    <row r="94" spans="1:73" x14ac:dyDescent="0.25">
      <c r="A94" s="186">
        <v>48</v>
      </c>
      <c r="B94" s="187">
        <f>A94/100*'Inputs-Imperial'!$E$5</f>
        <v>4.7244096000000004</v>
      </c>
      <c r="C94" s="188">
        <f>'Inputs-Imperial'!$E$10+('Inputs-Imperial'!$E$9-'Inputs-Imperial'!$E$10)*(100-A94)/100</f>
        <v>1.6601050399999999</v>
      </c>
      <c r="D94" s="187">
        <f t="shared" si="25"/>
        <v>9.8425200000000324E-2</v>
      </c>
      <c r="E94" s="188">
        <f t="shared" si="26"/>
        <v>0.16388054658276055</v>
      </c>
      <c r="F94" s="423">
        <f>Sizing!F108</f>
        <v>52.003557048890023</v>
      </c>
      <c r="G94" s="423">
        <f>Sizing!G108</f>
        <v>520.03557048890002</v>
      </c>
      <c r="H94" s="423">
        <f>Sizing!H108</f>
        <v>1199.2822035386848</v>
      </c>
      <c r="I94" s="423">
        <f>Sizing!I108</f>
        <v>-401.21022009485955</v>
      </c>
      <c r="J94" s="189">
        <f>Sizing!J108</f>
        <v>119.92822035386848</v>
      </c>
      <c r="K94" s="128">
        <v>48</v>
      </c>
      <c r="L94" s="12">
        <f t="shared" si="5"/>
        <v>56.692915200000002</v>
      </c>
      <c r="M94" s="11">
        <f t="shared" si="5"/>
        <v>19.921260480000001</v>
      </c>
      <c r="N94" s="11">
        <f t="shared" si="5"/>
        <v>1.1811024000000039</v>
      </c>
      <c r="O94" s="152">
        <f t="shared" si="27"/>
        <v>23.598798707917521</v>
      </c>
      <c r="P94" s="8">
        <f t="shared" si="41"/>
        <v>3.5858268864</v>
      </c>
      <c r="Q94" s="12">
        <f t="shared" si="28"/>
        <v>4.2477837674251537</v>
      </c>
      <c r="R94" s="8">
        <f t="shared" si="42"/>
        <v>1.7929134432</v>
      </c>
      <c r="S94" s="12">
        <f t="shared" si="29"/>
        <v>2.1238918837125769</v>
      </c>
      <c r="T94" s="17">
        <f>Sizing!CN108</f>
        <v>0.25</v>
      </c>
      <c r="U94" s="17">
        <f>Sizing!CO108</f>
        <v>2.3622047244094495E-2</v>
      </c>
      <c r="V94" s="17">
        <f>Sizing!CP108</f>
        <v>1.5748031496062995E-2</v>
      </c>
      <c r="W94" s="128">
        <f t="shared" si="6"/>
        <v>3.0224609670856709E-3</v>
      </c>
      <c r="X94" s="2">
        <f t="shared" si="7"/>
        <v>7.2254596295506844E-4</v>
      </c>
      <c r="Y94" s="2">
        <f t="shared" si="8"/>
        <v>3.7450069300407392E-3</v>
      </c>
      <c r="Z94" s="216">
        <f t="shared" si="30"/>
        <v>7.3646517041449464E-2</v>
      </c>
      <c r="AA94" s="138">
        <f t="shared" si="31"/>
        <v>1.7605849720967678E-2</v>
      </c>
      <c r="AB94" s="17">
        <f t="shared" si="32"/>
        <v>9.1252366762417145E-2</v>
      </c>
      <c r="AC94" s="311">
        <f t="shared" si="33"/>
        <v>7.2376749506252058E-2</v>
      </c>
      <c r="AD94" s="316">
        <f t="shared" si="34"/>
        <v>1.7302300587847548E-2</v>
      </c>
      <c r="AE94" s="21">
        <f t="shared" si="35"/>
        <v>8.9679050094099599E-2</v>
      </c>
      <c r="AF94" s="170">
        <f>Sizing!DU108</f>
        <v>0.15260733333097529</v>
      </c>
      <c r="AG94" s="170">
        <f>Sizing!DV108</f>
        <v>0.39064988587093596</v>
      </c>
      <c r="AH94" s="170">
        <f>Sizing!DW108</f>
        <v>0.15260733333097529</v>
      </c>
      <c r="AI94" s="272">
        <f>Sizing!DX108</f>
        <v>0.39064988587093596</v>
      </c>
      <c r="AJ94" s="216">
        <f>Sizing!GJ108</f>
        <v>0.25</v>
      </c>
      <c r="AK94" s="216">
        <f>Sizing!GK108</f>
        <v>1.5748031496062995E-2</v>
      </c>
      <c r="AL94" s="17">
        <f>Sizing!GL108</f>
        <v>1.5748031496062995E-2</v>
      </c>
      <c r="AM94" s="216">
        <f t="shared" si="9"/>
        <v>2.4179687736685367E-3</v>
      </c>
      <c r="AN94" s="138">
        <f t="shared" si="10"/>
        <v>7.2254596295506844E-4</v>
      </c>
      <c r="AO94" s="138">
        <f t="shared" si="11"/>
        <v>3.1405147366236051E-3</v>
      </c>
      <c r="AP94" s="311">
        <f t="shared" si="36"/>
        <v>1.0271008506930116E-2</v>
      </c>
      <c r="AQ94" s="11">
        <f t="shared" si="37"/>
        <v>3.0692190126591161E-3</v>
      </c>
      <c r="AR94" s="21">
        <f t="shared" si="38"/>
        <v>1.3340227519589232E-2</v>
      </c>
      <c r="AS94" s="11">
        <f t="shared" si="12"/>
        <v>1.1069993353053528E-2</v>
      </c>
      <c r="AT94" s="21">
        <f t="shared" si="39"/>
        <v>1.1069993353053528E-2</v>
      </c>
      <c r="AU94" s="170">
        <f>Sizing!JC108</f>
        <v>2.4612277601232125E-3</v>
      </c>
      <c r="AV94" s="272">
        <f>Sizing!JD108</f>
        <v>4.9610762543254791E-2</v>
      </c>
      <c r="AW94" s="170">
        <f>Sizing!JC108</f>
        <v>2.4612277601232125E-3</v>
      </c>
      <c r="AX94" s="272">
        <f>Sizing!JD108</f>
        <v>4.9610762543254791E-2</v>
      </c>
      <c r="AY94" s="216">
        <f>Sizing!IT108</f>
        <v>0.25</v>
      </c>
      <c r="AZ94" s="216">
        <f>Sizing!IU108</f>
        <v>1.5748031496062995E-2</v>
      </c>
      <c r="BA94" s="17">
        <f>Sizing!IV108</f>
        <v>1.5748031496062995E-2</v>
      </c>
      <c r="BB94" s="216">
        <f t="shared" si="13"/>
        <v>2.4179687736685367E-3</v>
      </c>
      <c r="BC94" s="138">
        <f t="shared" si="14"/>
        <v>7.2254596295506844E-4</v>
      </c>
      <c r="BD94" s="138">
        <f t="shared" si="15"/>
        <v>3.1405147366236051E-3</v>
      </c>
      <c r="BE94" s="311">
        <f t="shared" si="16"/>
        <v>5.1355042534650579E-3</v>
      </c>
      <c r="BF94" s="11">
        <f t="shared" si="17"/>
        <v>1.5346095063295581E-3</v>
      </c>
      <c r="BG94" s="21">
        <f t="shared" si="18"/>
        <v>6.6701137597946162E-3</v>
      </c>
      <c r="BH94" s="21">
        <f t="shared" si="19"/>
        <v>1.7853516177904804E-4</v>
      </c>
      <c r="BI94" s="21">
        <f t="shared" si="20"/>
        <v>1.7853516177904804E-4</v>
      </c>
      <c r="BJ94" s="561"/>
      <c r="BK94">
        <f t="shared" si="21"/>
        <v>0.83005251999999996</v>
      </c>
      <c r="BL94">
        <f t="shared" si="22"/>
        <v>0.83005251999999996</v>
      </c>
      <c r="BM94">
        <f>C94*'Inputs-Imperial'!$E$12</f>
        <v>0.41502625999999998</v>
      </c>
      <c r="BN94">
        <f>C94*'Inputs-Imperial'!$E$12</f>
        <v>0.41502625999999998</v>
      </c>
      <c r="BO94">
        <f>C94*'Inputs-Imperial'!$E$12</f>
        <v>0.41502625999999998</v>
      </c>
      <c r="BP94">
        <f>C94*'Weight '!$E$15</f>
        <v>0.83005251999999996</v>
      </c>
      <c r="BQ94">
        <f>C94*'Weight '!$E$15</f>
        <v>0.83005251999999996</v>
      </c>
      <c r="BR94">
        <f>C94*'Weight '!$E$15</f>
        <v>0.83005251999999996</v>
      </c>
      <c r="BS94">
        <f t="shared" si="23"/>
        <v>0.17074073097990256</v>
      </c>
      <c r="BT94" s="564">
        <f t="shared" si="24"/>
        <v>0.22343881516556577</v>
      </c>
      <c r="BU94">
        <f t="shared" si="40"/>
        <v>0.76414982264109077</v>
      </c>
    </row>
    <row r="95" spans="1:73" x14ac:dyDescent="0.25">
      <c r="A95" s="186">
        <v>49</v>
      </c>
      <c r="B95" s="187">
        <f>A95/100*'Inputs-Imperial'!$E$5</f>
        <v>4.8228347999999999</v>
      </c>
      <c r="C95" s="188">
        <f>'Inputs-Imperial'!$E$10+('Inputs-Imperial'!$E$9-'Inputs-Imperial'!$E$10)*(100-A95)/100</f>
        <v>1.6502625200000001</v>
      </c>
      <c r="D95" s="187">
        <f t="shared" si="25"/>
        <v>9.8425199999999435E-2</v>
      </c>
      <c r="E95" s="188">
        <f t="shared" si="26"/>
        <v>0.16291179458325505</v>
      </c>
      <c r="F95" s="423">
        <f>Sizing!F109</f>
        <v>50.717067581164642</v>
      </c>
      <c r="G95" s="423">
        <f>Sizing!G109</f>
        <v>507.17067581164622</v>
      </c>
      <c r="H95" s="423">
        <f>Sizing!H109</f>
        <v>1148.0975985062009</v>
      </c>
      <c r="I95" s="423">
        <f>Sizing!I109</f>
        <v>-388.93041487928474</v>
      </c>
      <c r="J95" s="189">
        <f>Sizing!J109</f>
        <v>114.8097598506201</v>
      </c>
      <c r="K95" s="128">
        <v>49</v>
      </c>
      <c r="L95" s="12">
        <f t="shared" si="5"/>
        <v>57.874017600000002</v>
      </c>
      <c r="M95" s="11">
        <f t="shared" si="5"/>
        <v>19.803150240000001</v>
      </c>
      <c r="N95" s="11">
        <f t="shared" si="5"/>
        <v>1.1811023999999932</v>
      </c>
      <c r="O95" s="152">
        <f t="shared" si="27"/>
        <v>23.459298419988727</v>
      </c>
      <c r="P95" s="8">
        <f t="shared" si="41"/>
        <v>3.5645670431999998</v>
      </c>
      <c r="Q95" s="12">
        <f t="shared" si="28"/>
        <v>4.2226737155979714</v>
      </c>
      <c r="R95" s="8">
        <f t="shared" si="42"/>
        <v>1.7822835215999999</v>
      </c>
      <c r="S95" s="12">
        <f t="shared" si="29"/>
        <v>2.1113368577989857</v>
      </c>
      <c r="T95" s="17">
        <f>Sizing!CN109</f>
        <v>0.25</v>
      </c>
      <c r="U95" s="17">
        <f>Sizing!CO109</f>
        <v>2.3622047244094495E-2</v>
      </c>
      <c r="V95" s="17">
        <f>Sizing!CP109</f>
        <v>1.5748031496062995E-2</v>
      </c>
      <c r="W95" s="128">
        <f t="shared" si="6"/>
        <v>3.0224609670856709E-3</v>
      </c>
      <c r="X95" s="2">
        <f t="shared" si="7"/>
        <v>7.2254596295506844E-4</v>
      </c>
      <c r="Y95" s="2">
        <f t="shared" si="8"/>
        <v>3.7450069300407392E-3</v>
      </c>
      <c r="Z95" s="216">
        <f t="shared" si="30"/>
        <v>7.3211168172238258E-2</v>
      </c>
      <c r="AA95" s="138">
        <f t="shared" si="31"/>
        <v>1.7501775732469187E-2</v>
      </c>
      <c r="AB95" s="17">
        <f t="shared" si="32"/>
        <v>9.0712943904707438E-2</v>
      </c>
      <c r="AC95" s="311">
        <f t="shared" si="33"/>
        <v>7.1948906652027245E-2</v>
      </c>
      <c r="AD95" s="316">
        <f t="shared" si="34"/>
        <v>1.7200020978461097E-2</v>
      </c>
      <c r="AE95" s="21">
        <f t="shared" si="35"/>
        <v>8.9148927630488331E-2</v>
      </c>
      <c r="AF95" s="170">
        <f>Sizing!DU109</f>
        <v>0.15260733333097529</v>
      </c>
      <c r="AG95" s="170">
        <f>Sizing!DV109</f>
        <v>0.39064988587093596</v>
      </c>
      <c r="AH95" s="170">
        <f>Sizing!DW109</f>
        <v>0.15260733333097529</v>
      </c>
      <c r="AI95" s="272">
        <f>Sizing!DX109</f>
        <v>0.39064988587093596</v>
      </c>
      <c r="AJ95" s="216">
        <f>Sizing!GJ109</f>
        <v>0.25</v>
      </c>
      <c r="AK95" s="216">
        <f>Sizing!GK109</f>
        <v>1.5748031496062995E-2</v>
      </c>
      <c r="AL95" s="17">
        <f>Sizing!GL109</f>
        <v>1.5748031496062995E-2</v>
      </c>
      <c r="AM95" s="216">
        <f t="shared" si="9"/>
        <v>2.4179687736685367E-3</v>
      </c>
      <c r="AN95" s="138">
        <f t="shared" si="10"/>
        <v>7.2254596295506844E-4</v>
      </c>
      <c r="AO95" s="138">
        <f t="shared" si="11"/>
        <v>3.1405147366236051E-3</v>
      </c>
      <c r="AP95" s="311">
        <f t="shared" si="36"/>
        <v>1.0210293185706791E-2</v>
      </c>
      <c r="AQ95" s="11">
        <f t="shared" si="37"/>
        <v>3.051075846081793E-3</v>
      </c>
      <c r="AR95" s="21">
        <f t="shared" si="38"/>
        <v>1.3261369031788582E-2</v>
      </c>
      <c r="AS95" s="11">
        <f t="shared" si="12"/>
        <v>1.1069993353053427E-2</v>
      </c>
      <c r="AT95" s="21">
        <f t="shared" si="39"/>
        <v>1.1069993353053427E-2</v>
      </c>
      <c r="AU95" s="170">
        <f>Sizing!JC109</f>
        <v>2.4612277601232125E-3</v>
      </c>
      <c r="AV95" s="272">
        <f>Sizing!JD109</f>
        <v>4.9610762543254791E-2</v>
      </c>
      <c r="AW95" s="170">
        <f>Sizing!JC109</f>
        <v>2.4612277601232125E-3</v>
      </c>
      <c r="AX95" s="272">
        <f>Sizing!JD109</f>
        <v>4.9610762543254791E-2</v>
      </c>
      <c r="AY95" s="216">
        <f>Sizing!IT109</f>
        <v>0.25</v>
      </c>
      <c r="AZ95" s="216">
        <f>Sizing!IU109</f>
        <v>1.5748031496062995E-2</v>
      </c>
      <c r="BA95" s="17">
        <f>Sizing!IV109</f>
        <v>1.5748031496062995E-2</v>
      </c>
      <c r="BB95" s="216">
        <f t="shared" si="13"/>
        <v>2.4179687736685367E-3</v>
      </c>
      <c r="BC95" s="138">
        <f t="shared" si="14"/>
        <v>7.2254596295506844E-4</v>
      </c>
      <c r="BD95" s="138">
        <f t="shared" si="15"/>
        <v>3.1405147366236051E-3</v>
      </c>
      <c r="BE95" s="311">
        <f t="shared" si="16"/>
        <v>5.1051465928533954E-3</v>
      </c>
      <c r="BF95" s="11">
        <f t="shared" si="17"/>
        <v>1.5255379230408965E-3</v>
      </c>
      <c r="BG95" s="21">
        <f t="shared" si="18"/>
        <v>6.6306845158942912E-3</v>
      </c>
      <c r="BH95" s="21">
        <f t="shared" si="19"/>
        <v>1.7853516177904644E-4</v>
      </c>
      <c r="BI95" s="21">
        <f t="shared" si="20"/>
        <v>1.7853516177904644E-4</v>
      </c>
      <c r="BJ95" s="561"/>
      <c r="BK95">
        <f t="shared" si="21"/>
        <v>0.82513126000000003</v>
      </c>
      <c r="BL95">
        <f t="shared" si="22"/>
        <v>0.82513126000000003</v>
      </c>
      <c r="BM95">
        <f>C95*'Inputs-Imperial'!$E$12</f>
        <v>0.41256563000000002</v>
      </c>
      <c r="BN95">
        <f>C95*'Inputs-Imperial'!$E$12</f>
        <v>0.41256563000000002</v>
      </c>
      <c r="BO95">
        <f>C95*'Inputs-Imperial'!$E$12</f>
        <v>0.41256563000000002</v>
      </c>
      <c r="BP95">
        <f>C95*'Weight '!$E$15</f>
        <v>0.82513126000000003</v>
      </c>
      <c r="BQ95">
        <f>C95*'Weight '!$E$15</f>
        <v>0.82513126000000003</v>
      </c>
      <c r="BR95">
        <f>C95*'Weight '!$E$15</f>
        <v>0.82513126000000003</v>
      </c>
      <c r="BS95">
        <f t="shared" si="23"/>
        <v>0.16878085027390161</v>
      </c>
      <c r="BT95" s="564">
        <f t="shared" si="24"/>
        <v>0.2222509821125436</v>
      </c>
      <c r="BU95">
        <f t="shared" si="40"/>
        <v>0.75941554304778847</v>
      </c>
    </row>
    <row r="96" spans="1:73" x14ac:dyDescent="0.25">
      <c r="A96" s="186">
        <v>50</v>
      </c>
      <c r="B96" s="187">
        <f>A96/100*'Inputs-Imperial'!$E$5</f>
        <v>4.9212600000000002</v>
      </c>
      <c r="C96" s="188">
        <f>'Inputs-Imperial'!$E$10+('Inputs-Imperial'!$E$9-'Inputs-Imperial'!$E$10)*(100-A96)/100</f>
        <v>1.64042</v>
      </c>
      <c r="D96" s="187">
        <f t="shared" si="25"/>
        <v>9.8425200000000324E-2</v>
      </c>
      <c r="E96" s="188">
        <f t="shared" si="26"/>
        <v>0.16194304258375253</v>
      </c>
      <c r="F96" s="423">
        <f>Sizing!F110</f>
        <v>49.438553395322081</v>
      </c>
      <c r="G96" s="423">
        <f>Sizing!G110</f>
        <v>494.38553395322066</v>
      </c>
      <c r="H96" s="423">
        <f>Sizing!H110</f>
        <v>1098.1792233053043</v>
      </c>
      <c r="I96" s="423">
        <f>Sizing!I110</f>
        <v>-376.80317697922789</v>
      </c>
      <c r="J96" s="189">
        <f>Sizing!J110</f>
        <v>109.81792233053044</v>
      </c>
      <c r="K96" s="128">
        <v>50</v>
      </c>
      <c r="L96" s="12">
        <f t="shared" si="5"/>
        <v>59.055120000000002</v>
      </c>
      <c r="M96" s="11">
        <f t="shared" si="5"/>
        <v>19.685040000000001</v>
      </c>
      <c r="N96" s="11">
        <f t="shared" si="5"/>
        <v>1.1811024000000039</v>
      </c>
      <c r="O96" s="152">
        <f t="shared" si="27"/>
        <v>23.319798132060363</v>
      </c>
      <c r="P96" s="8">
        <f t="shared" si="41"/>
        <v>3.5433072000000001</v>
      </c>
      <c r="Q96" s="12">
        <f t="shared" si="28"/>
        <v>4.1975636637708655</v>
      </c>
      <c r="R96" s="8">
        <f t="shared" si="42"/>
        <v>1.7716536000000001</v>
      </c>
      <c r="S96" s="12">
        <f t="shared" si="29"/>
        <v>2.0987818318854328</v>
      </c>
      <c r="T96" s="17">
        <f>Sizing!CN110</f>
        <v>0.25</v>
      </c>
      <c r="U96" s="17">
        <f>Sizing!CO110</f>
        <v>2.3622047244094495E-2</v>
      </c>
      <c r="V96" s="17">
        <f>Sizing!CP110</f>
        <v>1.5748031496062995E-2</v>
      </c>
      <c r="W96" s="128">
        <f t="shared" si="6"/>
        <v>3.0224609670856709E-3</v>
      </c>
      <c r="X96" s="2">
        <f t="shared" si="7"/>
        <v>7.2254596295506844E-4</v>
      </c>
      <c r="Y96" s="2">
        <f t="shared" si="8"/>
        <v>3.7450069300407392E-3</v>
      </c>
      <c r="Z96" s="216">
        <f t="shared" si="30"/>
        <v>7.2775819303028372E-2</v>
      </c>
      <c r="AA96" s="138">
        <f t="shared" si="31"/>
        <v>1.7397701743971015E-2</v>
      </c>
      <c r="AB96" s="17">
        <f t="shared" si="32"/>
        <v>9.0173521046999383E-2</v>
      </c>
      <c r="AC96" s="311">
        <f t="shared" si="33"/>
        <v>7.1521063797803749E-2</v>
      </c>
      <c r="AD96" s="316">
        <f t="shared" si="34"/>
        <v>1.7097741369074961E-2</v>
      </c>
      <c r="AE96" s="21">
        <f t="shared" si="35"/>
        <v>8.86188051668787E-2</v>
      </c>
      <c r="AF96" s="170">
        <f>Sizing!DU110</f>
        <v>0.10588389379166488</v>
      </c>
      <c r="AG96" s="170">
        <f>Sizing!DV110</f>
        <v>0.32539805437596714</v>
      </c>
      <c r="AH96" s="170">
        <f>Sizing!DW110</f>
        <v>0.10588389379166488</v>
      </c>
      <c r="AI96" s="272">
        <f>Sizing!DX110</f>
        <v>0.32539805437596714</v>
      </c>
      <c r="AJ96" s="216">
        <f>Sizing!GJ110</f>
        <v>0.25</v>
      </c>
      <c r="AK96" s="216">
        <f>Sizing!GK110</f>
        <v>1.5748031496062995E-2</v>
      </c>
      <c r="AL96" s="17">
        <f>Sizing!GL110</f>
        <v>1.5748031496062995E-2</v>
      </c>
      <c r="AM96" s="216">
        <f t="shared" si="9"/>
        <v>2.4179687736685367E-3</v>
      </c>
      <c r="AN96" s="138">
        <f t="shared" si="10"/>
        <v>7.2254596295506844E-4</v>
      </c>
      <c r="AO96" s="138">
        <f t="shared" si="11"/>
        <v>3.1405147366236051E-3</v>
      </c>
      <c r="AP96" s="311">
        <f t="shared" si="36"/>
        <v>1.014957786448365E-2</v>
      </c>
      <c r="AQ96" s="11">
        <f t="shared" si="37"/>
        <v>3.032932679504525E-3</v>
      </c>
      <c r="AR96" s="21">
        <f t="shared" si="38"/>
        <v>1.3182510543988174E-2</v>
      </c>
      <c r="AS96" s="11">
        <f t="shared" si="12"/>
        <v>7.6807187104634602E-3</v>
      </c>
      <c r="AT96" s="21">
        <f t="shared" si="39"/>
        <v>7.6807187104634602E-3</v>
      </c>
      <c r="AU96" s="170">
        <f>Sizing!JC110</f>
        <v>1.7308826818777986E-3</v>
      </c>
      <c r="AV96" s="272">
        <f>Sizing!JD110</f>
        <v>4.160387820717918E-2</v>
      </c>
      <c r="AW96" s="170">
        <f>Sizing!JC110</f>
        <v>1.7308826818777986E-3</v>
      </c>
      <c r="AX96" s="272">
        <f>Sizing!JD110</f>
        <v>4.160387820717918E-2</v>
      </c>
      <c r="AY96" s="216">
        <f>Sizing!IT110</f>
        <v>0.25</v>
      </c>
      <c r="AZ96" s="216">
        <f>Sizing!IU110</f>
        <v>1.5748031496062995E-2</v>
      </c>
      <c r="BA96" s="17">
        <f>Sizing!IV110</f>
        <v>1.5748031496062995E-2</v>
      </c>
      <c r="BB96" s="216">
        <f t="shared" si="13"/>
        <v>2.4179687736685367E-3</v>
      </c>
      <c r="BC96" s="138">
        <f t="shared" si="14"/>
        <v>7.2254596295506844E-4</v>
      </c>
      <c r="BD96" s="138">
        <f t="shared" si="15"/>
        <v>3.1405147366236051E-3</v>
      </c>
      <c r="BE96" s="311">
        <f t="shared" si="16"/>
        <v>5.0747889322418248E-3</v>
      </c>
      <c r="BF96" s="11">
        <f t="shared" si="17"/>
        <v>1.5164663397522625E-3</v>
      </c>
      <c r="BG96" s="21">
        <f t="shared" si="18"/>
        <v>6.5912552719940868E-3</v>
      </c>
      <c r="BH96" s="21">
        <f t="shared" si="19"/>
        <v>1.255566122877369E-4</v>
      </c>
      <c r="BI96" s="21">
        <f t="shared" si="20"/>
        <v>1.255566122877369E-4</v>
      </c>
      <c r="BJ96" s="561"/>
      <c r="BK96">
        <f t="shared" si="21"/>
        <v>0.82020999999999999</v>
      </c>
      <c r="BL96">
        <f t="shared" si="22"/>
        <v>0.82020999999999999</v>
      </c>
      <c r="BM96">
        <f>C96*'Inputs-Imperial'!$E$12</f>
        <v>0.410105</v>
      </c>
      <c r="BN96">
        <f>C96*'Inputs-Imperial'!$E$12</f>
        <v>0.410105</v>
      </c>
      <c r="BO96">
        <f>C96*'Inputs-Imperial'!$E$12</f>
        <v>0.410105</v>
      </c>
      <c r="BP96">
        <f>C96*'Weight '!$E$15</f>
        <v>0.82020999999999999</v>
      </c>
      <c r="BQ96">
        <f>C96*'Weight '!$E$15</f>
        <v>0.82020999999999999</v>
      </c>
      <c r="BR96">
        <f>C96*'Weight '!$E$15</f>
        <v>0.82020999999999999</v>
      </c>
      <c r="BS96">
        <f t="shared" si="23"/>
        <v>0.1639654487286078</v>
      </c>
      <c r="BT96" s="564">
        <f t="shared" si="24"/>
        <v>0.21417864267536277</v>
      </c>
      <c r="BU96">
        <f t="shared" si="40"/>
        <v>0.76555461683980941</v>
      </c>
    </row>
    <row r="97" spans="1:73" x14ac:dyDescent="0.25">
      <c r="A97" s="186">
        <v>51</v>
      </c>
      <c r="B97" s="187">
        <f>A97/100*'Inputs-Imperial'!$E$5</f>
        <v>5.0196852000000005</v>
      </c>
      <c r="C97" s="188">
        <f>'Inputs-Imperial'!$E$10+('Inputs-Imperial'!$E$9-'Inputs-Imperial'!$E$10)*(100-A97)/100</f>
        <v>1.6305774799999999</v>
      </c>
      <c r="D97" s="187">
        <f t="shared" si="25"/>
        <v>9.8425200000000324E-2</v>
      </c>
      <c r="E97" s="188">
        <f t="shared" si="26"/>
        <v>0.16097429058424853</v>
      </c>
      <c r="F97" s="423">
        <f>Sizing!F111</f>
        <v>48.168132164125474</v>
      </c>
      <c r="G97" s="423">
        <f>Sizing!G111</f>
        <v>481.68132164125461</v>
      </c>
      <c r="H97" s="423">
        <f>Sizing!H111</f>
        <v>1049.5192282488515</v>
      </c>
      <c r="I97" s="423">
        <f>Sizing!I111</f>
        <v>-364.82978540900655</v>
      </c>
      <c r="J97" s="189">
        <f>Sizing!J111</f>
        <v>104.95192282488516</v>
      </c>
      <c r="K97" s="128">
        <v>51</v>
      </c>
      <c r="L97" s="12">
        <f t="shared" si="5"/>
        <v>60.236222400000003</v>
      </c>
      <c r="M97" s="11">
        <f t="shared" si="5"/>
        <v>19.566929760000001</v>
      </c>
      <c r="N97" s="11">
        <f t="shared" si="5"/>
        <v>1.1811024000000039</v>
      </c>
      <c r="O97" s="152">
        <f t="shared" si="27"/>
        <v>23.18029784413179</v>
      </c>
      <c r="P97" s="8">
        <f t="shared" si="41"/>
        <v>3.5220473567999999</v>
      </c>
      <c r="Q97" s="12">
        <f t="shared" si="28"/>
        <v>4.1724536119437223</v>
      </c>
      <c r="R97" s="8">
        <f t="shared" si="42"/>
        <v>1.7610236784</v>
      </c>
      <c r="S97" s="12">
        <f t="shared" si="29"/>
        <v>2.0862268059718612</v>
      </c>
      <c r="T97" s="17">
        <f>Sizing!CN111</f>
        <v>0.25</v>
      </c>
      <c r="U97" s="17">
        <f>Sizing!CO111</f>
        <v>2.3622047244094495E-2</v>
      </c>
      <c r="V97" s="17">
        <f>Sizing!CP111</f>
        <v>1.5748031496062995E-2</v>
      </c>
      <c r="W97" s="128">
        <f t="shared" si="6"/>
        <v>3.0224609670856709E-3</v>
      </c>
      <c r="X97" s="2">
        <f t="shared" si="7"/>
        <v>7.2254596295506844E-4</v>
      </c>
      <c r="Y97" s="2">
        <f t="shared" si="8"/>
        <v>3.7450069300407392E-3</v>
      </c>
      <c r="Z97" s="216">
        <f t="shared" si="30"/>
        <v>7.2340470433817847E-2</v>
      </c>
      <c r="AA97" s="138">
        <f t="shared" si="31"/>
        <v>1.7293627755472687E-2</v>
      </c>
      <c r="AB97" s="17">
        <f t="shared" si="32"/>
        <v>8.9634098189290537E-2</v>
      </c>
      <c r="AC97" s="311">
        <f t="shared" si="33"/>
        <v>7.1093220943579616E-2</v>
      </c>
      <c r="AD97" s="316">
        <f t="shared" si="34"/>
        <v>1.6995461759688673E-2</v>
      </c>
      <c r="AE97" s="21">
        <f t="shared" si="35"/>
        <v>8.8088682703268278E-2</v>
      </c>
      <c r="AF97" s="170">
        <f>Sizing!DU111</f>
        <v>0.10588389379166488</v>
      </c>
      <c r="AG97" s="170">
        <f>Sizing!DV111</f>
        <v>0.32539805437596714</v>
      </c>
      <c r="AH97" s="170">
        <f>Sizing!DW111</f>
        <v>0.10588389379166488</v>
      </c>
      <c r="AI97" s="272">
        <f>Sizing!DX111</f>
        <v>0.32539805437596714</v>
      </c>
      <c r="AJ97" s="216">
        <f>Sizing!GJ111</f>
        <v>0.25</v>
      </c>
      <c r="AK97" s="216">
        <f>Sizing!GK111</f>
        <v>1.5748031496062995E-2</v>
      </c>
      <c r="AL97" s="17">
        <f>Sizing!GL111</f>
        <v>1.5748031496062995E-2</v>
      </c>
      <c r="AM97" s="216">
        <f t="shared" si="9"/>
        <v>2.4179687736685367E-3</v>
      </c>
      <c r="AN97" s="138">
        <f t="shared" si="10"/>
        <v>7.2254596295506844E-4</v>
      </c>
      <c r="AO97" s="138">
        <f t="shared" si="11"/>
        <v>3.1405147366236051E-3</v>
      </c>
      <c r="AP97" s="311">
        <f t="shared" si="36"/>
        <v>1.0088862543260418E-2</v>
      </c>
      <c r="AQ97" s="11">
        <f t="shared" si="37"/>
        <v>3.0147895129272301E-3</v>
      </c>
      <c r="AR97" s="21">
        <f t="shared" si="38"/>
        <v>1.3103652056187649E-2</v>
      </c>
      <c r="AS97" s="11">
        <f t="shared" si="12"/>
        <v>7.6807187104634602E-3</v>
      </c>
      <c r="AT97" s="21">
        <f t="shared" si="39"/>
        <v>7.6807187104634602E-3</v>
      </c>
      <c r="AU97" s="170">
        <f>Sizing!JC111</f>
        <v>1.7308826818777986E-3</v>
      </c>
      <c r="AV97" s="272">
        <f>Sizing!JD111</f>
        <v>4.160387820717918E-2</v>
      </c>
      <c r="AW97" s="170">
        <f>Sizing!JC111</f>
        <v>1.7308826818777986E-3</v>
      </c>
      <c r="AX97" s="272">
        <f>Sizing!JD111</f>
        <v>4.160387820717918E-2</v>
      </c>
      <c r="AY97" s="216">
        <f>Sizing!IT111</f>
        <v>0.25</v>
      </c>
      <c r="AZ97" s="216">
        <f>Sizing!IU111</f>
        <v>1.5748031496062995E-2</v>
      </c>
      <c r="BA97" s="17">
        <f>Sizing!IV111</f>
        <v>1.5748031496062995E-2</v>
      </c>
      <c r="BB97" s="216">
        <f t="shared" si="13"/>
        <v>2.4179687736685367E-3</v>
      </c>
      <c r="BC97" s="138">
        <f t="shared" si="14"/>
        <v>7.2254596295506844E-4</v>
      </c>
      <c r="BD97" s="138">
        <f t="shared" si="15"/>
        <v>3.1405147366236051E-3</v>
      </c>
      <c r="BE97" s="311">
        <f t="shared" si="16"/>
        <v>5.044431271630209E-3</v>
      </c>
      <c r="BF97" s="11">
        <f t="shared" si="17"/>
        <v>1.5073947564636151E-3</v>
      </c>
      <c r="BG97" s="21">
        <f t="shared" si="18"/>
        <v>6.5518260280938243E-3</v>
      </c>
      <c r="BH97" s="21">
        <f t="shared" si="19"/>
        <v>1.255566122877369E-4</v>
      </c>
      <c r="BI97" s="21">
        <f t="shared" si="20"/>
        <v>1.255566122877369E-4</v>
      </c>
      <c r="BJ97" s="561"/>
      <c r="BK97">
        <f t="shared" si="21"/>
        <v>0.81528873999999996</v>
      </c>
      <c r="BL97">
        <f t="shared" si="22"/>
        <v>0.81528873999999996</v>
      </c>
      <c r="BM97">
        <f>C97*'Inputs-Imperial'!$E$12</f>
        <v>0.40764436999999998</v>
      </c>
      <c r="BN97">
        <f>C97*'Inputs-Imperial'!$E$12</f>
        <v>0.40764436999999998</v>
      </c>
      <c r="BO97">
        <f>C97*'Inputs-Imperial'!$E$12</f>
        <v>0.40764436999999998</v>
      </c>
      <c r="BP97">
        <f>C97*'Weight '!$E$15</f>
        <v>0.81528873999999996</v>
      </c>
      <c r="BQ97">
        <f>C97*'Weight '!$E$15</f>
        <v>0.81528873999999996</v>
      </c>
      <c r="BR97">
        <f>C97*'Weight '!$E$15</f>
        <v>0.81528873999999996</v>
      </c>
      <c r="BS97">
        <f t="shared" si="23"/>
        <v>0.16204537534168764</v>
      </c>
      <c r="BT97" s="564">
        <f t="shared" si="24"/>
        <v>0.21299080962234274</v>
      </c>
      <c r="BU97">
        <f t="shared" si="40"/>
        <v>0.76080923692910873</v>
      </c>
    </row>
    <row r="98" spans="1:73" x14ac:dyDescent="0.25">
      <c r="A98" s="186">
        <v>52</v>
      </c>
      <c r="B98" s="187">
        <f>A98/100*'Inputs-Imperial'!$E$5</f>
        <v>5.1181103999999999</v>
      </c>
      <c r="C98" s="188">
        <f>'Inputs-Imperial'!$E$10+('Inputs-Imperial'!$E$9-'Inputs-Imperial'!$E$10)*(100-A98)/100</f>
        <v>1.6207349600000001</v>
      </c>
      <c r="D98" s="187">
        <f t="shared" si="25"/>
        <v>9.8425199999999435E-2</v>
      </c>
      <c r="E98" s="188">
        <f t="shared" si="26"/>
        <v>0.16000553858474309</v>
      </c>
      <c r="F98" s="423">
        <f>Sizing!F112</f>
        <v>46.905923938847103</v>
      </c>
      <c r="G98" s="423">
        <f>Sizing!G112</f>
        <v>469.05923938847093</v>
      </c>
      <c r="H98" s="423">
        <f>Sizing!H112</f>
        <v>1002.109647830047</v>
      </c>
      <c r="I98" s="423">
        <f>Sizing!I112</f>
        <v>-353.01152150186863</v>
      </c>
      <c r="J98" s="189">
        <f>Sizing!J112</f>
        <v>100.2109647830047</v>
      </c>
      <c r="K98" s="128">
        <v>52</v>
      </c>
      <c r="L98" s="12">
        <f t="shared" si="5"/>
        <v>61.417324800000003</v>
      </c>
      <c r="M98" s="11">
        <f t="shared" si="5"/>
        <v>19.448819520000001</v>
      </c>
      <c r="N98" s="11">
        <f t="shared" si="5"/>
        <v>1.1811023999999932</v>
      </c>
      <c r="O98" s="152">
        <f t="shared" si="27"/>
        <v>23.040797556203003</v>
      </c>
      <c r="P98" s="8">
        <f t="shared" si="41"/>
        <v>3.5007875136000002</v>
      </c>
      <c r="Q98" s="12">
        <f t="shared" si="28"/>
        <v>4.1473435601165409</v>
      </c>
      <c r="R98" s="8">
        <f t="shared" si="42"/>
        <v>1.7503937568000001</v>
      </c>
      <c r="S98" s="12">
        <f t="shared" si="29"/>
        <v>2.0736717800582705</v>
      </c>
      <c r="T98" s="17">
        <f>Sizing!CN112</f>
        <v>0.25</v>
      </c>
      <c r="U98" s="17">
        <f>Sizing!CO112</f>
        <v>2.3622047244094495E-2</v>
      </c>
      <c r="V98" s="17">
        <f>Sizing!CP112</f>
        <v>1.5748031496062995E-2</v>
      </c>
      <c r="W98" s="128">
        <f t="shared" si="6"/>
        <v>3.0224609670856709E-3</v>
      </c>
      <c r="X98" s="2">
        <f t="shared" si="7"/>
        <v>7.2254596295506844E-4</v>
      </c>
      <c r="Y98" s="2">
        <f t="shared" si="8"/>
        <v>3.7450069300407392E-3</v>
      </c>
      <c r="Z98" s="216">
        <f t="shared" si="30"/>
        <v>7.1905121564606655E-2</v>
      </c>
      <c r="AA98" s="138">
        <f t="shared" si="31"/>
        <v>1.7189553766974196E-2</v>
      </c>
      <c r="AB98" s="17">
        <f t="shared" si="32"/>
        <v>8.9094675331580844E-2</v>
      </c>
      <c r="AC98" s="311">
        <f t="shared" si="33"/>
        <v>7.0665378089354816E-2</v>
      </c>
      <c r="AD98" s="316">
        <f t="shared" si="34"/>
        <v>1.6893182150302229E-2</v>
      </c>
      <c r="AE98" s="21">
        <f t="shared" si="35"/>
        <v>8.7558560239657038E-2</v>
      </c>
      <c r="AF98" s="170">
        <f>Sizing!DU112</f>
        <v>0.10588389379166488</v>
      </c>
      <c r="AG98" s="170">
        <f>Sizing!DV112</f>
        <v>0.32539805437596714</v>
      </c>
      <c r="AH98" s="170">
        <f>Sizing!DW112</f>
        <v>0.10588389379166488</v>
      </c>
      <c r="AI98" s="272">
        <f>Sizing!DX112</f>
        <v>0.32539805437596714</v>
      </c>
      <c r="AJ98" s="216">
        <f>Sizing!GJ112</f>
        <v>0.25</v>
      </c>
      <c r="AK98" s="216">
        <f>Sizing!GK112</f>
        <v>1.5748031496062995E-2</v>
      </c>
      <c r="AL98" s="17">
        <f>Sizing!GL112</f>
        <v>1.5748031496062995E-2</v>
      </c>
      <c r="AM98" s="216">
        <f t="shared" si="9"/>
        <v>2.4179687736685367E-3</v>
      </c>
      <c r="AN98" s="138">
        <f t="shared" si="10"/>
        <v>7.2254596295506844E-4</v>
      </c>
      <c r="AO98" s="138">
        <f t="shared" si="11"/>
        <v>3.1405147366236051E-3</v>
      </c>
      <c r="AP98" s="311">
        <f t="shared" si="36"/>
        <v>1.0028147222037096E-2</v>
      </c>
      <c r="AQ98" s="11">
        <f t="shared" si="37"/>
        <v>2.9966463463499079E-3</v>
      </c>
      <c r="AR98" s="21">
        <f t="shared" si="38"/>
        <v>1.3024793568387004E-2</v>
      </c>
      <c r="AS98" s="11">
        <f t="shared" si="12"/>
        <v>7.6807187104633908E-3</v>
      </c>
      <c r="AT98" s="21">
        <f t="shared" si="39"/>
        <v>7.6807187104633908E-3</v>
      </c>
      <c r="AU98" s="170">
        <f>Sizing!JC112</f>
        <v>1.7308826818777986E-3</v>
      </c>
      <c r="AV98" s="272">
        <f>Sizing!JD112</f>
        <v>4.160387820717918E-2</v>
      </c>
      <c r="AW98" s="170">
        <f>Sizing!JC112</f>
        <v>1.7308826818777986E-3</v>
      </c>
      <c r="AX98" s="272">
        <f>Sizing!JD112</f>
        <v>4.160387820717918E-2</v>
      </c>
      <c r="AY98" s="216">
        <f>Sizing!IT112</f>
        <v>0.25</v>
      </c>
      <c r="AZ98" s="216">
        <f>Sizing!IU112</f>
        <v>1.5748031496062995E-2</v>
      </c>
      <c r="BA98" s="17">
        <f>Sizing!IV112</f>
        <v>1.5748031496062995E-2</v>
      </c>
      <c r="BB98" s="216">
        <f t="shared" si="13"/>
        <v>2.4179687736685367E-3</v>
      </c>
      <c r="BC98" s="138">
        <f t="shared" si="14"/>
        <v>7.2254596295506844E-4</v>
      </c>
      <c r="BD98" s="138">
        <f t="shared" si="15"/>
        <v>3.1405147366236051E-3</v>
      </c>
      <c r="BE98" s="311">
        <f t="shared" si="16"/>
        <v>5.0140736110185482E-3</v>
      </c>
      <c r="BF98" s="11">
        <f t="shared" si="17"/>
        <v>1.498323173174954E-3</v>
      </c>
      <c r="BG98" s="21">
        <f t="shared" si="18"/>
        <v>6.512396784193502E-3</v>
      </c>
      <c r="BH98" s="21">
        <f t="shared" si="19"/>
        <v>1.2555661228773579E-4</v>
      </c>
      <c r="BI98" s="21">
        <f t="shared" si="20"/>
        <v>1.2555661228773579E-4</v>
      </c>
      <c r="BJ98" s="561"/>
      <c r="BK98">
        <f t="shared" si="21"/>
        <v>0.81036748000000003</v>
      </c>
      <c r="BL98">
        <f t="shared" si="22"/>
        <v>0.81036748000000003</v>
      </c>
      <c r="BM98">
        <f>C98*'Inputs-Imperial'!$E$12</f>
        <v>0.40518374000000001</v>
      </c>
      <c r="BN98">
        <f>C98*'Inputs-Imperial'!$E$12</f>
        <v>0.40518374000000001</v>
      </c>
      <c r="BO98">
        <f>C98*'Inputs-Imperial'!$E$12</f>
        <v>0.40518374000000001</v>
      </c>
      <c r="BP98">
        <f>C98*'Weight '!$E$15</f>
        <v>0.81036748000000003</v>
      </c>
      <c r="BQ98">
        <f>C98*'Weight '!$E$15</f>
        <v>0.81036748000000003</v>
      </c>
      <c r="BR98">
        <f>C98*'Weight '!$E$15</f>
        <v>0.81036748000000003</v>
      </c>
      <c r="BS98">
        <f t="shared" si="23"/>
        <v>0.16013660514222533</v>
      </c>
      <c r="BT98" s="564">
        <f t="shared" si="24"/>
        <v>0.21180297656932065</v>
      </c>
      <c r="BU98">
        <f t="shared" si="40"/>
        <v>0.75606399747557129</v>
      </c>
    </row>
    <row r="99" spans="1:73" x14ac:dyDescent="0.25">
      <c r="A99" s="186">
        <v>53</v>
      </c>
      <c r="B99" s="187">
        <f>A99/100*'Inputs-Imperial'!$E$5</f>
        <v>5.2165356000000003</v>
      </c>
      <c r="C99" s="188">
        <f>'Inputs-Imperial'!$E$10+('Inputs-Imperial'!$E$9-'Inputs-Imperial'!$E$10)*(100-A99)/100</f>
        <v>1.61089244</v>
      </c>
      <c r="D99" s="187">
        <f t="shared" si="25"/>
        <v>9.8425200000000324E-2</v>
      </c>
      <c r="E99" s="188">
        <f t="shared" si="26"/>
        <v>0.15903678658524051</v>
      </c>
      <c r="F99" s="423">
        <f>Sizing!F113</f>
        <v>45.65205128056563</v>
      </c>
      <c r="G99" s="423">
        <f>Sizing!G113</f>
        <v>456.52051280565621</v>
      </c>
      <c r="H99" s="423">
        <f>Sizing!H113</f>
        <v>955.94239838138878</v>
      </c>
      <c r="I99" s="423">
        <f>Sizing!I113</f>
        <v>-341.34966957328299</v>
      </c>
      <c r="J99" s="189">
        <f>Sizing!J113</f>
        <v>95.594239838138876</v>
      </c>
      <c r="K99" s="128">
        <v>53</v>
      </c>
      <c r="L99" s="12">
        <f t="shared" si="5"/>
        <v>62.598427200000003</v>
      </c>
      <c r="M99" s="11">
        <f t="shared" si="5"/>
        <v>19.330709280000001</v>
      </c>
      <c r="N99" s="11">
        <f t="shared" si="5"/>
        <v>1.1811024000000039</v>
      </c>
      <c r="O99" s="152">
        <f t="shared" si="27"/>
        <v>22.901297268274632</v>
      </c>
      <c r="P99" s="8">
        <f t="shared" si="41"/>
        <v>3.4795276704</v>
      </c>
      <c r="Q99" s="12">
        <f t="shared" si="28"/>
        <v>4.1222335082894341</v>
      </c>
      <c r="R99" s="8">
        <f t="shared" si="42"/>
        <v>1.7397638352</v>
      </c>
      <c r="S99" s="12">
        <f t="shared" si="29"/>
        <v>2.0611167541447171</v>
      </c>
      <c r="T99" s="17">
        <f>Sizing!CN113</f>
        <v>0.25</v>
      </c>
      <c r="U99" s="17">
        <f>Sizing!CO113</f>
        <v>2.3622047244094495E-2</v>
      </c>
      <c r="V99" s="17">
        <f>Sizing!CP113</f>
        <v>1.5748031496062995E-2</v>
      </c>
      <c r="W99" s="128">
        <f t="shared" si="6"/>
        <v>3.0224609670856709E-3</v>
      </c>
      <c r="X99" s="2">
        <f t="shared" si="7"/>
        <v>7.2254596295506844E-4</v>
      </c>
      <c r="Y99" s="2">
        <f t="shared" si="8"/>
        <v>3.7450069300407392E-3</v>
      </c>
      <c r="Z99" s="216">
        <f t="shared" si="30"/>
        <v>7.1469772695396755E-2</v>
      </c>
      <c r="AA99" s="138">
        <f t="shared" si="31"/>
        <v>1.708547977847602E-2</v>
      </c>
      <c r="AB99" s="17">
        <f t="shared" si="32"/>
        <v>8.8555252473872761E-2</v>
      </c>
      <c r="AC99" s="311">
        <f t="shared" si="33"/>
        <v>7.0237535235131293E-2</v>
      </c>
      <c r="AD99" s="316">
        <f t="shared" si="34"/>
        <v>1.679090254091609E-2</v>
      </c>
      <c r="AE99" s="21">
        <f t="shared" si="35"/>
        <v>8.7028437776047379E-2</v>
      </c>
      <c r="AF99" s="170">
        <f>Sizing!DU113</f>
        <v>0.10588389379166488</v>
      </c>
      <c r="AG99" s="170">
        <f>Sizing!DV113</f>
        <v>0.32539805437596714</v>
      </c>
      <c r="AH99" s="170">
        <f>Sizing!DW113</f>
        <v>0.10588389379166488</v>
      </c>
      <c r="AI99" s="272">
        <f>Sizing!DX113</f>
        <v>0.32539805437596714</v>
      </c>
      <c r="AJ99" s="216">
        <f>Sizing!GJ113</f>
        <v>0.25</v>
      </c>
      <c r="AK99" s="216">
        <f>Sizing!GK113</f>
        <v>1.5748031496062995E-2</v>
      </c>
      <c r="AL99" s="17">
        <f>Sizing!GL113</f>
        <v>1.5748031496062995E-2</v>
      </c>
      <c r="AM99" s="216">
        <f t="shared" si="9"/>
        <v>2.4179687736685367E-3</v>
      </c>
      <c r="AN99" s="138">
        <f t="shared" si="10"/>
        <v>7.2254596295506844E-4</v>
      </c>
      <c r="AO99" s="138">
        <f t="shared" si="11"/>
        <v>3.1405147366236051E-3</v>
      </c>
      <c r="AP99" s="311">
        <f t="shared" si="36"/>
        <v>9.9674319008139535E-3</v>
      </c>
      <c r="AQ99" s="11">
        <f t="shared" si="37"/>
        <v>2.9785031797726394E-3</v>
      </c>
      <c r="AR99" s="21">
        <f t="shared" si="38"/>
        <v>1.2945935080586592E-2</v>
      </c>
      <c r="AS99" s="11">
        <f t="shared" si="12"/>
        <v>7.6807187104634602E-3</v>
      </c>
      <c r="AT99" s="21">
        <f t="shared" si="39"/>
        <v>7.6807187104634602E-3</v>
      </c>
      <c r="AU99" s="170">
        <f>Sizing!JC113</f>
        <v>1.7308826818777986E-3</v>
      </c>
      <c r="AV99" s="272">
        <f>Sizing!JD113</f>
        <v>4.160387820717918E-2</v>
      </c>
      <c r="AW99" s="170">
        <f>Sizing!JC113</f>
        <v>1.7308826818777986E-3</v>
      </c>
      <c r="AX99" s="272">
        <f>Sizing!JD113</f>
        <v>4.160387820717918E-2</v>
      </c>
      <c r="AY99" s="216">
        <f>Sizing!IT113</f>
        <v>0.25</v>
      </c>
      <c r="AZ99" s="216">
        <f>Sizing!IU113</f>
        <v>1.5748031496062995E-2</v>
      </c>
      <c r="BA99" s="17">
        <f>Sizing!IV113</f>
        <v>1.5748031496062995E-2</v>
      </c>
      <c r="BB99" s="216">
        <f t="shared" si="13"/>
        <v>2.4179687736685367E-3</v>
      </c>
      <c r="BC99" s="138">
        <f t="shared" si="14"/>
        <v>7.2254596295506844E-4</v>
      </c>
      <c r="BD99" s="138">
        <f t="shared" si="15"/>
        <v>3.1405147366236051E-3</v>
      </c>
      <c r="BE99" s="311">
        <f t="shared" si="16"/>
        <v>4.9837159504069767E-3</v>
      </c>
      <c r="BF99" s="11">
        <f t="shared" si="17"/>
        <v>1.4892515898863197E-3</v>
      </c>
      <c r="BG99" s="21">
        <f t="shared" si="18"/>
        <v>6.4729675402932958E-3</v>
      </c>
      <c r="BH99" s="21">
        <f t="shared" si="19"/>
        <v>1.255566122877369E-4</v>
      </c>
      <c r="BI99" s="21">
        <f t="shared" si="20"/>
        <v>1.255566122877369E-4</v>
      </c>
      <c r="BJ99" s="561"/>
      <c r="BK99">
        <f t="shared" si="21"/>
        <v>0.80544621999999999</v>
      </c>
      <c r="BL99">
        <f t="shared" si="22"/>
        <v>0.80544621999999999</v>
      </c>
      <c r="BM99">
        <f>C99*'Inputs-Imperial'!$E$12</f>
        <v>0.40272311</v>
      </c>
      <c r="BN99">
        <f>C99*'Inputs-Imperial'!$E$12</f>
        <v>0.40272311</v>
      </c>
      <c r="BO99">
        <f>C99*'Inputs-Imperial'!$E$12</f>
        <v>0.40272311</v>
      </c>
      <c r="BP99">
        <f>C99*'Weight '!$E$15</f>
        <v>0.80544621999999999</v>
      </c>
      <c r="BQ99">
        <f>C99*'Weight '!$E$15</f>
        <v>0.80544621999999999</v>
      </c>
      <c r="BR99">
        <f>C99*'Weight '!$E$15</f>
        <v>0.80544621999999999</v>
      </c>
      <c r="BS99">
        <f t="shared" si="23"/>
        <v>0.1582391381302253</v>
      </c>
      <c r="BT99" s="564">
        <f t="shared" si="24"/>
        <v>0.21061514351630248</v>
      </c>
      <c r="BU99">
        <f t="shared" si="40"/>
        <v>0.75131890085565922</v>
      </c>
    </row>
    <row r="100" spans="1:73" x14ac:dyDescent="0.25">
      <c r="A100" s="186">
        <v>54</v>
      </c>
      <c r="B100" s="187">
        <f>A100/100*'Inputs-Imperial'!$E$5</f>
        <v>5.3149608000000006</v>
      </c>
      <c r="C100" s="188">
        <f>'Inputs-Imperial'!$E$10+('Inputs-Imperial'!$E$9-'Inputs-Imperial'!$E$10)*(100-A100)/100</f>
        <v>1.6010499199999999</v>
      </c>
      <c r="D100" s="187">
        <f t="shared" si="25"/>
        <v>9.8425200000000324E-2</v>
      </c>
      <c r="E100" s="188">
        <f t="shared" si="26"/>
        <v>0.15806803458573654</v>
      </c>
      <c r="F100" s="423">
        <f>Sizing!F114</f>
        <v>44.406639400748084</v>
      </c>
      <c r="G100" s="423">
        <f>Sizing!G114</f>
        <v>444.06639400748071</v>
      </c>
      <c r="H100" s="423">
        <f>Sizing!H114</f>
        <v>911.00927560438936</v>
      </c>
      <c r="I100" s="423">
        <f>Sizing!I114</f>
        <v>-329.84551763190763</v>
      </c>
      <c r="J100" s="189">
        <f>Sizing!J114</f>
        <v>91.100927560438933</v>
      </c>
      <c r="K100" s="128">
        <v>54</v>
      </c>
      <c r="L100" s="12">
        <f t="shared" si="5"/>
        <v>63.779529600000004</v>
      </c>
      <c r="M100" s="11">
        <f t="shared" si="5"/>
        <v>19.212599040000001</v>
      </c>
      <c r="N100" s="11">
        <f t="shared" si="5"/>
        <v>1.1811024000000039</v>
      </c>
      <c r="O100" s="152">
        <f t="shared" si="27"/>
        <v>22.761796980346062</v>
      </c>
      <c r="P100" s="8">
        <f t="shared" si="41"/>
        <v>3.4582678271999998</v>
      </c>
      <c r="Q100" s="12">
        <f t="shared" si="28"/>
        <v>4.09712345646229</v>
      </c>
      <c r="R100" s="8">
        <f t="shared" si="42"/>
        <v>1.7291339135999999</v>
      </c>
      <c r="S100" s="12">
        <f t="shared" si="29"/>
        <v>2.048561728231145</v>
      </c>
      <c r="T100" s="17">
        <f>Sizing!CN114</f>
        <v>0.25</v>
      </c>
      <c r="U100" s="17">
        <f>Sizing!CO114</f>
        <v>2.3622047244094495E-2</v>
      </c>
      <c r="V100" s="17">
        <f>Sizing!CP114</f>
        <v>1.5748031496062995E-2</v>
      </c>
      <c r="W100" s="128">
        <f t="shared" si="6"/>
        <v>3.0224609670856709E-3</v>
      </c>
      <c r="X100" s="2">
        <f t="shared" si="7"/>
        <v>7.2254596295506844E-4</v>
      </c>
      <c r="Y100" s="2">
        <f t="shared" si="8"/>
        <v>3.7450069300407392E-3</v>
      </c>
      <c r="Z100" s="216">
        <f t="shared" si="30"/>
        <v>7.1034423826186244E-2</v>
      </c>
      <c r="AA100" s="138">
        <f t="shared" si="31"/>
        <v>1.6981405789977696E-2</v>
      </c>
      <c r="AB100" s="17">
        <f t="shared" si="32"/>
        <v>8.8015829616163929E-2</v>
      </c>
      <c r="AC100" s="311">
        <f t="shared" si="33"/>
        <v>6.980969238090716E-2</v>
      </c>
      <c r="AD100" s="316">
        <f t="shared" si="34"/>
        <v>1.6688622931529801E-2</v>
      </c>
      <c r="AE100" s="21">
        <f t="shared" si="35"/>
        <v>8.6498315312436957E-2</v>
      </c>
      <c r="AF100" s="170">
        <f>Sizing!DU114</f>
        <v>0.10588389379166488</v>
      </c>
      <c r="AG100" s="170">
        <f>Sizing!DV114</f>
        <v>0.32539805437596714</v>
      </c>
      <c r="AH100" s="170">
        <f>Sizing!DW114</f>
        <v>0.10588389379166488</v>
      </c>
      <c r="AI100" s="272">
        <f>Sizing!DX114</f>
        <v>0.32539805437596714</v>
      </c>
      <c r="AJ100" s="216">
        <f>Sizing!GJ114</f>
        <v>0.25</v>
      </c>
      <c r="AK100" s="216">
        <f>Sizing!GK114</f>
        <v>1.5748031496062995E-2</v>
      </c>
      <c r="AL100" s="17">
        <f>Sizing!GL114</f>
        <v>1.5748031496062995E-2</v>
      </c>
      <c r="AM100" s="216">
        <f t="shared" si="9"/>
        <v>2.4179687736685367E-3</v>
      </c>
      <c r="AN100" s="138">
        <f t="shared" si="10"/>
        <v>7.2254596295506844E-4</v>
      </c>
      <c r="AO100" s="138">
        <f t="shared" si="11"/>
        <v>3.1405147366236051E-3</v>
      </c>
      <c r="AP100" s="311">
        <f t="shared" si="36"/>
        <v>9.9067165795907203E-3</v>
      </c>
      <c r="AQ100" s="11">
        <f t="shared" si="37"/>
        <v>2.9603600131953437E-3</v>
      </c>
      <c r="AR100" s="21">
        <f t="shared" si="38"/>
        <v>1.2867076592786063E-2</v>
      </c>
      <c r="AS100" s="11">
        <f t="shared" si="12"/>
        <v>7.6807187104634602E-3</v>
      </c>
      <c r="AT100" s="21">
        <f t="shared" si="39"/>
        <v>7.6807187104634602E-3</v>
      </c>
      <c r="AU100" s="170">
        <f>Sizing!JC114</f>
        <v>1.7308826818777986E-3</v>
      </c>
      <c r="AV100" s="272">
        <f>Sizing!JD114</f>
        <v>4.160387820717918E-2</v>
      </c>
      <c r="AW100" s="170">
        <f>Sizing!JC114</f>
        <v>1.7308826818777986E-3</v>
      </c>
      <c r="AX100" s="272">
        <f>Sizing!JD114</f>
        <v>4.160387820717918E-2</v>
      </c>
      <c r="AY100" s="216">
        <f>Sizing!IT114</f>
        <v>0.25</v>
      </c>
      <c r="AZ100" s="216">
        <f>Sizing!IU114</f>
        <v>1.5748031496062995E-2</v>
      </c>
      <c r="BA100" s="17">
        <f>Sizing!IV114</f>
        <v>1.5748031496062995E-2</v>
      </c>
      <c r="BB100" s="216">
        <f t="shared" si="13"/>
        <v>2.4179687736685367E-3</v>
      </c>
      <c r="BC100" s="138">
        <f t="shared" si="14"/>
        <v>7.2254596295506844E-4</v>
      </c>
      <c r="BD100" s="138">
        <f t="shared" si="15"/>
        <v>3.1405147366236051E-3</v>
      </c>
      <c r="BE100" s="311">
        <f t="shared" si="16"/>
        <v>4.9533582897953602E-3</v>
      </c>
      <c r="BF100" s="11">
        <f t="shared" si="17"/>
        <v>1.4801800065976718E-3</v>
      </c>
      <c r="BG100" s="21">
        <f t="shared" si="18"/>
        <v>6.4335382963930316E-3</v>
      </c>
      <c r="BH100" s="21">
        <f t="shared" si="19"/>
        <v>1.255566122877369E-4</v>
      </c>
      <c r="BI100" s="21">
        <f t="shared" si="20"/>
        <v>1.255566122877369E-4</v>
      </c>
      <c r="BJ100" s="561"/>
      <c r="BK100">
        <f t="shared" si="21"/>
        <v>0.80052495999999995</v>
      </c>
      <c r="BL100">
        <f t="shared" si="22"/>
        <v>0.80052495999999995</v>
      </c>
      <c r="BM100">
        <f>C100*'Inputs-Imperial'!$E$12</f>
        <v>0.40026247999999998</v>
      </c>
      <c r="BN100">
        <f>C100*'Inputs-Imperial'!$E$12</f>
        <v>0.40026247999999998</v>
      </c>
      <c r="BO100">
        <f>C100*'Inputs-Imperial'!$E$12</f>
        <v>0.40026247999999998</v>
      </c>
      <c r="BP100">
        <f>C100*'Weight '!$E$15</f>
        <v>0.80052495999999995</v>
      </c>
      <c r="BQ100">
        <f>C100*'Weight '!$E$15</f>
        <v>0.80052495999999995</v>
      </c>
      <c r="BR100">
        <f>C100*'Weight '!$E$15</f>
        <v>0.80052495999999995</v>
      </c>
      <c r="BS100">
        <f t="shared" si="23"/>
        <v>0.15635297430568318</v>
      </c>
      <c r="BT100" s="564">
        <f t="shared" si="24"/>
        <v>0.20942731046328245</v>
      </c>
      <c r="BU100">
        <f t="shared" si="40"/>
        <v>0.74657394949975042</v>
      </c>
    </row>
    <row r="101" spans="1:73" x14ac:dyDescent="0.25">
      <c r="A101" s="186">
        <v>55</v>
      </c>
      <c r="B101" s="187">
        <f>A101/100*'Inputs-Imperial'!$E$5</f>
        <v>5.4133860000000009</v>
      </c>
      <c r="C101" s="188">
        <f>'Inputs-Imperial'!$E$10+('Inputs-Imperial'!$E$9-'Inputs-Imperial'!$E$10)*(100-A101)/100</f>
        <v>1.5912074</v>
      </c>
      <c r="D101" s="187">
        <f t="shared" si="25"/>
        <v>9.8425200000000324E-2</v>
      </c>
      <c r="E101" s="188">
        <f t="shared" si="26"/>
        <v>0.15709928258623251</v>
      </c>
      <c r="F101" s="423">
        <f>Sizing!F115</f>
        <v>43.16981631201913</v>
      </c>
      <c r="G101" s="423">
        <f>Sizing!G115</f>
        <v>431.69816312019117</v>
      </c>
      <c r="H101" s="423">
        <f>Sizing!H115</f>
        <v>867.30195196092416</v>
      </c>
      <c r="I101" s="423">
        <f>Sizing!I115</f>
        <v>-318.50035814328993</v>
      </c>
      <c r="J101" s="189">
        <f>Sizing!J115</f>
        <v>86.73019519609241</v>
      </c>
      <c r="K101" s="128">
        <v>55</v>
      </c>
      <c r="L101" s="12">
        <f t="shared" si="5"/>
        <v>64.960632000000004</v>
      </c>
      <c r="M101" s="11">
        <f t="shared" si="5"/>
        <v>19.094488800000001</v>
      </c>
      <c r="N101" s="11">
        <f t="shared" si="5"/>
        <v>1.1811024000000039</v>
      </c>
      <c r="O101" s="152">
        <f t="shared" si="27"/>
        <v>22.622296692417482</v>
      </c>
      <c r="P101" s="8">
        <f t="shared" si="41"/>
        <v>3.4370079840000001</v>
      </c>
      <c r="Q101" s="12">
        <f t="shared" si="28"/>
        <v>4.0720134046351468</v>
      </c>
      <c r="R101" s="8">
        <f t="shared" si="42"/>
        <v>1.718503992</v>
      </c>
      <c r="S101" s="12">
        <f t="shared" si="29"/>
        <v>2.0360067023175734</v>
      </c>
      <c r="T101" s="17">
        <f>Sizing!CN115</f>
        <v>0.25</v>
      </c>
      <c r="U101" s="17">
        <f>Sizing!CO115</f>
        <v>2.3622047244094495E-2</v>
      </c>
      <c r="V101" s="17">
        <f>Sizing!CP115</f>
        <v>1.5748031496062995E-2</v>
      </c>
      <c r="W101" s="128">
        <f t="shared" si="6"/>
        <v>3.0224609670856709E-3</v>
      </c>
      <c r="X101" s="2">
        <f t="shared" si="7"/>
        <v>7.2254596295506844E-4</v>
      </c>
      <c r="Y101" s="2">
        <f t="shared" si="8"/>
        <v>3.7450069300407392E-3</v>
      </c>
      <c r="Z101" s="216">
        <f t="shared" si="30"/>
        <v>7.0599074956975677E-2</v>
      </c>
      <c r="AA101" s="138">
        <f t="shared" si="31"/>
        <v>1.6877331801479361E-2</v>
      </c>
      <c r="AB101" s="17">
        <f t="shared" si="32"/>
        <v>8.7476406758455041E-2</v>
      </c>
      <c r="AC101" s="311">
        <f t="shared" si="33"/>
        <v>6.9381849526682998E-2</v>
      </c>
      <c r="AD101" s="316">
        <f t="shared" si="34"/>
        <v>1.6586343322143506E-2</v>
      </c>
      <c r="AE101" s="21">
        <f t="shared" si="35"/>
        <v>8.5968192848826508E-2</v>
      </c>
      <c r="AF101" s="170">
        <f>Sizing!DU115</f>
        <v>0.10588389379166488</v>
      </c>
      <c r="AG101" s="170">
        <f>Sizing!DV115</f>
        <v>0.32539805437596714</v>
      </c>
      <c r="AH101" s="170">
        <f>Sizing!DW115</f>
        <v>0.10588389379166488</v>
      </c>
      <c r="AI101" s="272">
        <f>Sizing!DX115</f>
        <v>0.32539805437596714</v>
      </c>
      <c r="AJ101" s="216">
        <f>Sizing!GJ115</f>
        <v>0.25</v>
      </c>
      <c r="AK101" s="216">
        <f>Sizing!GK115</f>
        <v>1.5748031496062995E-2</v>
      </c>
      <c r="AL101" s="17">
        <f>Sizing!GL115</f>
        <v>1.5748031496062995E-2</v>
      </c>
      <c r="AM101" s="216">
        <f t="shared" si="9"/>
        <v>2.4179687736685367E-3</v>
      </c>
      <c r="AN101" s="138">
        <f t="shared" si="10"/>
        <v>7.2254596295506844E-4</v>
      </c>
      <c r="AO101" s="138">
        <f t="shared" si="11"/>
        <v>3.1405147366236051E-3</v>
      </c>
      <c r="AP101" s="311">
        <f t="shared" si="36"/>
        <v>9.8460012583674889E-3</v>
      </c>
      <c r="AQ101" s="11">
        <f t="shared" si="37"/>
        <v>2.9422168466180488E-3</v>
      </c>
      <c r="AR101" s="21">
        <f t="shared" si="38"/>
        <v>1.2788218104985538E-2</v>
      </c>
      <c r="AS101" s="11">
        <f t="shared" si="12"/>
        <v>7.6807187104634602E-3</v>
      </c>
      <c r="AT101" s="21">
        <f t="shared" si="39"/>
        <v>7.6807187104634602E-3</v>
      </c>
      <c r="AU101" s="170">
        <f>Sizing!JC115</f>
        <v>1.7308826818777986E-3</v>
      </c>
      <c r="AV101" s="272">
        <f>Sizing!JD115</f>
        <v>4.160387820717918E-2</v>
      </c>
      <c r="AW101" s="170">
        <f>Sizing!JC115</f>
        <v>1.7308826818777986E-3</v>
      </c>
      <c r="AX101" s="272">
        <f>Sizing!JD115</f>
        <v>4.160387820717918E-2</v>
      </c>
      <c r="AY101" s="216">
        <f>Sizing!IT115</f>
        <v>0.25</v>
      </c>
      <c r="AZ101" s="216">
        <f>Sizing!IU115</f>
        <v>1.5748031496062995E-2</v>
      </c>
      <c r="BA101" s="17">
        <f>Sizing!IV115</f>
        <v>1.5748031496062995E-2</v>
      </c>
      <c r="BB101" s="216">
        <f t="shared" si="13"/>
        <v>2.4179687736685367E-3</v>
      </c>
      <c r="BC101" s="138">
        <f t="shared" si="14"/>
        <v>7.2254596295506844E-4</v>
      </c>
      <c r="BD101" s="138">
        <f t="shared" si="15"/>
        <v>3.1405147366236051E-3</v>
      </c>
      <c r="BE101" s="311">
        <f t="shared" si="16"/>
        <v>4.9230006291837445E-3</v>
      </c>
      <c r="BF101" s="11">
        <f t="shared" si="17"/>
        <v>1.4711084233090244E-3</v>
      </c>
      <c r="BG101" s="21">
        <f t="shared" si="18"/>
        <v>6.3941090524927691E-3</v>
      </c>
      <c r="BH101" s="21">
        <f t="shared" si="19"/>
        <v>1.255566122877369E-4</v>
      </c>
      <c r="BI101" s="21">
        <f t="shared" si="20"/>
        <v>1.255566122877369E-4</v>
      </c>
      <c r="BJ101" s="561"/>
      <c r="BK101">
        <f t="shared" si="21"/>
        <v>0.79560370000000002</v>
      </c>
      <c r="BL101">
        <f t="shared" si="22"/>
        <v>0.79560370000000002</v>
      </c>
      <c r="BM101">
        <f>C101*'Inputs-Imperial'!$E$12</f>
        <v>0.39780185000000001</v>
      </c>
      <c r="BN101">
        <f>C101*'Inputs-Imperial'!$E$12</f>
        <v>0.39780185000000001</v>
      </c>
      <c r="BO101">
        <f>C101*'Inputs-Imperial'!$E$12</f>
        <v>0.39780185000000001</v>
      </c>
      <c r="BP101">
        <f>C101*'Weight '!$E$15</f>
        <v>0.79560370000000002</v>
      </c>
      <c r="BQ101">
        <f>C101*'Weight '!$E$15</f>
        <v>0.79560370000000002</v>
      </c>
      <c r="BR101">
        <f>C101*'Weight '!$E$15</f>
        <v>0.79560370000000002</v>
      </c>
      <c r="BS101">
        <f t="shared" si="23"/>
        <v>0.15447811366860037</v>
      </c>
      <c r="BT101" s="564">
        <f t="shared" si="24"/>
        <v>0.20823947741026227</v>
      </c>
      <c r="BU101">
        <f t="shared" si="40"/>
        <v>0.74182914589367632</v>
      </c>
    </row>
    <row r="102" spans="1:73" x14ac:dyDescent="0.25">
      <c r="A102" s="186">
        <v>56</v>
      </c>
      <c r="B102" s="187">
        <f>A102/100*'Inputs-Imperial'!$E$5</f>
        <v>5.5118112000000004</v>
      </c>
      <c r="C102" s="188">
        <f>'Inputs-Imperial'!$E$10+('Inputs-Imperial'!$E$9-'Inputs-Imperial'!$E$10)*(100-A102)/100</f>
        <v>1.58136488</v>
      </c>
      <c r="D102" s="187">
        <f t="shared" si="25"/>
        <v>9.8425199999999435E-2</v>
      </c>
      <c r="E102" s="188">
        <f t="shared" si="26"/>
        <v>0.1561305305867271</v>
      </c>
      <c r="F102" s="423">
        <f>Sizing!F116</f>
        <v>41.941712990129403</v>
      </c>
      <c r="G102" s="423">
        <f>Sizing!G116</f>
        <v>419.41712990129395</v>
      </c>
      <c r="H102" s="423">
        <f>Sizing!H116</f>
        <v>824.81197391618696</v>
      </c>
      <c r="I102" s="423">
        <f>Sizing!I116</f>
        <v>-307.31548885198697</v>
      </c>
      <c r="J102" s="189">
        <f>Sizing!J116</f>
        <v>82.481197391618693</v>
      </c>
      <c r="K102" s="128">
        <v>56</v>
      </c>
      <c r="L102" s="12">
        <f t="shared" si="5"/>
        <v>66.141734400000004</v>
      </c>
      <c r="M102" s="11">
        <f t="shared" si="5"/>
        <v>18.976378560000001</v>
      </c>
      <c r="N102" s="11">
        <f t="shared" si="5"/>
        <v>1.1811023999999932</v>
      </c>
      <c r="O102" s="152">
        <f t="shared" si="27"/>
        <v>22.482796404488703</v>
      </c>
      <c r="P102" s="8">
        <f t="shared" si="41"/>
        <v>3.4157481407999999</v>
      </c>
      <c r="Q102" s="12">
        <f t="shared" si="28"/>
        <v>4.0469033528079663</v>
      </c>
      <c r="R102" s="8">
        <f t="shared" si="42"/>
        <v>1.7078740703999999</v>
      </c>
      <c r="S102" s="12">
        <f t="shared" si="29"/>
        <v>2.0234516764039832</v>
      </c>
      <c r="T102" s="17">
        <f>Sizing!CN116</f>
        <v>0.25</v>
      </c>
      <c r="U102" s="17">
        <f>Sizing!CO116</f>
        <v>2.3622047244094495E-2</v>
      </c>
      <c r="V102" s="17">
        <f>Sizing!CP116</f>
        <v>1.5748031496062995E-2</v>
      </c>
      <c r="W102" s="128">
        <f t="shared" si="6"/>
        <v>3.0224609670856709E-3</v>
      </c>
      <c r="X102" s="2">
        <f t="shared" si="7"/>
        <v>7.2254596295506844E-4</v>
      </c>
      <c r="Y102" s="2">
        <f t="shared" si="8"/>
        <v>3.7450069300407392E-3</v>
      </c>
      <c r="Z102" s="216">
        <f t="shared" si="30"/>
        <v>7.0163726087764514E-2</v>
      </c>
      <c r="AA102" s="138">
        <f t="shared" si="31"/>
        <v>1.6773257812980877E-2</v>
      </c>
      <c r="AB102" s="17">
        <f t="shared" si="32"/>
        <v>8.693698390074539E-2</v>
      </c>
      <c r="AC102" s="311">
        <f t="shared" si="33"/>
        <v>6.8954006672458226E-2</v>
      </c>
      <c r="AD102" s="316">
        <f t="shared" si="34"/>
        <v>1.6484063712757069E-2</v>
      </c>
      <c r="AE102" s="21">
        <f t="shared" si="35"/>
        <v>8.5438070385215295E-2</v>
      </c>
      <c r="AF102" s="170">
        <f>Sizing!DU116</f>
        <v>0.10588389379166488</v>
      </c>
      <c r="AG102" s="170">
        <f>Sizing!DV116</f>
        <v>0.32539805437596714</v>
      </c>
      <c r="AH102" s="170">
        <f>Sizing!DW116</f>
        <v>0.10588389379166488</v>
      </c>
      <c r="AI102" s="272">
        <f>Sizing!DX116</f>
        <v>0.32539805437596714</v>
      </c>
      <c r="AJ102" s="216">
        <f>Sizing!GJ116</f>
        <v>0.25</v>
      </c>
      <c r="AK102" s="216">
        <f>Sizing!GK116</f>
        <v>1.5748031496062995E-2</v>
      </c>
      <c r="AL102" s="17">
        <f>Sizing!GL116</f>
        <v>1.5748031496062995E-2</v>
      </c>
      <c r="AM102" s="216">
        <f t="shared" si="9"/>
        <v>2.4179687736685367E-3</v>
      </c>
      <c r="AN102" s="138">
        <f t="shared" si="10"/>
        <v>7.2254596295506844E-4</v>
      </c>
      <c r="AO102" s="138">
        <f t="shared" si="11"/>
        <v>3.1405147366236051E-3</v>
      </c>
      <c r="AP102" s="311">
        <f t="shared" si="36"/>
        <v>9.7852859371441673E-3</v>
      </c>
      <c r="AQ102" s="11">
        <f t="shared" si="37"/>
        <v>2.924073680040727E-3</v>
      </c>
      <c r="AR102" s="21">
        <f t="shared" si="38"/>
        <v>1.2709359617184895E-2</v>
      </c>
      <c r="AS102" s="11">
        <f t="shared" si="12"/>
        <v>7.6807187104633908E-3</v>
      </c>
      <c r="AT102" s="21">
        <f t="shared" si="39"/>
        <v>7.6807187104633908E-3</v>
      </c>
      <c r="AU102" s="170">
        <f>Sizing!JC116</f>
        <v>1.7308826818777986E-3</v>
      </c>
      <c r="AV102" s="272">
        <f>Sizing!JD116</f>
        <v>4.160387820717918E-2</v>
      </c>
      <c r="AW102" s="170">
        <f>Sizing!JC116</f>
        <v>1.7308826818777986E-3</v>
      </c>
      <c r="AX102" s="272">
        <f>Sizing!JD116</f>
        <v>4.160387820717918E-2</v>
      </c>
      <c r="AY102" s="216">
        <f>Sizing!IT116</f>
        <v>0.25</v>
      </c>
      <c r="AZ102" s="216">
        <f>Sizing!IU116</f>
        <v>1.5748031496062995E-2</v>
      </c>
      <c r="BA102" s="17">
        <f>Sizing!IV116</f>
        <v>1.5748031496062995E-2</v>
      </c>
      <c r="BB102" s="216">
        <f t="shared" si="13"/>
        <v>2.4179687736685367E-3</v>
      </c>
      <c r="BC102" s="138">
        <f t="shared" si="14"/>
        <v>7.2254596295506844E-4</v>
      </c>
      <c r="BD102" s="138">
        <f t="shared" si="15"/>
        <v>3.1405147366236051E-3</v>
      </c>
      <c r="BE102" s="311">
        <f t="shared" si="16"/>
        <v>4.8926429685720836E-3</v>
      </c>
      <c r="BF102" s="11">
        <f t="shared" si="17"/>
        <v>1.4620368400203635E-3</v>
      </c>
      <c r="BG102" s="21">
        <f t="shared" si="18"/>
        <v>6.3546798085924476E-3</v>
      </c>
      <c r="BH102" s="21">
        <f t="shared" si="19"/>
        <v>1.2555661228773579E-4</v>
      </c>
      <c r="BI102" s="21">
        <f t="shared" si="20"/>
        <v>1.2555661228773579E-4</v>
      </c>
      <c r="BJ102" s="561"/>
      <c r="BK102">
        <f t="shared" si="21"/>
        <v>0.79068243999999999</v>
      </c>
      <c r="BL102">
        <f t="shared" si="22"/>
        <v>0.79068243999999999</v>
      </c>
      <c r="BM102">
        <f>C102*'Inputs-Imperial'!$E$12</f>
        <v>0.39534121999999999</v>
      </c>
      <c r="BN102">
        <f>C102*'Inputs-Imperial'!$E$12</f>
        <v>0.39534121999999999</v>
      </c>
      <c r="BO102">
        <f>C102*'Inputs-Imperial'!$E$12</f>
        <v>0.39534121999999999</v>
      </c>
      <c r="BP102">
        <f>C102*'Weight '!$E$15</f>
        <v>0.79068243999999999</v>
      </c>
      <c r="BQ102">
        <f>C102*'Weight '!$E$15</f>
        <v>0.79068243999999999</v>
      </c>
      <c r="BR102">
        <f>C102*'Weight '!$E$15</f>
        <v>0.79068243999999999</v>
      </c>
      <c r="BS102">
        <f t="shared" si="23"/>
        <v>0.15261455621897552</v>
      </c>
      <c r="BT102" s="564">
        <f t="shared" si="24"/>
        <v>0.20705164435724027</v>
      </c>
      <c r="BU102">
        <f t="shared" si="40"/>
        <v>0.73708449258031128</v>
      </c>
    </row>
    <row r="103" spans="1:73" x14ac:dyDescent="0.25">
      <c r="A103" s="186">
        <v>57</v>
      </c>
      <c r="B103" s="187">
        <f>A103/100*'Inputs-Imperial'!$E$5</f>
        <v>5.6102363999999998</v>
      </c>
      <c r="C103" s="188">
        <f>'Inputs-Imperial'!$E$10+('Inputs-Imperial'!$E$9-'Inputs-Imperial'!$E$10)*(100-A103)/100</f>
        <v>1.5715223599999999</v>
      </c>
      <c r="D103" s="187">
        <f t="shared" si="25"/>
        <v>9.8425199999999435E-2</v>
      </c>
      <c r="E103" s="188">
        <f t="shared" si="26"/>
        <v>0.1551617785872231</v>
      </c>
      <c r="F103" s="423">
        <f>Sizing!F117</f>
        <v>40.722463548259071</v>
      </c>
      <c r="G103" s="423">
        <f>Sizing!G117</f>
        <v>407.22463548259066</v>
      </c>
      <c r="H103" s="423">
        <f>Sizing!H117</f>
        <v>783.53075902222633</v>
      </c>
      <c r="I103" s="423">
        <f>Sizing!I117</f>
        <v>-296.2922136685151</v>
      </c>
      <c r="J103" s="189">
        <f>Sizing!J117</f>
        <v>78.353075902222628</v>
      </c>
      <c r="K103" s="128">
        <v>57</v>
      </c>
      <c r="L103" s="12">
        <f t="shared" si="5"/>
        <v>67.322836800000005</v>
      </c>
      <c r="M103" s="11">
        <f t="shared" si="5"/>
        <v>18.858268320000001</v>
      </c>
      <c r="N103" s="11">
        <f t="shared" si="5"/>
        <v>1.1811023999999932</v>
      </c>
      <c r="O103" s="152">
        <f t="shared" si="27"/>
        <v>22.343296116560126</v>
      </c>
      <c r="P103" s="8">
        <f t="shared" si="41"/>
        <v>3.3944882976000001</v>
      </c>
      <c r="Q103" s="12">
        <f t="shared" si="28"/>
        <v>4.0217933009808231</v>
      </c>
      <c r="R103" s="8">
        <f t="shared" si="42"/>
        <v>1.6972441488000001</v>
      </c>
      <c r="S103" s="12">
        <f t="shared" si="29"/>
        <v>2.0108966504904116</v>
      </c>
      <c r="T103" s="17">
        <f>Sizing!CN117</f>
        <v>0.25</v>
      </c>
      <c r="U103" s="17">
        <f>Sizing!CO117</f>
        <v>2.3622047244094495E-2</v>
      </c>
      <c r="V103" s="17">
        <f>Sizing!CP117</f>
        <v>1.5748031496062995E-2</v>
      </c>
      <c r="W103" s="128">
        <f t="shared" si="6"/>
        <v>3.0224609670856709E-3</v>
      </c>
      <c r="X103" s="2">
        <f t="shared" si="7"/>
        <v>7.2254596295506844E-4</v>
      </c>
      <c r="Y103" s="2">
        <f t="shared" si="8"/>
        <v>3.7450069300407392E-3</v>
      </c>
      <c r="Z103" s="216">
        <f t="shared" si="30"/>
        <v>6.9728377218553975E-2</v>
      </c>
      <c r="AA103" s="138">
        <f t="shared" si="31"/>
        <v>1.6669183824482545E-2</v>
      </c>
      <c r="AB103" s="17">
        <f t="shared" si="32"/>
        <v>8.6397561043036517E-2</v>
      </c>
      <c r="AC103" s="311">
        <f t="shared" si="33"/>
        <v>6.8526163818234079E-2</v>
      </c>
      <c r="AD103" s="316">
        <f t="shared" si="34"/>
        <v>1.6381784103370777E-2</v>
      </c>
      <c r="AE103" s="21">
        <f t="shared" si="35"/>
        <v>8.4907947921604859E-2</v>
      </c>
      <c r="AF103" s="170">
        <f>Sizing!DU117</f>
        <v>0.10588389379166488</v>
      </c>
      <c r="AG103" s="170">
        <f>Sizing!DV117</f>
        <v>0.32539805437596714</v>
      </c>
      <c r="AH103" s="170">
        <f>Sizing!DW117</f>
        <v>0.10588389379166488</v>
      </c>
      <c r="AI103" s="272">
        <f>Sizing!DX117</f>
        <v>0.32539805437596714</v>
      </c>
      <c r="AJ103" s="216">
        <f>Sizing!GJ117</f>
        <v>0.25</v>
      </c>
      <c r="AK103" s="216">
        <f>Sizing!GK117</f>
        <v>1.5748031496062995E-2</v>
      </c>
      <c r="AL103" s="17">
        <f>Sizing!GL117</f>
        <v>1.5748031496062995E-2</v>
      </c>
      <c r="AM103" s="216">
        <f t="shared" si="9"/>
        <v>2.4179687736685367E-3</v>
      </c>
      <c r="AN103" s="138">
        <f t="shared" si="10"/>
        <v>7.2254596295506844E-4</v>
      </c>
      <c r="AO103" s="138">
        <f t="shared" si="11"/>
        <v>3.1405147366236051E-3</v>
      </c>
      <c r="AP103" s="311">
        <f t="shared" si="36"/>
        <v>9.7245706159209376E-3</v>
      </c>
      <c r="AQ103" s="11">
        <f t="shared" si="37"/>
        <v>2.9059305134634321E-3</v>
      </c>
      <c r="AR103" s="21">
        <f t="shared" si="38"/>
        <v>1.2630501129384368E-2</v>
      </c>
      <c r="AS103" s="11">
        <f t="shared" si="12"/>
        <v>7.6807187104633908E-3</v>
      </c>
      <c r="AT103" s="21">
        <f t="shared" si="39"/>
        <v>7.6807187104633908E-3</v>
      </c>
      <c r="AU103" s="170">
        <f>Sizing!JC117</f>
        <v>1.7308826818777986E-3</v>
      </c>
      <c r="AV103" s="272">
        <f>Sizing!JD117</f>
        <v>4.160387820717918E-2</v>
      </c>
      <c r="AW103" s="170">
        <f>Sizing!JC117</f>
        <v>1.7308826818777986E-3</v>
      </c>
      <c r="AX103" s="272">
        <f>Sizing!JD117</f>
        <v>4.160387820717918E-2</v>
      </c>
      <c r="AY103" s="216">
        <f>Sizing!IT117</f>
        <v>0.25</v>
      </c>
      <c r="AZ103" s="216">
        <f>Sizing!IU117</f>
        <v>1.5748031496062995E-2</v>
      </c>
      <c r="BA103" s="17">
        <f>Sizing!IV117</f>
        <v>1.5748031496062995E-2</v>
      </c>
      <c r="BB103" s="216">
        <f t="shared" si="13"/>
        <v>2.4179687736685367E-3</v>
      </c>
      <c r="BC103" s="138">
        <f t="shared" si="14"/>
        <v>7.2254596295506844E-4</v>
      </c>
      <c r="BD103" s="138">
        <f t="shared" si="15"/>
        <v>3.1405147366236051E-3</v>
      </c>
      <c r="BE103" s="311">
        <f t="shared" si="16"/>
        <v>4.8622853079604688E-3</v>
      </c>
      <c r="BF103" s="11">
        <f t="shared" si="17"/>
        <v>1.452965256731716E-3</v>
      </c>
      <c r="BG103" s="21">
        <f t="shared" si="18"/>
        <v>6.3152505646921842E-3</v>
      </c>
      <c r="BH103" s="21">
        <f t="shared" si="19"/>
        <v>1.2555661228773579E-4</v>
      </c>
      <c r="BI103" s="21">
        <f t="shared" si="20"/>
        <v>1.2555661228773579E-4</v>
      </c>
      <c r="BJ103" s="561"/>
      <c r="BK103">
        <f t="shared" si="21"/>
        <v>0.78576117999999995</v>
      </c>
      <c r="BL103">
        <f t="shared" si="22"/>
        <v>0.78576117999999995</v>
      </c>
      <c r="BM103">
        <f>C103*'Inputs-Imperial'!$E$12</f>
        <v>0.39288058999999997</v>
      </c>
      <c r="BN103">
        <f>C103*'Inputs-Imperial'!$E$12</f>
        <v>0.39288058999999997</v>
      </c>
      <c r="BO103">
        <f>C103*'Inputs-Imperial'!$E$12</f>
        <v>0.39288058999999997</v>
      </c>
      <c r="BP103">
        <f>C103*'Weight '!$E$15</f>
        <v>0.78576117999999995</v>
      </c>
      <c r="BQ103">
        <f>C103*'Weight '!$E$15</f>
        <v>0.78576117999999995</v>
      </c>
      <c r="BR103">
        <f>C103*'Weight '!$E$15</f>
        <v>0.78576117999999995</v>
      </c>
      <c r="BS103">
        <f t="shared" si="23"/>
        <v>0.15076230195681145</v>
      </c>
      <c r="BT103" s="564">
        <f t="shared" si="24"/>
        <v>0.20586381130422018</v>
      </c>
      <c r="BU103">
        <f t="shared" si="40"/>
        <v>0.73233999216121981</v>
      </c>
    </row>
    <row r="104" spans="1:73" x14ac:dyDescent="0.25">
      <c r="A104" s="186">
        <v>58</v>
      </c>
      <c r="B104" s="187">
        <f>A104/100*'Inputs-Imperial'!$E$5</f>
        <v>5.7086616000000001</v>
      </c>
      <c r="C104" s="188">
        <f>'Inputs-Imperial'!$E$10+('Inputs-Imperial'!$E$9-'Inputs-Imperial'!$E$10)*(100-A104)/100</f>
        <v>1.56167984</v>
      </c>
      <c r="D104" s="187">
        <f t="shared" si="25"/>
        <v>9.8425200000000324E-2</v>
      </c>
      <c r="E104" s="188">
        <f t="shared" si="26"/>
        <v>0.15419302658772049</v>
      </c>
      <c r="F104" s="423">
        <f>Sizing!F118</f>
        <v>39.512205424936475</v>
      </c>
      <c r="G104" s="423">
        <f>Sizing!G118</f>
        <v>395.12205424936474</v>
      </c>
      <c r="H104" s="423">
        <f>Sizing!H118</f>
        <v>743.44959282992511</v>
      </c>
      <c r="I104" s="423">
        <f>Sizing!I118</f>
        <v>-285.43184362837536</v>
      </c>
      <c r="J104" s="189">
        <f>Sizing!J118</f>
        <v>74.344959282992505</v>
      </c>
      <c r="K104" s="128">
        <v>58</v>
      </c>
      <c r="L104" s="12">
        <f t="shared" si="5"/>
        <v>68.503939200000005</v>
      </c>
      <c r="M104" s="11">
        <f t="shared" si="5"/>
        <v>18.74015808</v>
      </c>
      <c r="N104" s="11">
        <f t="shared" si="5"/>
        <v>1.1811024000000039</v>
      </c>
      <c r="O104" s="152">
        <f t="shared" si="27"/>
        <v>22.203795828631751</v>
      </c>
      <c r="P104" s="8">
        <f t="shared" si="41"/>
        <v>3.3732284544</v>
      </c>
      <c r="Q104" s="12">
        <f t="shared" si="28"/>
        <v>3.9966832491537154</v>
      </c>
      <c r="R104" s="8">
        <f t="shared" si="42"/>
        <v>1.6866142272</v>
      </c>
      <c r="S104" s="12">
        <f t="shared" si="29"/>
        <v>1.9983416245768577</v>
      </c>
      <c r="T104" s="17">
        <f>Sizing!CN118</f>
        <v>0.25</v>
      </c>
      <c r="U104" s="17">
        <f>Sizing!CO118</f>
        <v>2.3622047244094495E-2</v>
      </c>
      <c r="V104" s="17">
        <f>Sizing!CP118</f>
        <v>1.5748031496062995E-2</v>
      </c>
      <c r="W104" s="128">
        <f t="shared" si="6"/>
        <v>3.0224609670856709E-3</v>
      </c>
      <c r="X104" s="2">
        <f t="shared" si="7"/>
        <v>7.2254596295506844E-4</v>
      </c>
      <c r="Y104" s="2">
        <f t="shared" si="8"/>
        <v>3.7450069300407392E-3</v>
      </c>
      <c r="Z104" s="216">
        <f t="shared" si="30"/>
        <v>6.929302834934406E-2</v>
      </c>
      <c r="AA104" s="138">
        <f t="shared" si="31"/>
        <v>1.6565109835984363E-2</v>
      </c>
      <c r="AB104" s="17">
        <f t="shared" si="32"/>
        <v>8.585813818532842E-2</v>
      </c>
      <c r="AC104" s="311">
        <f t="shared" si="33"/>
        <v>6.8098320964010542E-2</v>
      </c>
      <c r="AD104" s="316">
        <f t="shared" si="34"/>
        <v>1.6279504493984635E-2</v>
      </c>
      <c r="AE104" s="21">
        <f t="shared" si="35"/>
        <v>8.4377825457995173E-2</v>
      </c>
      <c r="AF104" s="170">
        <f>Sizing!DU118</f>
        <v>0.10588389379166488</v>
      </c>
      <c r="AG104" s="170">
        <f>Sizing!DV118</f>
        <v>0.32539805437596714</v>
      </c>
      <c r="AH104" s="170">
        <f>Sizing!DW118</f>
        <v>0.10588389379166488</v>
      </c>
      <c r="AI104" s="272">
        <f>Sizing!DX118</f>
        <v>0.32539805437596714</v>
      </c>
      <c r="AJ104" s="216">
        <f>Sizing!GJ118</f>
        <v>0.25</v>
      </c>
      <c r="AK104" s="216">
        <f>Sizing!GK118</f>
        <v>1.5748031496062995E-2</v>
      </c>
      <c r="AL104" s="17">
        <f>Sizing!GL118</f>
        <v>1.5748031496062995E-2</v>
      </c>
      <c r="AM104" s="216">
        <f t="shared" si="9"/>
        <v>2.4179687736685367E-3</v>
      </c>
      <c r="AN104" s="138">
        <f t="shared" si="10"/>
        <v>7.2254596295506844E-4</v>
      </c>
      <c r="AO104" s="138">
        <f t="shared" si="11"/>
        <v>3.1405147366236051E-3</v>
      </c>
      <c r="AP104" s="311">
        <f t="shared" si="36"/>
        <v>9.6638552946977929E-3</v>
      </c>
      <c r="AQ104" s="11">
        <f t="shared" si="37"/>
        <v>2.8877873468861632E-3</v>
      </c>
      <c r="AR104" s="21">
        <f t="shared" si="38"/>
        <v>1.2551642641583954E-2</v>
      </c>
      <c r="AS104" s="11">
        <f t="shared" si="12"/>
        <v>7.6807187104634602E-3</v>
      </c>
      <c r="AT104" s="21">
        <f t="shared" si="39"/>
        <v>7.6807187104634602E-3</v>
      </c>
      <c r="AU104" s="170">
        <f>Sizing!JC118</f>
        <v>1.7308826818777986E-3</v>
      </c>
      <c r="AV104" s="272">
        <f>Sizing!JD118</f>
        <v>4.160387820717918E-2</v>
      </c>
      <c r="AW104" s="170">
        <f>Sizing!JC118</f>
        <v>1.7308826818777986E-3</v>
      </c>
      <c r="AX104" s="272">
        <f>Sizing!JD118</f>
        <v>4.160387820717918E-2</v>
      </c>
      <c r="AY104" s="216">
        <f>Sizing!IT118</f>
        <v>0.25</v>
      </c>
      <c r="AZ104" s="216">
        <f>Sizing!IU118</f>
        <v>1.5748031496062995E-2</v>
      </c>
      <c r="BA104" s="17">
        <f>Sizing!IV118</f>
        <v>1.5748031496062995E-2</v>
      </c>
      <c r="BB104" s="216">
        <f t="shared" si="13"/>
        <v>2.4179687736685367E-3</v>
      </c>
      <c r="BC104" s="138">
        <f t="shared" si="14"/>
        <v>7.2254596295506844E-4</v>
      </c>
      <c r="BD104" s="138">
        <f t="shared" si="15"/>
        <v>3.1405147366236051E-3</v>
      </c>
      <c r="BE104" s="311">
        <f t="shared" si="16"/>
        <v>4.8319276473488965E-3</v>
      </c>
      <c r="BF104" s="11">
        <f t="shared" si="17"/>
        <v>1.4438936734430816E-3</v>
      </c>
      <c r="BG104" s="21">
        <f t="shared" si="18"/>
        <v>6.2758213207919772E-3</v>
      </c>
      <c r="BH104" s="21">
        <f t="shared" si="19"/>
        <v>1.255566122877369E-4</v>
      </c>
      <c r="BI104" s="21">
        <f t="shared" si="20"/>
        <v>1.255566122877369E-4</v>
      </c>
      <c r="BJ104" s="561"/>
      <c r="BK104">
        <f t="shared" si="21"/>
        <v>0.78083992000000002</v>
      </c>
      <c r="BL104">
        <f t="shared" si="22"/>
        <v>0.78083992000000002</v>
      </c>
      <c r="BM104">
        <f>C104*'Inputs-Imperial'!$E$12</f>
        <v>0.39041996000000001</v>
      </c>
      <c r="BN104">
        <f>C104*'Inputs-Imperial'!$E$12</f>
        <v>0.39041996000000001</v>
      </c>
      <c r="BO104">
        <f>C104*'Inputs-Imperial'!$E$12</f>
        <v>0.39041996000000001</v>
      </c>
      <c r="BP104">
        <f>C104*'Weight '!$E$15</f>
        <v>0.78083992000000002</v>
      </c>
      <c r="BQ104">
        <f>C104*'Weight '!$E$15</f>
        <v>0.78083992000000002</v>
      </c>
      <c r="BR104">
        <f>C104*'Weight '!$E$15</f>
        <v>0.78083992000000002</v>
      </c>
      <c r="BS104">
        <f t="shared" si="23"/>
        <v>0.14892135088210795</v>
      </c>
      <c r="BT104" s="564">
        <f t="shared" si="24"/>
        <v>0.20467597825120198</v>
      </c>
      <c r="BU104">
        <f t="shared" si="40"/>
        <v>0.72759564729835802</v>
      </c>
    </row>
    <row r="105" spans="1:73" x14ac:dyDescent="0.25">
      <c r="A105" s="186">
        <v>59</v>
      </c>
      <c r="B105" s="187">
        <f>A105/100*'Inputs-Imperial'!$E$5</f>
        <v>5.8070867999999995</v>
      </c>
      <c r="C105" s="188">
        <f>'Inputs-Imperial'!$E$10+('Inputs-Imperial'!$E$9-'Inputs-Imperial'!$E$10)*(100-A105)/100</f>
        <v>1.55183732</v>
      </c>
      <c r="D105" s="187">
        <f t="shared" si="25"/>
        <v>9.8425199999999435E-2</v>
      </c>
      <c r="E105" s="188">
        <f t="shared" si="26"/>
        <v>0.15322427458821511</v>
      </c>
      <c r="F105" s="423">
        <f>Sizing!F119</f>
        <v>38.311079587017041</v>
      </c>
      <c r="G105" s="423">
        <f>Sizing!G119</f>
        <v>383.11079587017042</v>
      </c>
      <c r="H105" s="423">
        <f>Sizing!H119</f>
        <v>704.55962561602075</v>
      </c>
      <c r="I105" s="423">
        <f>Sizing!I119</f>
        <v>-274.73569793136824</v>
      </c>
      <c r="J105" s="189">
        <f>Sizing!J119</f>
        <v>70.455962561602064</v>
      </c>
      <c r="K105" s="128">
        <v>59</v>
      </c>
      <c r="L105" s="12">
        <f t="shared" si="5"/>
        <v>69.685041599999991</v>
      </c>
      <c r="M105" s="11">
        <f t="shared" si="5"/>
        <v>18.62204784</v>
      </c>
      <c r="N105" s="11">
        <f t="shared" si="5"/>
        <v>1.1811023999999932</v>
      </c>
      <c r="O105" s="152">
        <f t="shared" si="27"/>
        <v>22.064295540702979</v>
      </c>
      <c r="P105" s="8">
        <f t="shared" si="41"/>
        <v>3.3519686111999998</v>
      </c>
      <c r="Q105" s="12">
        <f t="shared" si="28"/>
        <v>3.9715731973265358</v>
      </c>
      <c r="R105" s="8">
        <f t="shared" si="42"/>
        <v>1.6759843055999999</v>
      </c>
      <c r="S105" s="12">
        <f t="shared" si="29"/>
        <v>1.9857865986632679</v>
      </c>
      <c r="T105" s="17">
        <f>Sizing!CN119</f>
        <v>0.25</v>
      </c>
      <c r="U105" s="17">
        <f>Sizing!CO119</f>
        <v>2.3622047244094495E-2</v>
      </c>
      <c r="V105" s="17">
        <f>Sizing!CP119</f>
        <v>1.5748031496062995E-2</v>
      </c>
      <c r="W105" s="128">
        <f t="shared" si="6"/>
        <v>3.0224609670856709E-3</v>
      </c>
      <c r="X105" s="2">
        <f t="shared" si="7"/>
        <v>7.2254596295506844E-4</v>
      </c>
      <c r="Y105" s="2">
        <f t="shared" si="8"/>
        <v>3.7450069300407392E-3</v>
      </c>
      <c r="Z105" s="216">
        <f t="shared" si="30"/>
        <v>6.8857679480132911E-2</v>
      </c>
      <c r="AA105" s="138">
        <f t="shared" si="31"/>
        <v>1.6461035847485889E-2</v>
      </c>
      <c r="AB105" s="17">
        <f t="shared" si="32"/>
        <v>8.5318715327618797E-2</v>
      </c>
      <c r="AC105" s="311">
        <f t="shared" si="33"/>
        <v>6.7670478109785798E-2</v>
      </c>
      <c r="AD105" s="316">
        <f t="shared" si="34"/>
        <v>1.6177224884598201E-2</v>
      </c>
      <c r="AE105" s="21">
        <f t="shared" si="35"/>
        <v>8.3847702994383988E-2</v>
      </c>
      <c r="AF105" s="170">
        <f>Sizing!DU119</f>
        <v>0.10588389379166488</v>
      </c>
      <c r="AG105" s="170">
        <f>Sizing!DV119</f>
        <v>0.32539805437596714</v>
      </c>
      <c r="AH105" s="170">
        <f>Sizing!DW119</f>
        <v>0.10588389379166488</v>
      </c>
      <c r="AI105" s="272">
        <f>Sizing!DX119</f>
        <v>0.32539805437596714</v>
      </c>
      <c r="AJ105" s="216">
        <f>Sizing!GJ119</f>
        <v>0.25</v>
      </c>
      <c r="AK105" s="216">
        <f>Sizing!GK119</f>
        <v>1.5748031496062995E-2</v>
      </c>
      <c r="AL105" s="17">
        <f>Sizing!GL119</f>
        <v>1.5748031496062995E-2</v>
      </c>
      <c r="AM105" s="216">
        <f t="shared" si="9"/>
        <v>2.4179687736685367E-3</v>
      </c>
      <c r="AN105" s="138">
        <f t="shared" si="10"/>
        <v>7.2254596295506844E-4</v>
      </c>
      <c r="AO105" s="138">
        <f t="shared" si="11"/>
        <v>3.1405147366236051E-3</v>
      </c>
      <c r="AP105" s="311">
        <f t="shared" si="36"/>
        <v>9.603139973474473E-3</v>
      </c>
      <c r="AQ105" s="11">
        <f t="shared" si="37"/>
        <v>2.8696441803088418E-3</v>
      </c>
      <c r="AR105" s="21">
        <f t="shared" si="38"/>
        <v>1.2472784153783315E-2</v>
      </c>
      <c r="AS105" s="11">
        <f t="shared" si="12"/>
        <v>7.6807187104633908E-3</v>
      </c>
      <c r="AT105" s="21">
        <f t="shared" si="39"/>
        <v>7.6807187104633908E-3</v>
      </c>
      <c r="AU105" s="170">
        <f>Sizing!JC119</f>
        <v>1.7308826818777986E-3</v>
      </c>
      <c r="AV105" s="272">
        <f>Sizing!JD119</f>
        <v>4.160387820717918E-2</v>
      </c>
      <c r="AW105" s="170">
        <f>Sizing!JC119</f>
        <v>1.7308826818777986E-3</v>
      </c>
      <c r="AX105" s="272">
        <f>Sizing!JD119</f>
        <v>4.160387820717918E-2</v>
      </c>
      <c r="AY105" s="216">
        <f>Sizing!IT119</f>
        <v>0.25</v>
      </c>
      <c r="AZ105" s="216">
        <f>Sizing!IU119</f>
        <v>1.5748031496062995E-2</v>
      </c>
      <c r="BA105" s="17">
        <f>Sizing!IV119</f>
        <v>1.5748031496062995E-2</v>
      </c>
      <c r="BB105" s="216">
        <f t="shared" si="13"/>
        <v>2.4179687736685367E-3</v>
      </c>
      <c r="BC105" s="138">
        <f t="shared" si="14"/>
        <v>7.2254596295506844E-4</v>
      </c>
      <c r="BD105" s="138">
        <f t="shared" si="15"/>
        <v>3.1405147366236051E-3</v>
      </c>
      <c r="BE105" s="311">
        <f t="shared" si="16"/>
        <v>4.8015699867372365E-3</v>
      </c>
      <c r="BF105" s="11">
        <f t="shared" si="17"/>
        <v>1.4348220901544209E-3</v>
      </c>
      <c r="BG105" s="21">
        <f t="shared" si="18"/>
        <v>6.2363920768916574E-3</v>
      </c>
      <c r="BH105" s="21">
        <f t="shared" si="19"/>
        <v>1.2555661228773579E-4</v>
      </c>
      <c r="BI105" s="21">
        <f t="shared" si="20"/>
        <v>1.2555661228773579E-4</v>
      </c>
      <c r="BJ105" s="561"/>
      <c r="BK105">
        <f t="shared" si="21"/>
        <v>0.77591865999999998</v>
      </c>
      <c r="BL105">
        <f t="shared" si="22"/>
        <v>0.77591865999999998</v>
      </c>
      <c r="BM105">
        <f>C105*'Inputs-Imperial'!$E$12</f>
        <v>0.38795932999999999</v>
      </c>
      <c r="BN105">
        <f>C105*'Inputs-Imperial'!$E$12</f>
        <v>0.38795932999999999</v>
      </c>
      <c r="BO105">
        <f>C105*'Inputs-Imperial'!$E$12</f>
        <v>0.38795932999999999</v>
      </c>
      <c r="BP105">
        <f>C105*'Weight '!$E$15</f>
        <v>0.77591865999999998</v>
      </c>
      <c r="BQ105">
        <f>C105*'Weight '!$E$15</f>
        <v>0.77591865999999998</v>
      </c>
      <c r="BR105">
        <f>C105*'Weight '!$E$15</f>
        <v>0.77591865999999998</v>
      </c>
      <c r="BS105">
        <f t="shared" si="23"/>
        <v>0.14709170299486118</v>
      </c>
      <c r="BT105" s="564">
        <f t="shared" si="24"/>
        <v>0.20348814519818004</v>
      </c>
      <c r="BU105">
        <f t="shared" si="40"/>
        <v>0.72285146071583906</v>
      </c>
    </row>
    <row r="106" spans="1:73" x14ac:dyDescent="0.25">
      <c r="A106" s="186">
        <v>60</v>
      </c>
      <c r="B106" s="187">
        <f>A106/100*'Inputs-Imperial'!$E$5</f>
        <v>5.9055119999999999</v>
      </c>
      <c r="C106" s="188">
        <f>'Inputs-Imperial'!$E$10+('Inputs-Imperial'!$E$9-'Inputs-Imperial'!$E$10)*(100-A106)/100</f>
        <v>1.5419947999999999</v>
      </c>
      <c r="D106" s="187">
        <f t="shared" si="25"/>
        <v>9.8425200000000324E-2</v>
      </c>
      <c r="E106" s="188">
        <f t="shared" si="26"/>
        <v>0.1522555225887125</v>
      </c>
      <c r="F106" s="423">
        <f>Sizing!F120</f>
        <v>37.119230749358991</v>
      </c>
      <c r="G106" s="423">
        <f>Sizing!G120</f>
        <v>371.19230749358991</v>
      </c>
      <c r="H106" s="423">
        <f>Sizing!H120</f>
        <v>666.85186891033993</v>
      </c>
      <c r="I106" s="423">
        <f>Sizing!I120</f>
        <v>-264.20510507053365</v>
      </c>
      <c r="J106" s="189">
        <f>Sizing!J120</f>
        <v>66.685186891033979</v>
      </c>
      <c r="K106" s="128">
        <v>60</v>
      </c>
      <c r="L106" s="12">
        <f t="shared" si="5"/>
        <v>70.866143999999991</v>
      </c>
      <c r="M106" s="11">
        <f t="shared" si="5"/>
        <v>18.5039376</v>
      </c>
      <c r="N106" s="11">
        <f t="shared" si="5"/>
        <v>1.1811024000000039</v>
      </c>
      <c r="O106" s="152">
        <f t="shared" si="27"/>
        <v>21.924795252774601</v>
      </c>
      <c r="P106" s="8">
        <f t="shared" si="41"/>
        <v>3.330708768</v>
      </c>
      <c r="Q106" s="12">
        <f t="shared" si="28"/>
        <v>3.9464631454994277</v>
      </c>
      <c r="R106" s="8">
        <f t="shared" si="42"/>
        <v>1.665354384</v>
      </c>
      <c r="S106" s="12">
        <f t="shared" si="29"/>
        <v>1.9732315727497138</v>
      </c>
      <c r="T106" s="17">
        <f>Sizing!CN120</f>
        <v>0.25</v>
      </c>
      <c r="U106" s="17">
        <f>Sizing!CO120</f>
        <v>2.3622047244094495E-2</v>
      </c>
      <c r="V106" s="17">
        <f>Sizing!CP120</f>
        <v>1.5748031496062995E-2</v>
      </c>
      <c r="W106" s="128">
        <f t="shared" si="6"/>
        <v>3.0224609670856709E-3</v>
      </c>
      <c r="X106" s="2">
        <f t="shared" si="7"/>
        <v>7.2254596295506844E-4</v>
      </c>
      <c r="Y106" s="2">
        <f t="shared" si="8"/>
        <v>3.7450069300407392E-3</v>
      </c>
      <c r="Z106" s="216">
        <f t="shared" si="30"/>
        <v>6.8422330610922996E-2</v>
      </c>
      <c r="AA106" s="138">
        <f t="shared" si="31"/>
        <v>1.6356961858987704E-2</v>
      </c>
      <c r="AB106" s="17">
        <f t="shared" si="32"/>
        <v>8.47792924699107E-2</v>
      </c>
      <c r="AC106" s="311">
        <f t="shared" si="33"/>
        <v>6.7242635255562247E-2</v>
      </c>
      <c r="AD106" s="316">
        <f t="shared" si="34"/>
        <v>1.6074945275212055E-2</v>
      </c>
      <c r="AE106" s="21">
        <f t="shared" si="35"/>
        <v>8.3317580530774302E-2</v>
      </c>
      <c r="AF106" s="170">
        <f>Sizing!DU120</f>
        <v>6.7368736237725546E-2</v>
      </c>
      <c r="AG106" s="170">
        <f>Sizing!DV120</f>
        <v>0.25955488097457452</v>
      </c>
      <c r="AH106" s="170">
        <f>Sizing!DW120</f>
        <v>6.7368736237725546E-2</v>
      </c>
      <c r="AI106" s="272">
        <f>Sizing!DX120</f>
        <v>0.25955488097457452</v>
      </c>
      <c r="AJ106" s="216">
        <f>Sizing!GJ120</f>
        <v>0.25</v>
      </c>
      <c r="AK106" s="216">
        <f>Sizing!GK120</f>
        <v>1.5748031496062995E-2</v>
      </c>
      <c r="AL106" s="17">
        <f>Sizing!GL120</f>
        <v>1.5748031496062995E-2</v>
      </c>
      <c r="AM106" s="216">
        <f t="shared" si="9"/>
        <v>2.4179687736685367E-3</v>
      </c>
      <c r="AN106" s="138">
        <f t="shared" si="10"/>
        <v>7.2254596295506844E-4</v>
      </c>
      <c r="AO106" s="138">
        <f t="shared" si="11"/>
        <v>3.1405147366236051E-3</v>
      </c>
      <c r="AP106" s="311">
        <f t="shared" si="36"/>
        <v>9.5424246522513266E-3</v>
      </c>
      <c r="AQ106" s="11">
        <f t="shared" si="37"/>
        <v>2.8515010137315725E-3</v>
      </c>
      <c r="AR106" s="21">
        <f t="shared" si="38"/>
        <v>1.2393925665982899E-2</v>
      </c>
      <c r="AS106" s="11">
        <f t="shared" si="12"/>
        <v>4.8868651727096667E-3</v>
      </c>
      <c r="AT106" s="21">
        <f t="shared" si="39"/>
        <v>4.8868651727096667E-3</v>
      </c>
      <c r="AU106" s="170">
        <f>Sizing!JC120</f>
        <v>1.118139342754408E-3</v>
      </c>
      <c r="AV106" s="272">
        <f>Sizing!JD120</f>
        <v>3.3438590621532004E-2</v>
      </c>
      <c r="AW106" s="170">
        <f>Sizing!JC120</f>
        <v>1.118139342754408E-3</v>
      </c>
      <c r="AX106" s="272">
        <f>Sizing!JD120</f>
        <v>3.3438590621532004E-2</v>
      </c>
      <c r="AY106" s="216">
        <f>Sizing!IT120</f>
        <v>0.25</v>
      </c>
      <c r="AZ106" s="216">
        <f>Sizing!IU120</f>
        <v>1.5748031496062995E-2</v>
      </c>
      <c r="BA106" s="17">
        <f>Sizing!IV120</f>
        <v>1.5748031496062995E-2</v>
      </c>
      <c r="BB106" s="216">
        <f t="shared" si="13"/>
        <v>2.4179687736685367E-3</v>
      </c>
      <c r="BC106" s="138">
        <f t="shared" si="14"/>
        <v>7.2254596295506844E-4</v>
      </c>
      <c r="BD106" s="138">
        <f t="shared" si="15"/>
        <v>3.1405147366236051E-3</v>
      </c>
      <c r="BE106" s="311">
        <f t="shared" si="16"/>
        <v>4.7712123261256633E-3</v>
      </c>
      <c r="BF106" s="11">
        <f t="shared" si="17"/>
        <v>1.4257505068657863E-3</v>
      </c>
      <c r="BG106" s="21">
        <f t="shared" si="18"/>
        <v>6.1969628329914496E-3</v>
      </c>
      <c r="BH106" s="21">
        <f t="shared" si="19"/>
        <v>8.1108783057193804E-5</v>
      </c>
      <c r="BI106" s="21">
        <f t="shared" si="20"/>
        <v>8.1108783057193804E-5</v>
      </c>
      <c r="BJ106" s="561"/>
      <c r="BK106">
        <f t="shared" si="21"/>
        <v>0.77099739999999994</v>
      </c>
      <c r="BL106">
        <f t="shared" si="22"/>
        <v>0.77099739999999994</v>
      </c>
      <c r="BM106">
        <f>C106*'Inputs-Imperial'!$E$12</f>
        <v>0.38549869999999997</v>
      </c>
      <c r="BN106">
        <f>C106*'Inputs-Imperial'!$E$12</f>
        <v>0.38549869999999997</v>
      </c>
      <c r="BO106">
        <f>C106*'Inputs-Imperial'!$E$12</f>
        <v>0.38549869999999997</v>
      </c>
      <c r="BP106">
        <f>C106*'Weight '!$E$15</f>
        <v>0.77099739999999994</v>
      </c>
      <c r="BQ106">
        <f>C106*'Weight '!$E$15</f>
        <v>0.77099739999999994</v>
      </c>
      <c r="BR106">
        <f>C106*'Weight '!$E$15</f>
        <v>0.77099739999999994</v>
      </c>
      <c r="BS106">
        <f t="shared" si="23"/>
        <v>0.14305076615994261</v>
      </c>
      <c r="BT106" s="564">
        <f t="shared" si="24"/>
        <v>0.19662370941119309</v>
      </c>
      <c r="BU106">
        <f t="shared" si="40"/>
        <v>0.72753569032097221</v>
      </c>
    </row>
    <row r="107" spans="1:73" x14ac:dyDescent="0.25">
      <c r="A107" s="186">
        <v>61</v>
      </c>
      <c r="B107" s="187">
        <f>A107/100*'Inputs-Imperial'!$E$5</f>
        <v>6.0039372000000002</v>
      </c>
      <c r="C107" s="188">
        <f>'Inputs-Imperial'!$E$10+('Inputs-Imperial'!$E$9-'Inputs-Imperial'!$E$10)*(100-A107)/100</f>
        <v>1.53215228</v>
      </c>
      <c r="D107" s="187">
        <f t="shared" si="25"/>
        <v>9.8425200000000324E-2</v>
      </c>
      <c r="E107" s="188">
        <f t="shared" si="26"/>
        <v>0.1512867705892085</v>
      </c>
      <c r="F107" s="423">
        <f>Sizing!F121</f>
        <v>35.936807613055052</v>
      </c>
      <c r="G107" s="423">
        <f>Sizing!G121</f>
        <v>359.36807613055049</v>
      </c>
      <c r="H107" s="423">
        <f>Sizing!H121</f>
        <v>630.31719180682171</v>
      </c>
      <c r="I107" s="423">
        <f>Sizing!I121</f>
        <v>-253.84140406136569</v>
      </c>
      <c r="J107" s="189">
        <f>Sizing!J121</f>
        <v>63.031719180682153</v>
      </c>
      <c r="K107" s="128">
        <v>61</v>
      </c>
      <c r="L107" s="12">
        <f t="shared" si="5"/>
        <v>72.047246400000006</v>
      </c>
      <c r="M107" s="11">
        <f t="shared" si="5"/>
        <v>18.38582736</v>
      </c>
      <c r="N107" s="11">
        <f t="shared" si="5"/>
        <v>1.1811024000000039</v>
      </c>
      <c r="O107" s="152">
        <f t="shared" si="27"/>
        <v>21.785294964846024</v>
      </c>
      <c r="P107" s="8">
        <f t="shared" si="41"/>
        <v>3.3094489247999999</v>
      </c>
      <c r="Q107" s="12">
        <f t="shared" si="28"/>
        <v>3.921353093672284</v>
      </c>
      <c r="R107" s="8">
        <f t="shared" si="42"/>
        <v>1.6547244623999999</v>
      </c>
      <c r="S107" s="12">
        <f t="shared" si="29"/>
        <v>1.960676546836142</v>
      </c>
      <c r="T107" s="17">
        <f>Sizing!CN121</f>
        <v>0.25</v>
      </c>
      <c r="U107" s="17">
        <f>Sizing!CO121</f>
        <v>2.3622047244094495E-2</v>
      </c>
      <c r="V107" s="17">
        <f>Sizing!CP121</f>
        <v>1.5748031496062995E-2</v>
      </c>
      <c r="W107" s="128">
        <f t="shared" si="6"/>
        <v>3.0224609670856709E-3</v>
      </c>
      <c r="X107" s="2">
        <f t="shared" si="7"/>
        <v>7.2254596295506844E-4</v>
      </c>
      <c r="Y107" s="2">
        <f t="shared" si="8"/>
        <v>3.7450069300407392E-3</v>
      </c>
      <c r="Z107" s="216">
        <f t="shared" si="30"/>
        <v>6.7986981741712457E-2</v>
      </c>
      <c r="AA107" s="138">
        <f t="shared" si="31"/>
        <v>1.6252887870489376E-2</v>
      </c>
      <c r="AB107" s="17">
        <f t="shared" si="32"/>
        <v>8.423986961220184E-2</v>
      </c>
      <c r="AC107" s="311">
        <f t="shared" si="33"/>
        <v>6.6814792401338099E-2</v>
      </c>
      <c r="AD107" s="316">
        <f t="shared" si="34"/>
        <v>1.5972665665825763E-2</v>
      </c>
      <c r="AE107" s="21">
        <f t="shared" si="35"/>
        <v>8.2787458067163852E-2</v>
      </c>
      <c r="AF107" s="170">
        <f>Sizing!DU121</f>
        <v>6.7368736237725546E-2</v>
      </c>
      <c r="AG107" s="170">
        <f>Sizing!DV121</f>
        <v>0.25955488097457452</v>
      </c>
      <c r="AH107" s="170">
        <f>Sizing!DW121</f>
        <v>6.7368736237725546E-2</v>
      </c>
      <c r="AI107" s="272">
        <f>Sizing!DX121</f>
        <v>0.25955488097457452</v>
      </c>
      <c r="AJ107" s="216">
        <f>Sizing!GJ121</f>
        <v>0.25</v>
      </c>
      <c r="AK107" s="216">
        <f>Sizing!GK121</f>
        <v>1.5748031496062995E-2</v>
      </c>
      <c r="AL107" s="17">
        <f>Sizing!GL121</f>
        <v>1.5748031496062995E-2</v>
      </c>
      <c r="AM107" s="216">
        <f t="shared" si="9"/>
        <v>2.4179687736685367E-3</v>
      </c>
      <c r="AN107" s="138">
        <f t="shared" si="10"/>
        <v>7.2254596295506844E-4</v>
      </c>
      <c r="AO107" s="138">
        <f t="shared" si="11"/>
        <v>3.1405147366236051E-3</v>
      </c>
      <c r="AP107" s="311">
        <f t="shared" si="36"/>
        <v>9.4817093310280952E-3</v>
      </c>
      <c r="AQ107" s="11">
        <f t="shared" si="37"/>
        <v>2.8333578471542772E-3</v>
      </c>
      <c r="AR107" s="21">
        <f t="shared" si="38"/>
        <v>1.2315067178182372E-2</v>
      </c>
      <c r="AS107" s="11">
        <f t="shared" si="12"/>
        <v>4.8868651727096667E-3</v>
      </c>
      <c r="AT107" s="21">
        <f t="shared" si="39"/>
        <v>4.8868651727096667E-3</v>
      </c>
      <c r="AU107" s="170">
        <f>Sizing!JC121</f>
        <v>1.118139342754408E-3</v>
      </c>
      <c r="AV107" s="272">
        <f>Sizing!JD121</f>
        <v>3.3438590621532004E-2</v>
      </c>
      <c r="AW107" s="170">
        <f>Sizing!JC121</f>
        <v>1.118139342754408E-3</v>
      </c>
      <c r="AX107" s="272">
        <f>Sizing!JD121</f>
        <v>3.3438590621532004E-2</v>
      </c>
      <c r="AY107" s="216">
        <f>Sizing!IT121</f>
        <v>0.25</v>
      </c>
      <c r="AZ107" s="216">
        <f>Sizing!IU121</f>
        <v>1.5748031496062995E-2</v>
      </c>
      <c r="BA107" s="17">
        <f>Sizing!IV121</f>
        <v>1.5748031496062995E-2</v>
      </c>
      <c r="BB107" s="216">
        <f t="shared" si="13"/>
        <v>2.4179687736685367E-3</v>
      </c>
      <c r="BC107" s="138">
        <f t="shared" si="14"/>
        <v>7.2254596295506844E-4</v>
      </c>
      <c r="BD107" s="138">
        <f t="shared" si="15"/>
        <v>3.1405147366236051E-3</v>
      </c>
      <c r="BE107" s="311">
        <f t="shared" si="16"/>
        <v>4.7408546655140476E-3</v>
      </c>
      <c r="BF107" s="11">
        <f t="shared" si="17"/>
        <v>1.4166789235771386E-3</v>
      </c>
      <c r="BG107" s="21">
        <f t="shared" si="18"/>
        <v>6.1575335890911862E-3</v>
      </c>
      <c r="BH107" s="21">
        <f t="shared" si="19"/>
        <v>8.1108783057193804E-5</v>
      </c>
      <c r="BI107" s="21">
        <f t="shared" si="20"/>
        <v>8.1108783057193804E-5</v>
      </c>
      <c r="BJ107" s="561"/>
      <c r="BK107">
        <f t="shared" si="21"/>
        <v>0.76607614000000002</v>
      </c>
      <c r="BL107">
        <f t="shared" si="22"/>
        <v>0.76607614000000002</v>
      </c>
      <c r="BM107">
        <f>C107*'Inputs-Imperial'!$E$12</f>
        <v>0.38303807000000001</v>
      </c>
      <c r="BN107">
        <f>C107*'Inputs-Imperial'!$E$12</f>
        <v>0.38303807000000001</v>
      </c>
      <c r="BO107">
        <f>C107*'Inputs-Imperial'!$E$12</f>
        <v>0.38303807000000001</v>
      </c>
      <c r="BP107">
        <f>C107*'Weight '!$E$15</f>
        <v>0.76607614000000002</v>
      </c>
      <c r="BQ107">
        <f>C107*'Weight '!$E$15</f>
        <v>0.76607614000000002</v>
      </c>
      <c r="BR107">
        <f>C107*'Weight '!$E$15</f>
        <v>0.76607614000000002</v>
      </c>
      <c r="BS107">
        <f t="shared" si="23"/>
        <v>0.14125791140592525</v>
      </c>
      <c r="BT107" s="564">
        <f t="shared" si="24"/>
        <v>0.19543587635817297</v>
      </c>
      <c r="BU107">
        <f t="shared" si="40"/>
        <v>0.72278393321727474</v>
      </c>
    </row>
    <row r="108" spans="1:73" x14ac:dyDescent="0.25">
      <c r="A108" s="186">
        <v>62</v>
      </c>
      <c r="B108" s="187">
        <f>A108/100*'Inputs-Imperial'!$E$5</f>
        <v>6.1023624000000005</v>
      </c>
      <c r="C108" s="188">
        <f>'Inputs-Imperial'!$E$10+('Inputs-Imperial'!$E$9-'Inputs-Imperial'!$E$10)*(100-A108)/100</f>
        <v>1.52230976</v>
      </c>
      <c r="D108" s="187">
        <f t="shared" si="25"/>
        <v>9.8425200000000324E-2</v>
      </c>
      <c r="E108" s="188">
        <f t="shared" si="26"/>
        <v>0.15031801858970448</v>
      </c>
      <c r="F108" s="423">
        <f>Sizing!F122</f>
        <v>34.763963124337913</v>
      </c>
      <c r="G108" s="423">
        <f>Sizing!G122</f>
        <v>347.63963124337909</v>
      </c>
      <c r="H108" s="423">
        <f>Sizing!H122</f>
        <v>594.9463170400569</v>
      </c>
      <c r="I108" s="423">
        <f>Sizing!I122</f>
        <v>-243.64594578347888</v>
      </c>
      <c r="J108" s="189">
        <f>Sizing!J122</f>
        <v>59.494631704005677</v>
      </c>
      <c r="K108" s="128">
        <v>62</v>
      </c>
      <c r="L108" s="12">
        <f t="shared" si="5"/>
        <v>73.228348800000006</v>
      </c>
      <c r="M108" s="11">
        <f t="shared" si="5"/>
        <v>18.26771712</v>
      </c>
      <c r="N108" s="11">
        <f t="shared" si="5"/>
        <v>1.1811024000000039</v>
      </c>
      <c r="O108" s="152">
        <f t="shared" si="27"/>
        <v>21.645794676917443</v>
      </c>
      <c r="P108" s="8">
        <f t="shared" si="41"/>
        <v>3.2881890816000001</v>
      </c>
      <c r="Q108" s="12">
        <f t="shared" si="28"/>
        <v>3.8962430418451408</v>
      </c>
      <c r="R108" s="8">
        <f t="shared" si="42"/>
        <v>1.6440945408000001</v>
      </c>
      <c r="S108" s="12">
        <f t="shared" si="29"/>
        <v>1.9481215209225704</v>
      </c>
      <c r="T108" s="17">
        <f>Sizing!CN122</f>
        <v>0.25</v>
      </c>
      <c r="U108" s="17">
        <f>Sizing!CO122</f>
        <v>2.3622047244094495E-2</v>
      </c>
      <c r="V108" s="17">
        <f>Sizing!CP122</f>
        <v>1.5748031496062995E-2</v>
      </c>
      <c r="W108" s="128">
        <f t="shared" si="6"/>
        <v>3.0224609670856709E-3</v>
      </c>
      <c r="X108" s="2">
        <f t="shared" si="7"/>
        <v>7.2254596295506844E-4</v>
      </c>
      <c r="Y108" s="2">
        <f t="shared" si="8"/>
        <v>3.7450069300407392E-3</v>
      </c>
      <c r="Z108" s="216">
        <f t="shared" si="30"/>
        <v>6.7551632872501904E-2</v>
      </c>
      <c r="AA108" s="138">
        <f t="shared" si="31"/>
        <v>1.6148813881991041E-2</v>
      </c>
      <c r="AB108" s="17">
        <f t="shared" si="32"/>
        <v>8.3700446754492938E-2</v>
      </c>
      <c r="AC108" s="311">
        <f t="shared" si="33"/>
        <v>6.6386949547113938E-2</v>
      </c>
      <c r="AD108" s="316">
        <f t="shared" si="34"/>
        <v>1.5870386056439471E-2</v>
      </c>
      <c r="AE108" s="21">
        <f t="shared" si="35"/>
        <v>8.2257335603553416E-2</v>
      </c>
      <c r="AF108" s="170">
        <f>Sizing!DU122</f>
        <v>6.7368736237725546E-2</v>
      </c>
      <c r="AG108" s="170">
        <f>Sizing!DV122</f>
        <v>0.25955488097457452</v>
      </c>
      <c r="AH108" s="170">
        <f>Sizing!DW122</f>
        <v>6.7368736237725546E-2</v>
      </c>
      <c r="AI108" s="272">
        <f>Sizing!DX122</f>
        <v>0.25955488097457452</v>
      </c>
      <c r="AJ108" s="216">
        <f>Sizing!GJ122</f>
        <v>0.25</v>
      </c>
      <c r="AK108" s="216">
        <f>Sizing!GK122</f>
        <v>1.5748031496062995E-2</v>
      </c>
      <c r="AL108" s="17">
        <f>Sizing!GL122</f>
        <v>1.5748031496062995E-2</v>
      </c>
      <c r="AM108" s="216">
        <f t="shared" si="9"/>
        <v>2.4179687736685367E-3</v>
      </c>
      <c r="AN108" s="138">
        <f t="shared" si="10"/>
        <v>7.2254596295506844E-4</v>
      </c>
      <c r="AO108" s="138">
        <f t="shared" si="11"/>
        <v>3.1405147366236051E-3</v>
      </c>
      <c r="AP108" s="311">
        <f t="shared" si="36"/>
        <v>9.4209940098048638E-3</v>
      </c>
      <c r="AQ108" s="11">
        <f t="shared" si="37"/>
        <v>2.8152146805769823E-3</v>
      </c>
      <c r="AR108" s="21">
        <f t="shared" si="38"/>
        <v>1.2236208690381846E-2</v>
      </c>
      <c r="AS108" s="11">
        <f t="shared" si="12"/>
        <v>4.8868651727096667E-3</v>
      </c>
      <c r="AT108" s="21">
        <f t="shared" si="39"/>
        <v>4.8868651727096667E-3</v>
      </c>
      <c r="AU108" s="170">
        <f>Sizing!JC122</f>
        <v>1.118139342754408E-3</v>
      </c>
      <c r="AV108" s="272">
        <f>Sizing!JD122</f>
        <v>3.3438590621532004E-2</v>
      </c>
      <c r="AW108" s="170">
        <f>Sizing!JC122</f>
        <v>1.118139342754408E-3</v>
      </c>
      <c r="AX108" s="272">
        <f>Sizing!JD122</f>
        <v>3.3438590621532004E-2</v>
      </c>
      <c r="AY108" s="216">
        <f>Sizing!IT122</f>
        <v>0.25</v>
      </c>
      <c r="AZ108" s="216">
        <f>Sizing!IU122</f>
        <v>1.5748031496062995E-2</v>
      </c>
      <c r="BA108" s="17">
        <f>Sizing!IV122</f>
        <v>1.5748031496062995E-2</v>
      </c>
      <c r="BB108" s="216">
        <f t="shared" si="13"/>
        <v>2.4179687736685367E-3</v>
      </c>
      <c r="BC108" s="138">
        <f t="shared" si="14"/>
        <v>7.2254596295506844E-4</v>
      </c>
      <c r="BD108" s="138">
        <f t="shared" si="15"/>
        <v>3.1405147366236051E-3</v>
      </c>
      <c r="BE108" s="311">
        <f t="shared" si="16"/>
        <v>4.7104970049024319E-3</v>
      </c>
      <c r="BF108" s="11">
        <f t="shared" si="17"/>
        <v>1.4076073402884911E-3</v>
      </c>
      <c r="BG108" s="21">
        <f t="shared" si="18"/>
        <v>6.1181043451909228E-3</v>
      </c>
      <c r="BH108" s="21">
        <f t="shared" si="19"/>
        <v>8.1108783057193804E-5</v>
      </c>
      <c r="BI108" s="21">
        <f t="shared" si="20"/>
        <v>8.1108783057193804E-5</v>
      </c>
      <c r="BJ108" s="561"/>
      <c r="BK108">
        <f t="shared" si="21"/>
        <v>0.76115487999999998</v>
      </c>
      <c r="BL108">
        <f t="shared" si="22"/>
        <v>0.76115487999999998</v>
      </c>
      <c r="BM108">
        <f>C108*'Inputs-Imperial'!$E$12</f>
        <v>0.38057743999999999</v>
      </c>
      <c r="BN108">
        <f>C108*'Inputs-Imperial'!$E$12</f>
        <v>0.38057743999999999</v>
      </c>
      <c r="BO108">
        <f>C108*'Inputs-Imperial'!$E$12</f>
        <v>0.38057743999999999</v>
      </c>
      <c r="BP108">
        <f>C108*'Weight '!$E$15</f>
        <v>0.76115487999999998</v>
      </c>
      <c r="BQ108">
        <f>C108*'Weight '!$E$15</f>
        <v>0.76115487999999998</v>
      </c>
      <c r="BR108">
        <f>C108*'Weight '!$E$15</f>
        <v>0.76115487999999998</v>
      </c>
      <c r="BS108">
        <f t="shared" si="23"/>
        <v>0.13947635983936713</v>
      </c>
      <c r="BT108" s="564">
        <f t="shared" si="24"/>
        <v>0.19424804330515286</v>
      </c>
      <c r="BU108">
        <f t="shared" si="40"/>
        <v>0.71803225127090486</v>
      </c>
    </row>
    <row r="109" spans="1:73" x14ac:dyDescent="0.25">
      <c r="A109" s="186">
        <v>63</v>
      </c>
      <c r="B109" s="187">
        <f>A109/100*'Inputs-Imperial'!$E$5</f>
        <v>6.2007876</v>
      </c>
      <c r="C109" s="188">
        <f>'Inputs-Imperial'!$E$10+('Inputs-Imperial'!$E$9-'Inputs-Imperial'!$E$10)*(100-A109)/100</f>
        <v>1.5124672399999999</v>
      </c>
      <c r="D109" s="187">
        <f t="shared" si="25"/>
        <v>9.8425199999999435E-2</v>
      </c>
      <c r="E109" s="188">
        <f t="shared" si="26"/>
        <v>0.14934926659019915</v>
      </c>
      <c r="F109" s="423">
        <f>Sizing!F123</f>
        <v>33.600854756580439</v>
      </c>
      <c r="G109" s="423">
        <f>Sizing!G123</f>
        <v>336.00854756580435</v>
      </c>
      <c r="H109" s="423">
        <f>Sizing!H123</f>
        <v>560.72981680700127</v>
      </c>
      <c r="I109" s="423">
        <f>Sizing!I123</f>
        <v>-233.62009444870466</v>
      </c>
      <c r="J109" s="189">
        <f>Sizing!J123</f>
        <v>56.07298168070011</v>
      </c>
      <c r="K109" s="128">
        <v>63</v>
      </c>
      <c r="L109" s="12">
        <f t="shared" si="5"/>
        <v>74.409451200000007</v>
      </c>
      <c r="M109" s="11">
        <f t="shared" si="5"/>
        <v>18.14960688</v>
      </c>
      <c r="N109" s="11">
        <f t="shared" si="5"/>
        <v>1.1811023999999932</v>
      </c>
      <c r="O109" s="152">
        <f t="shared" si="27"/>
        <v>21.506294388988678</v>
      </c>
      <c r="P109" s="8">
        <f t="shared" si="41"/>
        <v>3.2669292383999999</v>
      </c>
      <c r="Q109" s="12">
        <f t="shared" si="28"/>
        <v>3.8711329900179616</v>
      </c>
      <c r="R109" s="8">
        <f t="shared" si="42"/>
        <v>1.6334646192</v>
      </c>
      <c r="S109" s="12">
        <f t="shared" si="29"/>
        <v>1.9355664950089808</v>
      </c>
      <c r="T109" s="17">
        <f>Sizing!CN123</f>
        <v>0.25</v>
      </c>
      <c r="U109" s="17">
        <f>Sizing!CO123</f>
        <v>2.3622047244094495E-2</v>
      </c>
      <c r="V109" s="17">
        <f>Sizing!CP123</f>
        <v>1.5748031496062995E-2</v>
      </c>
      <c r="W109" s="128">
        <f t="shared" si="6"/>
        <v>3.0224609670856709E-3</v>
      </c>
      <c r="X109" s="2">
        <f t="shared" si="7"/>
        <v>7.2254596295506844E-4</v>
      </c>
      <c r="Y109" s="2">
        <f t="shared" si="8"/>
        <v>3.7450069300407392E-3</v>
      </c>
      <c r="Z109" s="216">
        <f t="shared" si="30"/>
        <v>6.7116284003290783E-2</v>
      </c>
      <c r="AA109" s="138">
        <f t="shared" si="31"/>
        <v>1.6044739893492567E-2</v>
      </c>
      <c r="AB109" s="17">
        <f t="shared" si="32"/>
        <v>8.3161023896783343E-2</v>
      </c>
      <c r="AC109" s="311">
        <f t="shared" si="33"/>
        <v>6.5959106692889208E-2</v>
      </c>
      <c r="AD109" s="316">
        <f t="shared" si="34"/>
        <v>1.5768106447053041E-2</v>
      </c>
      <c r="AE109" s="21">
        <f t="shared" si="35"/>
        <v>8.1727213139942245E-2</v>
      </c>
      <c r="AF109" s="170">
        <f>Sizing!DU123</f>
        <v>6.7368736237725546E-2</v>
      </c>
      <c r="AG109" s="170">
        <f>Sizing!DV123</f>
        <v>0.25955488097457452</v>
      </c>
      <c r="AH109" s="170">
        <f>Sizing!DW123</f>
        <v>6.7368736237725546E-2</v>
      </c>
      <c r="AI109" s="272">
        <f>Sizing!DX123</f>
        <v>0.25955488097457452</v>
      </c>
      <c r="AJ109" s="216">
        <f>Sizing!GJ123</f>
        <v>0.25</v>
      </c>
      <c r="AK109" s="216">
        <f>Sizing!GK123</f>
        <v>1.5748031496062995E-2</v>
      </c>
      <c r="AL109" s="17">
        <f>Sizing!GL123</f>
        <v>1.5748031496062995E-2</v>
      </c>
      <c r="AM109" s="216">
        <f t="shared" si="9"/>
        <v>2.4179687736685367E-3</v>
      </c>
      <c r="AN109" s="138">
        <f t="shared" si="10"/>
        <v>7.2254596295506844E-4</v>
      </c>
      <c r="AO109" s="138">
        <f t="shared" si="11"/>
        <v>3.1405147366236051E-3</v>
      </c>
      <c r="AP109" s="311">
        <f t="shared" si="36"/>
        <v>9.3602786885815473E-3</v>
      </c>
      <c r="AQ109" s="11">
        <f t="shared" si="37"/>
        <v>2.7970715139996613E-3</v>
      </c>
      <c r="AR109" s="21">
        <f t="shared" si="38"/>
        <v>1.2157350202581208E-2</v>
      </c>
      <c r="AS109" s="11">
        <f t="shared" si="12"/>
        <v>4.8868651727096216E-3</v>
      </c>
      <c r="AT109" s="21">
        <f t="shared" si="39"/>
        <v>4.8868651727096216E-3</v>
      </c>
      <c r="AU109" s="170">
        <f>Sizing!JC123</f>
        <v>1.118139342754408E-3</v>
      </c>
      <c r="AV109" s="272">
        <f>Sizing!JD123</f>
        <v>3.3438590621532004E-2</v>
      </c>
      <c r="AW109" s="170">
        <f>Sizing!JC123</f>
        <v>1.118139342754408E-3</v>
      </c>
      <c r="AX109" s="272">
        <f>Sizing!JD123</f>
        <v>3.3438590621532004E-2</v>
      </c>
      <c r="AY109" s="216">
        <f>Sizing!IT123</f>
        <v>0.25</v>
      </c>
      <c r="AZ109" s="216">
        <f>Sizing!IU123</f>
        <v>1.5748031496062995E-2</v>
      </c>
      <c r="BA109" s="17">
        <f>Sizing!IV123</f>
        <v>1.5748031496062995E-2</v>
      </c>
      <c r="BB109" s="216">
        <f t="shared" si="13"/>
        <v>2.4179687736685367E-3</v>
      </c>
      <c r="BC109" s="138">
        <f t="shared" si="14"/>
        <v>7.2254596295506844E-4</v>
      </c>
      <c r="BD109" s="138">
        <f t="shared" si="15"/>
        <v>3.1405147366236051E-3</v>
      </c>
      <c r="BE109" s="311">
        <f t="shared" si="16"/>
        <v>4.6801393442907737E-3</v>
      </c>
      <c r="BF109" s="11">
        <f t="shared" si="17"/>
        <v>1.3985357569998307E-3</v>
      </c>
      <c r="BG109" s="21">
        <f t="shared" si="18"/>
        <v>6.0786751012906039E-3</v>
      </c>
      <c r="BH109" s="21">
        <f t="shared" si="19"/>
        <v>8.1108783057193073E-5</v>
      </c>
      <c r="BI109" s="21">
        <f t="shared" si="20"/>
        <v>8.1108783057193073E-5</v>
      </c>
      <c r="BJ109" s="561"/>
      <c r="BK109">
        <f t="shared" si="21"/>
        <v>0.75623361999999994</v>
      </c>
      <c r="BL109">
        <f t="shared" si="22"/>
        <v>0.75623361999999994</v>
      </c>
      <c r="BM109">
        <f>C109*'Inputs-Imperial'!$E$12</f>
        <v>0.37811680999999997</v>
      </c>
      <c r="BN109">
        <f>C109*'Inputs-Imperial'!$E$12</f>
        <v>0.37811680999999997</v>
      </c>
      <c r="BO109">
        <f>C109*'Inputs-Imperial'!$E$12</f>
        <v>0.37811680999999997</v>
      </c>
      <c r="BP109">
        <f>C109*'Weight '!$E$15</f>
        <v>0.75623361999999994</v>
      </c>
      <c r="BQ109">
        <f>C109*'Weight '!$E$15</f>
        <v>0.75623361999999994</v>
      </c>
      <c r="BR109">
        <f>C109*'Weight '!$E$15</f>
        <v>0.75623361999999994</v>
      </c>
      <c r="BS109">
        <f t="shared" si="23"/>
        <v>0.13770611146026718</v>
      </c>
      <c r="BT109" s="564">
        <f t="shared" si="24"/>
        <v>0.19306021025213102</v>
      </c>
      <c r="BU109">
        <f t="shared" si="40"/>
        <v>0.7132806458691151</v>
      </c>
    </row>
    <row r="110" spans="1:73" x14ac:dyDescent="0.25">
      <c r="A110" s="186">
        <v>64</v>
      </c>
      <c r="B110" s="187">
        <f>A110/100*'Inputs-Imperial'!$E$5</f>
        <v>6.2992128000000003</v>
      </c>
      <c r="C110" s="188">
        <f>'Inputs-Imperial'!$E$10+('Inputs-Imperial'!$E$9-'Inputs-Imperial'!$E$10)*(100-A110)/100</f>
        <v>1.50262472</v>
      </c>
      <c r="D110" s="187">
        <f t="shared" si="25"/>
        <v>9.8425200000000324E-2</v>
      </c>
      <c r="E110" s="188">
        <f t="shared" si="26"/>
        <v>0.14838051459069648</v>
      </c>
      <c r="F110" s="423">
        <f>Sizing!F124</f>
        <v>32.447644818167149</v>
      </c>
      <c r="G110" s="423">
        <f>Sizing!G124</f>
        <v>324.47644818167146</v>
      </c>
      <c r="H110" s="423">
        <f>Sizing!H124</f>
        <v>527.65810831112731</v>
      </c>
      <c r="I110" s="423">
        <f>Sizing!I124</f>
        <v>-223.76522921171465</v>
      </c>
      <c r="J110" s="189">
        <f>Sizing!J124</f>
        <v>52.765810831112717</v>
      </c>
      <c r="K110" s="128">
        <v>64</v>
      </c>
      <c r="L110" s="12">
        <f t="shared" si="5"/>
        <v>75.590553600000007</v>
      </c>
      <c r="M110" s="11">
        <f t="shared" si="5"/>
        <v>18.03149664</v>
      </c>
      <c r="N110" s="11">
        <f t="shared" si="5"/>
        <v>1.1811024000000039</v>
      </c>
      <c r="O110" s="152">
        <f t="shared" si="27"/>
        <v>21.366794101060293</v>
      </c>
      <c r="P110" s="8">
        <f t="shared" ref="P110:P123" si="43">M110*$E$17</f>
        <v>3.2456693951999998</v>
      </c>
      <c r="Q110" s="12">
        <f t="shared" si="28"/>
        <v>3.8460229381908526</v>
      </c>
      <c r="R110" s="8">
        <f t="shared" ref="R110:R123" si="44">M110*$E$21</f>
        <v>1.6228346975999999</v>
      </c>
      <c r="S110" s="12">
        <f t="shared" si="29"/>
        <v>1.9230114690954263</v>
      </c>
      <c r="T110" s="17">
        <f>Sizing!CN124</f>
        <v>0.25</v>
      </c>
      <c r="U110" s="17">
        <f>Sizing!CO124</f>
        <v>2.3622047244094495E-2</v>
      </c>
      <c r="V110" s="17">
        <f>Sizing!CP124</f>
        <v>1.5748031496062995E-2</v>
      </c>
      <c r="W110" s="128">
        <f t="shared" si="6"/>
        <v>3.0224609670856709E-3</v>
      </c>
      <c r="X110" s="2">
        <f t="shared" si="7"/>
        <v>7.2254596295506844E-4</v>
      </c>
      <c r="Y110" s="2">
        <f t="shared" si="8"/>
        <v>3.7450069300407392E-3</v>
      </c>
      <c r="Z110" s="216">
        <f t="shared" si="30"/>
        <v>6.668093513408084E-2</v>
      </c>
      <c r="AA110" s="138">
        <f t="shared" si="31"/>
        <v>1.5940665904994381E-2</v>
      </c>
      <c r="AB110" s="17">
        <f t="shared" si="32"/>
        <v>8.2621601039075218E-2</v>
      </c>
      <c r="AC110" s="311">
        <f t="shared" si="33"/>
        <v>6.5531263838665643E-2</v>
      </c>
      <c r="AD110" s="316">
        <f t="shared" si="34"/>
        <v>1.5665826837666888E-2</v>
      </c>
      <c r="AE110" s="21">
        <f t="shared" si="35"/>
        <v>8.1197090676332531E-2</v>
      </c>
      <c r="AF110" s="170">
        <f>Sizing!DU124</f>
        <v>6.7368736237725546E-2</v>
      </c>
      <c r="AG110" s="170">
        <f>Sizing!DV124</f>
        <v>0.25955488097457452</v>
      </c>
      <c r="AH110" s="170">
        <f>Sizing!DW124</f>
        <v>6.7368736237725546E-2</v>
      </c>
      <c r="AI110" s="272">
        <f>Sizing!DX124</f>
        <v>0.25955488097457452</v>
      </c>
      <c r="AJ110" s="216">
        <f>Sizing!GJ124</f>
        <v>0.25</v>
      </c>
      <c r="AK110" s="216">
        <f>Sizing!GK124</f>
        <v>1.5748031496062995E-2</v>
      </c>
      <c r="AL110" s="17">
        <f>Sizing!GL124</f>
        <v>1.5748031496062995E-2</v>
      </c>
      <c r="AM110" s="216">
        <f t="shared" si="9"/>
        <v>2.4179687736685367E-3</v>
      </c>
      <c r="AN110" s="138">
        <f t="shared" si="10"/>
        <v>7.2254596295506844E-4</v>
      </c>
      <c r="AO110" s="138">
        <f t="shared" si="11"/>
        <v>3.1405147366236051E-3</v>
      </c>
      <c r="AP110" s="311">
        <f t="shared" si="36"/>
        <v>9.2995633673583992E-3</v>
      </c>
      <c r="AQ110" s="11">
        <f t="shared" si="37"/>
        <v>2.7789283474223912E-3</v>
      </c>
      <c r="AR110" s="21">
        <f t="shared" si="38"/>
        <v>1.2078491714780789E-2</v>
      </c>
      <c r="AS110" s="11">
        <f t="shared" si="12"/>
        <v>4.8868651727096667E-3</v>
      </c>
      <c r="AT110" s="21">
        <f t="shared" si="39"/>
        <v>4.8868651727096667E-3</v>
      </c>
      <c r="AU110" s="170">
        <f>Sizing!JC124</f>
        <v>1.118139342754408E-3</v>
      </c>
      <c r="AV110" s="272">
        <f>Sizing!JD124</f>
        <v>3.3438590621532004E-2</v>
      </c>
      <c r="AW110" s="170">
        <f>Sizing!JC124</f>
        <v>1.118139342754408E-3</v>
      </c>
      <c r="AX110" s="272">
        <f>Sizing!JD124</f>
        <v>3.3438590621532004E-2</v>
      </c>
      <c r="AY110" s="216">
        <f>Sizing!IT124</f>
        <v>0.25</v>
      </c>
      <c r="AZ110" s="216">
        <f>Sizing!IU124</f>
        <v>1.5748031496062995E-2</v>
      </c>
      <c r="BA110" s="17">
        <f>Sizing!IV124</f>
        <v>1.5748031496062995E-2</v>
      </c>
      <c r="BB110" s="216">
        <f t="shared" si="13"/>
        <v>2.4179687736685367E-3</v>
      </c>
      <c r="BC110" s="138">
        <f t="shared" si="14"/>
        <v>7.2254596295506844E-4</v>
      </c>
      <c r="BD110" s="138">
        <f t="shared" si="15"/>
        <v>3.1405147366236051E-3</v>
      </c>
      <c r="BE110" s="311">
        <f t="shared" si="16"/>
        <v>4.6497816836791996E-3</v>
      </c>
      <c r="BF110" s="11">
        <f t="shared" si="17"/>
        <v>1.3894641737111956E-3</v>
      </c>
      <c r="BG110" s="21">
        <f t="shared" si="18"/>
        <v>6.0392458573903943E-3</v>
      </c>
      <c r="BH110" s="21">
        <f t="shared" si="19"/>
        <v>8.1108783057193804E-5</v>
      </c>
      <c r="BI110" s="21">
        <f t="shared" si="20"/>
        <v>8.1108783057193804E-5</v>
      </c>
      <c r="BJ110" s="561"/>
      <c r="BK110">
        <f t="shared" si="21"/>
        <v>0.75131236000000001</v>
      </c>
      <c r="BL110">
        <f t="shared" si="22"/>
        <v>0.75131236000000001</v>
      </c>
      <c r="BM110">
        <f>C110*'Inputs-Imperial'!$E$12</f>
        <v>0.37565618000000001</v>
      </c>
      <c r="BN110">
        <f>C110*'Inputs-Imperial'!$E$12</f>
        <v>0.37565618000000001</v>
      </c>
      <c r="BO110">
        <f>C110*'Inputs-Imperial'!$E$12</f>
        <v>0.37565618000000001</v>
      </c>
      <c r="BP110">
        <f>C110*'Weight '!$E$15</f>
        <v>0.75131236000000001</v>
      </c>
      <c r="BQ110">
        <f>C110*'Weight '!$E$15</f>
        <v>0.75131236000000001</v>
      </c>
      <c r="BR110">
        <f>C110*'Weight '!$E$15</f>
        <v>0.75131236000000001</v>
      </c>
      <c r="BS110">
        <f t="shared" si="23"/>
        <v>0.13594716626862899</v>
      </c>
      <c r="BT110" s="564">
        <f t="shared" si="24"/>
        <v>0.19187237719911268</v>
      </c>
      <c r="BU110">
        <f t="shared" si="40"/>
        <v>0.70852911843350885</v>
      </c>
    </row>
    <row r="111" spans="1:73" x14ac:dyDescent="0.25">
      <c r="A111" s="186">
        <v>65</v>
      </c>
      <c r="B111" s="187">
        <f>A111/100*'Inputs-Imperial'!$E$5</f>
        <v>6.3976380000000006</v>
      </c>
      <c r="C111" s="188">
        <f>'Inputs-Imperial'!$E$10+('Inputs-Imperial'!$E$9-'Inputs-Imperial'!$E$10)*(100-A111)/100</f>
        <v>1.4927821999999999</v>
      </c>
      <c r="D111" s="187">
        <f t="shared" si="25"/>
        <v>9.8425200000000324E-2</v>
      </c>
      <c r="E111" s="188">
        <f t="shared" si="26"/>
        <v>0.14741176259119249</v>
      </c>
      <c r="F111" s="423">
        <f>Sizing!F125</f>
        <v>31.304500789432982</v>
      </c>
      <c r="G111" s="423">
        <f>Sizing!G125</f>
        <v>313.04500789432984</v>
      </c>
      <c r="H111" s="423">
        <f>Sizing!H125</f>
        <v>495.72144900355653</v>
      </c>
      <c r="I111" s="423">
        <f>Sizing!I125</f>
        <v>-214.08274594177726</v>
      </c>
      <c r="J111" s="189">
        <f>Sizing!J125</f>
        <v>49.572144900355639</v>
      </c>
      <c r="K111" s="128">
        <v>65</v>
      </c>
      <c r="L111" s="12">
        <f t="shared" ref="L111:N146" si="45">B111*12</f>
        <v>76.771656000000007</v>
      </c>
      <c r="M111" s="11">
        <f t="shared" si="45"/>
        <v>17.9133864</v>
      </c>
      <c r="N111" s="11">
        <f t="shared" si="45"/>
        <v>1.1811024000000039</v>
      </c>
      <c r="O111" s="152">
        <f t="shared" ref="O111:O146" si="46">E111*12*12</f>
        <v>21.227293813131716</v>
      </c>
      <c r="P111" s="8">
        <f t="shared" si="43"/>
        <v>3.224409552</v>
      </c>
      <c r="Q111" s="12">
        <f t="shared" si="28"/>
        <v>3.820912886363709</v>
      </c>
      <c r="R111" s="8">
        <f t="shared" si="44"/>
        <v>1.612204776</v>
      </c>
      <c r="S111" s="12">
        <f t="shared" si="29"/>
        <v>1.9104564431818545</v>
      </c>
      <c r="T111" s="17">
        <f>Sizing!CN125</f>
        <v>0.25</v>
      </c>
      <c r="U111" s="17">
        <f>Sizing!CO125</f>
        <v>2.3622047244094495E-2</v>
      </c>
      <c r="V111" s="17">
        <f>Sizing!CP125</f>
        <v>1.5748031496062995E-2</v>
      </c>
      <c r="W111" s="128">
        <f t="shared" ref="W111:W146" si="47">(U111*$E$30+V111*$E$30)*$E$35</f>
        <v>3.0224609670856709E-3</v>
      </c>
      <c r="X111" s="2">
        <f t="shared" ref="X111:X146" si="48">T111*$E$34*$E$35</f>
        <v>7.2254596295506844E-4</v>
      </c>
      <c r="Y111" s="2">
        <f t="shared" ref="Y111:Y146" si="49">W111+X111</f>
        <v>3.7450069300407392E-3</v>
      </c>
      <c r="Z111" s="216">
        <f t="shared" si="30"/>
        <v>6.6245586264870288E-2</v>
      </c>
      <c r="AA111" s="138">
        <f t="shared" si="31"/>
        <v>1.5836591916496046E-2</v>
      </c>
      <c r="AB111" s="17">
        <f t="shared" si="32"/>
        <v>8.2082178181366344E-2</v>
      </c>
      <c r="AC111" s="311">
        <f t="shared" si="33"/>
        <v>6.5103420984441496E-2</v>
      </c>
      <c r="AD111" s="316">
        <f t="shared" si="34"/>
        <v>1.5563547228280598E-2</v>
      </c>
      <c r="AE111" s="21">
        <f t="shared" si="35"/>
        <v>8.0666968212722082E-2</v>
      </c>
      <c r="AF111" s="170">
        <f>Sizing!DU125</f>
        <v>6.7368736237725546E-2</v>
      </c>
      <c r="AG111" s="170">
        <f>Sizing!DV125</f>
        <v>0.25955488097457452</v>
      </c>
      <c r="AH111" s="170">
        <f>Sizing!DW125</f>
        <v>6.7368736237725546E-2</v>
      </c>
      <c r="AI111" s="272">
        <f>Sizing!DX125</f>
        <v>0.25955488097457452</v>
      </c>
      <c r="AJ111" s="216">
        <f>Sizing!GJ125</f>
        <v>0.25</v>
      </c>
      <c r="AK111" s="216">
        <f>Sizing!GK125</f>
        <v>1.5748031496062995E-2</v>
      </c>
      <c r="AL111" s="17">
        <f>Sizing!GL125</f>
        <v>1.5748031496062995E-2</v>
      </c>
      <c r="AM111" s="216">
        <f t="shared" ref="AM111:AM146" si="50">(AK111*$E$30+AL111*$E$30)*$E$35</f>
        <v>2.4179687736685367E-3</v>
      </c>
      <c r="AN111" s="138">
        <f t="shared" ref="AN111:AN146" si="51">AJ111*$E$34*$E$35</f>
        <v>7.2254596295506844E-4</v>
      </c>
      <c r="AO111" s="138">
        <f t="shared" ref="AO111:AO146" si="52">AM111+AN111</f>
        <v>3.1405147366236051E-3</v>
      </c>
      <c r="AP111" s="311">
        <f t="shared" si="36"/>
        <v>9.238848046135166E-3</v>
      </c>
      <c r="AQ111" s="11">
        <f t="shared" si="37"/>
        <v>2.7607851808450963E-3</v>
      </c>
      <c r="AR111" s="21">
        <f t="shared" si="38"/>
        <v>1.1999633226980262E-2</v>
      </c>
      <c r="AS111" s="11">
        <f t="shared" ref="AS111:AS146" si="53">AF111*$N111*$E$26</f>
        <v>4.8868651727096667E-3</v>
      </c>
      <c r="AT111" s="21">
        <f t="shared" ref="AT111:AT146" si="54">AH111*$N111*$E$26</f>
        <v>4.8868651727096667E-3</v>
      </c>
      <c r="AU111" s="170">
        <f>Sizing!JC125</f>
        <v>1.118139342754408E-3</v>
      </c>
      <c r="AV111" s="272">
        <f>Sizing!JD125</f>
        <v>3.3438590621532004E-2</v>
      </c>
      <c r="AW111" s="170">
        <f>Sizing!JC125</f>
        <v>1.118139342754408E-3</v>
      </c>
      <c r="AX111" s="272">
        <f>Sizing!JD125</f>
        <v>3.3438590621532004E-2</v>
      </c>
      <c r="AY111" s="216">
        <f>Sizing!IT125</f>
        <v>0.25</v>
      </c>
      <c r="AZ111" s="216">
        <f>Sizing!IU125</f>
        <v>1.5748031496062995E-2</v>
      </c>
      <c r="BA111" s="17">
        <f>Sizing!IV125</f>
        <v>1.5748031496062995E-2</v>
      </c>
      <c r="BB111" s="216">
        <f t="shared" ref="BB111:BB146" si="55">(AZ111*$E$30+BA111*$E$30)*$E$35</f>
        <v>2.4179687736685367E-3</v>
      </c>
      <c r="BC111" s="138">
        <f t="shared" ref="BC111:BC146" si="56">AY111*$E$34*$E$35</f>
        <v>7.2254596295506844E-4</v>
      </c>
      <c r="BD111" s="138">
        <f t="shared" ref="BD111:BD146" si="57">BB111+BC111</f>
        <v>3.1405147366236051E-3</v>
      </c>
      <c r="BE111" s="311">
        <f t="shared" ref="BE111:BE146" si="58">BB111*$S111</f>
        <v>4.619424023067583E-3</v>
      </c>
      <c r="BF111" s="11">
        <f t="shared" ref="BF111:BF146" si="59">BC111*$S111</f>
        <v>1.3803925904225481E-3</v>
      </c>
      <c r="BG111" s="21">
        <f t="shared" ref="BG111:BG146" si="60">BD111*$S111</f>
        <v>5.9998166134901309E-3</v>
      </c>
      <c r="BH111" s="21">
        <f t="shared" ref="BH111:BH146" si="61">AU111*$N111*$E$26</f>
        <v>8.1108783057193804E-5</v>
      </c>
      <c r="BI111" s="21">
        <f t="shared" ref="BI111:BI146" si="62">AW111*$N111*$E$26</f>
        <v>8.1108783057193804E-5</v>
      </c>
      <c r="BJ111" s="561"/>
      <c r="BK111">
        <f t="shared" ref="BK111:BK146" si="63">0.5*C111</f>
        <v>0.74639109999999997</v>
      </c>
      <c r="BL111">
        <f t="shared" ref="BL111:BL146" si="64">0.5*C111</f>
        <v>0.74639109999999997</v>
      </c>
      <c r="BM111">
        <f>C111*'Inputs-Imperial'!$E$12</f>
        <v>0.37319554999999999</v>
      </c>
      <c r="BN111">
        <f>C111*'Inputs-Imperial'!$E$12</f>
        <v>0.37319554999999999</v>
      </c>
      <c r="BO111">
        <f>C111*'Inputs-Imperial'!$E$12</f>
        <v>0.37319554999999999</v>
      </c>
      <c r="BP111">
        <f>C111*'Weight '!$E$15</f>
        <v>0.74639109999999997</v>
      </c>
      <c r="BQ111">
        <f>C111*'Weight '!$E$15</f>
        <v>0.74639109999999997</v>
      </c>
      <c r="BR111">
        <f>C111*'Weight '!$E$15</f>
        <v>0.74639109999999997</v>
      </c>
      <c r="BS111">
        <f t="shared" ref="BS111:BS146" si="65">(BK111*AB111+BL111*AE111+BM111*AR111+BN111*AS111+BO111*AT111+BP111*BG111+BQ111*BH111+BR111*BI111)</f>
        <v>0.13419952426444895</v>
      </c>
      <c r="BT111" s="564">
        <f t="shared" ref="BT111:BT146" si="66">(AB111 +AE111+AR111+AS111+AT111+BG111+BH111+BI111)</f>
        <v>0.19068454414609257</v>
      </c>
      <c r="BU111">
        <f t="shared" ref="BU111:BU146" si="67">BS111/BT111</f>
        <v>0.70377767042111328</v>
      </c>
    </row>
    <row r="112" spans="1:73" x14ac:dyDescent="0.25">
      <c r="A112" s="186">
        <v>66</v>
      </c>
      <c r="B112" s="187">
        <f>A112/100*'Inputs-Imperial'!$E$5</f>
        <v>6.4960632000000009</v>
      </c>
      <c r="C112" s="188">
        <f>'Inputs-Imperial'!$E$10+('Inputs-Imperial'!$E$9-'Inputs-Imperial'!$E$10)*(100-A112)/100</f>
        <v>1.4829396799999999</v>
      </c>
      <c r="D112" s="187">
        <f t="shared" ref="D112:D146" si="68">B112-B111</f>
        <v>9.8425200000000324E-2</v>
      </c>
      <c r="E112" s="188">
        <f t="shared" ref="E112:E146" si="69">D112*AVERAGE(C111:C112)</f>
        <v>0.14644301059168849</v>
      </c>
      <c r="F112" s="423">
        <f>Sizing!F126</f>
        <v>30.171595692361546</v>
      </c>
      <c r="G112" s="423">
        <f>Sizing!G126</f>
        <v>301.71595692361547</v>
      </c>
      <c r="H112" s="423">
        <f>Sizing!H126</f>
        <v>464.90993149255542</v>
      </c>
      <c r="I112" s="423">
        <f>Sizing!I126</f>
        <v>-204.57405917723395</v>
      </c>
      <c r="J112" s="189">
        <f>Sizing!J126</f>
        <v>46.49099314925553</v>
      </c>
      <c r="K112" s="128">
        <v>66</v>
      </c>
      <c r="L112" s="12">
        <f t="shared" si="45"/>
        <v>77.952758400000008</v>
      </c>
      <c r="M112" s="11">
        <f t="shared" si="45"/>
        <v>17.79527616</v>
      </c>
      <c r="N112" s="11">
        <f t="shared" si="45"/>
        <v>1.1811024000000039</v>
      </c>
      <c r="O112" s="152">
        <f t="shared" si="46"/>
        <v>21.087793525203139</v>
      </c>
      <c r="P112" s="8">
        <f t="shared" si="43"/>
        <v>3.2031497087999998</v>
      </c>
      <c r="Q112" s="12">
        <f t="shared" ref="Q112:Q146" si="70">AVERAGE(P111:P112)*$N112</f>
        <v>3.7958028345365653</v>
      </c>
      <c r="R112" s="8">
        <f t="shared" si="44"/>
        <v>1.6015748543999999</v>
      </c>
      <c r="S112" s="12">
        <f t="shared" ref="S112:S146" si="71">AVERAGE(R111:R112)*$N112</f>
        <v>1.8979014172682827</v>
      </c>
      <c r="T112" s="17">
        <f>Sizing!CN126</f>
        <v>0.25</v>
      </c>
      <c r="U112" s="17">
        <f>Sizing!CO126</f>
        <v>2.3622047244094495E-2</v>
      </c>
      <c r="V112" s="17">
        <f>Sizing!CP126</f>
        <v>1.5748031496062995E-2</v>
      </c>
      <c r="W112" s="128">
        <f t="shared" si="47"/>
        <v>3.0224609670856709E-3</v>
      </c>
      <c r="X112" s="2">
        <f t="shared" si="48"/>
        <v>7.2254596295506844E-4</v>
      </c>
      <c r="Y112" s="2">
        <f t="shared" si="49"/>
        <v>3.7450069300407392E-3</v>
      </c>
      <c r="Z112" s="216">
        <f t="shared" ref="Z112:Z146" si="72">$O112*$E$39*W112</f>
        <v>6.5810237395659762E-2</v>
      </c>
      <c r="AA112" s="138">
        <f t="shared" ref="AA112:AA146" si="73">$O112*$E$39*X112</f>
        <v>1.5732517927997718E-2</v>
      </c>
      <c r="AB112" s="17">
        <f t="shared" ref="AB112:AB146" si="74">$O112*$E$39*Y112</f>
        <v>8.154275532365747E-2</v>
      </c>
      <c r="AC112" s="311">
        <f t="shared" ref="AC112:AC146" si="75">$O112*$E$40*W112</f>
        <v>6.4675578130217334E-2</v>
      </c>
      <c r="AD112" s="316">
        <f t="shared" ref="AD112:AD146" si="76">$O112*$E$40*X112</f>
        <v>1.5461267618894306E-2</v>
      </c>
      <c r="AE112" s="21">
        <f t="shared" ref="AE112:AE146" si="77">$O112*$E$40*Y112</f>
        <v>8.0136845749111646E-2</v>
      </c>
      <c r="AF112" s="170">
        <f>Sizing!DU126</f>
        <v>6.7368736237725546E-2</v>
      </c>
      <c r="AG112" s="170">
        <f>Sizing!DV126</f>
        <v>0.25955488097457452</v>
      </c>
      <c r="AH112" s="170">
        <f>Sizing!DW126</f>
        <v>6.7368736237725546E-2</v>
      </c>
      <c r="AI112" s="272">
        <f>Sizing!DX126</f>
        <v>0.25955488097457452</v>
      </c>
      <c r="AJ112" s="216">
        <f>Sizing!GJ126</f>
        <v>0.25</v>
      </c>
      <c r="AK112" s="216">
        <f>Sizing!GK126</f>
        <v>1.5748031496062995E-2</v>
      </c>
      <c r="AL112" s="17">
        <f>Sizing!GL126</f>
        <v>1.5748031496062995E-2</v>
      </c>
      <c r="AM112" s="216">
        <f t="shared" si="50"/>
        <v>2.4179687736685367E-3</v>
      </c>
      <c r="AN112" s="138">
        <f t="shared" si="51"/>
        <v>7.2254596295506844E-4</v>
      </c>
      <c r="AO112" s="138">
        <f t="shared" si="52"/>
        <v>3.1405147366236051E-3</v>
      </c>
      <c r="AP112" s="311">
        <f t="shared" ref="AP112:AP146" si="78">AM112*$Q112</f>
        <v>9.1781327249119346E-3</v>
      </c>
      <c r="AQ112" s="11">
        <f t="shared" ref="AQ112:AQ146" si="79">AN112*$Q112</f>
        <v>2.7426420142678009E-3</v>
      </c>
      <c r="AR112" s="21">
        <f t="shared" ref="AR112:AR146" si="80">AO112*$Q112</f>
        <v>1.1920774739179735E-2</v>
      </c>
      <c r="AS112" s="11">
        <f t="shared" si="53"/>
        <v>4.8868651727096667E-3</v>
      </c>
      <c r="AT112" s="21">
        <f t="shared" si="54"/>
        <v>4.8868651727096667E-3</v>
      </c>
      <c r="AU112" s="170">
        <f>Sizing!JC126</f>
        <v>1.118139342754408E-3</v>
      </c>
      <c r="AV112" s="272">
        <f>Sizing!JD126</f>
        <v>3.3438590621532004E-2</v>
      </c>
      <c r="AW112" s="170">
        <f>Sizing!JC126</f>
        <v>1.118139342754408E-3</v>
      </c>
      <c r="AX112" s="272">
        <f>Sizing!JD126</f>
        <v>3.3438590621532004E-2</v>
      </c>
      <c r="AY112" s="216">
        <f>Sizing!IT126</f>
        <v>0.25</v>
      </c>
      <c r="AZ112" s="216">
        <f>Sizing!IU126</f>
        <v>1.5748031496062995E-2</v>
      </c>
      <c r="BA112" s="17">
        <f>Sizing!IV126</f>
        <v>1.5748031496062995E-2</v>
      </c>
      <c r="BB112" s="216">
        <f t="shared" si="55"/>
        <v>2.4179687736685367E-3</v>
      </c>
      <c r="BC112" s="138">
        <f t="shared" si="56"/>
        <v>7.2254596295506844E-4</v>
      </c>
      <c r="BD112" s="138">
        <f t="shared" si="57"/>
        <v>3.1405147366236051E-3</v>
      </c>
      <c r="BE112" s="311">
        <f t="shared" si="58"/>
        <v>4.5890663624559673E-3</v>
      </c>
      <c r="BF112" s="11">
        <f t="shared" si="59"/>
        <v>1.3713210071339005E-3</v>
      </c>
      <c r="BG112" s="21">
        <f t="shared" si="60"/>
        <v>5.9603873695898675E-3</v>
      </c>
      <c r="BH112" s="21">
        <f t="shared" si="61"/>
        <v>8.1108783057193804E-5</v>
      </c>
      <c r="BI112" s="21">
        <f t="shared" si="62"/>
        <v>8.1108783057193804E-5</v>
      </c>
      <c r="BJ112" s="561"/>
      <c r="BK112">
        <f t="shared" si="63"/>
        <v>0.74146983999999994</v>
      </c>
      <c r="BL112">
        <f t="shared" si="64"/>
        <v>0.74146983999999994</v>
      </c>
      <c r="BM112">
        <f>C112*'Inputs-Imperial'!$E$12</f>
        <v>0.37073491999999997</v>
      </c>
      <c r="BN112">
        <f>C112*'Inputs-Imperial'!$E$12</f>
        <v>0.37073491999999997</v>
      </c>
      <c r="BO112">
        <f>C112*'Inputs-Imperial'!$E$12</f>
        <v>0.37073491999999997</v>
      </c>
      <c r="BP112">
        <f>C112*'Weight '!$E$15</f>
        <v>0.74146983999999994</v>
      </c>
      <c r="BQ112">
        <f>C112*'Weight '!$E$15</f>
        <v>0.74146983999999994</v>
      </c>
      <c r="BR112">
        <f>C112*'Weight '!$E$15</f>
        <v>0.74146983999999994</v>
      </c>
      <c r="BS112">
        <f t="shared" si="65"/>
        <v>0.1324631854477282</v>
      </c>
      <c r="BT112" s="564">
        <f t="shared" si="66"/>
        <v>0.18949671109307248</v>
      </c>
      <c r="BU112">
        <f t="shared" si="67"/>
        <v>0.69902630332548665</v>
      </c>
    </row>
    <row r="113" spans="1:73" x14ac:dyDescent="0.25">
      <c r="A113" s="186">
        <v>67</v>
      </c>
      <c r="B113" s="187">
        <f>A113/100*'Inputs-Imperial'!$E$5</f>
        <v>6.5944884000000004</v>
      </c>
      <c r="C113" s="188">
        <f>'Inputs-Imperial'!$E$10+('Inputs-Imperial'!$E$9-'Inputs-Imperial'!$E$10)*(100-A113)/100</f>
        <v>1.47309716</v>
      </c>
      <c r="D113" s="187">
        <f t="shared" si="68"/>
        <v>9.8425199999999435E-2</v>
      </c>
      <c r="E113" s="188">
        <f t="shared" si="69"/>
        <v>0.14547425859218316</v>
      </c>
      <c r="F113" s="423">
        <f>Sizing!F127</f>
        <v>29.049108497325921</v>
      </c>
      <c r="G113" s="423">
        <f>Sizing!G127</f>
        <v>290.49108497325921</v>
      </c>
      <c r="H113" s="423">
        <f>Sizing!H127</f>
        <v>435.21347808915732</v>
      </c>
      <c r="I113" s="423">
        <f>Sizing!I127</f>
        <v>-195.24060428784489</v>
      </c>
      <c r="J113" s="189">
        <f>Sizing!J127</f>
        <v>43.521347808915721</v>
      </c>
      <c r="K113" s="128">
        <v>67</v>
      </c>
      <c r="L113" s="12">
        <f t="shared" si="45"/>
        <v>79.133860800000008</v>
      </c>
      <c r="M113" s="11">
        <f t="shared" si="45"/>
        <v>17.67716592</v>
      </c>
      <c r="N113" s="11">
        <f t="shared" si="45"/>
        <v>1.1811023999999932</v>
      </c>
      <c r="O113" s="152">
        <f t="shared" si="46"/>
        <v>20.948293237274374</v>
      </c>
      <c r="P113" s="8">
        <f t="shared" si="43"/>
        <v>3.1818898656000001</v>
      </c>
      <c r="Q113" s="12">
        <f t="shared" si="70"/>
        <v>3.7706927827093879</v>
      </c>
      <c r="R113" s="8">
        <f t="shared" si="44"/>
        <v>1.5909449328</v>
      </c>
      <c r="S113" s="12">
        <f t="shared" si="71"/>
        <v>1.885346391354694</v>
      </c>
      <c r="T113" s="17">
        <f>Sizing!CN127</f>
        <v>0.25</v>
      </c>
      <c r="U113" s="17">
        <f>Sizing!CO127</f>
        <v>2.3622047244094495E-2</v>
      </c>
      <c r="V113" s="17">
        <f>Sizing!CP127</f>
        <v>1.5748031496062995E-2</v>
      </c>
      <c r="W113" s="128">
        <f t="shared" si="47"/>
        <v>3.0224609670856709E-3</v>
      </c>
      <c r="X113" s="2">
        <f t="shared" si="48"/>
        <v>7.2254596295506844E-4</v>
      </c>
      <c r="Y113" s="2">
        <f t="shared" si="49"/>
        <v>3.7450069300407392E-3</v>
      </c>
      <c r="Z113" s="216">
        <f t="shared" si="72"/>
        <v>6.5374888526448627E-2</v>
      </c>
      <c r="AA113" s="138">
        <f t="shared" si="73"/>
        <v>1.5628443939499245E-2</v>
      </c>
      <c r="AB113" s="17">
        <f t="shared" si="74"/>
        <v>8.1003332465947861E-2</v>
      </c>
      <c r="AC113" s="311">
        <f t="shared" si="75"/>
        <v>6.4247735275992618E-2</v>
      </c>
      <c r="AD113" s="316">
        <f t="shared" si="76"/>
        <v>1.5358988009507878E-2</v>
      </c>
      <c r="AE113" s="21">
        <f t="shared" si="77"/>
        <v>7.9606723285500489E-2</v>
      </c>
      <c r="AF113" s="170">
        <f>Sizing!DU127</f>
        <v>6.7368736237725546E-2</v>
      </c>
      <c r="AG113" s="170">
        <f>Sizing!DV127</f>
        <v>0.25955488097457452</v>
      </c>
      <c r="AH113" s="170">
        <f>Sizing!DW127</f>
        <v>6.7368736237725546E-2</v>
      </c>
      <c r="AI113" s="272">
        <f>Sizing!DX127</f>
        <v>0.25955488097457452</v>
      </c>
      <c r="AJ113" s="216">
        <f>Sizing!GJ127</f>
        <v>0.25</v>
      </c>
      <c r="AK113" s="216">
        <f>Sizing!GK127</f>
        <v>1.5748031496062995E-2</v>
      </c>
      <c r="AL113" s="17">
        <f>Sizing!GL127</f>
        <v>1.5748031496062995E-2</v>
      </c>
      <c r="AM113" s="216">
        <f t="shared" si="50"/>
        <v>2.4179687736685367E-3</v>
      </c>
      <c r="AN113" s="138">
        <f t="shared" si="51"/>
        <v>7.2254596295506844E-4</v>
      </c>
      <c r="AO113" s="138">
        <f t="shared" si="52"/>
        <v>3.1405147366236051E-3</v>
      </c>
      <c r="AP113" s="311">
        <f t="shared" si="78"/>
        <v>9.1174174036886216E-3</v>
      </c>
      <c r="AQ113" s="11">
        <f t="shared" si="79"/>
        <v>2.7244988476904813E-3</v>
      </c>
      <c r="AR113" s="21">
        <f t="shared" si="80"/>
        <v>1.1841916251379103E-2</v>
      </c>
      <c r="AS113" s="11">
        <f t="shared" si="53"/>
        <v>4.8868651727096216E-3</v>
      </c>
      <c r="AT113" s="21">
        <f t="shared" si="54"/>
        <v>4.8868651727096216E-3</v>
      </c>
      <c r="AU113" s="170">
        <f>Sizing!JC127</f>
        <v>1.118139342754408E-3</v>
      </c>
      <c r="AV113" s="272">
        <f>Sizing!JD127</f>
        <v>3.3438590621532004E-2</v>
      </c>
      <c r="AW113" s="170">
        <f>Sizing!JC127</f>
        <v>1.118139342754408E-3</v>
      </c>
      <c r="AX113" s="272">
        <f>Sizing!JD127</f>
        <v>3.3438590621532004E-2</v>
      </c>
      <c r="AY113" s="216">
        <f>Sizing!IT127</f>
        <v>0.25</v>
      </c>
      <c r="AZ113" s="216">
        <f>Sizing!IU127</f>
        <v>1.5748031496062995E-2</v>
      </c>
      <c r="BA113" s="17">
        <f>Sizing!IV127</f>
        <v>1.5748031496062995E-2</v>
      </c>
      <c r="BB113" s="216">
        <f t="shared" si="55"/>
        <v>2.4179687736685367E-3</v>
      </c>
      <c r="BC113" s="138">
        <f t="shared" si="56"/>
        <v>7.2254596295506844E-4</v>
      </c>
      <c r="BD113" s="138">
        <f t="shared" si="57"/>
        <v>3.1405147366236051E-3</v>
      </c>
      <c r="BE113" s="311">
        <f t="shared" si="58"/>
        <v>4.5587087018443108E-3</v>
      </c>
      <c r="BF113" s="11">
        <f t="shared" si="59"/>
        <v>1.3622494238452406E-3</v>
      </c>
      <c r="BG113" s="21">
        <f t="shared" si="60"/>
        <v>5.9209581256895513E-3</v>
      </c>
      <c r="BH113" s="21">
        <f t="shared" si="61"/>
        <v>8.1108783057193073E-5</v>
      </c>
      <c r="BI113" s="21">
        <f t="shared" si="62"/>
        <v>8.1108783057193073E-5</v>
      </c>
      <c r="BJ113" s="561"/>
      <c r="BK113">
        <f t="shared" si="63"/>
        <v>0.73654858000000001</v>
      </c>
      <c r="BL113">
        <f t="shared" si="64"/>
        <v>0.73654858000000001</v>
      </c>
      <c r="BM113">
        <f>C113*'Inputs-Imperial'!$E$12</f>
        <v>0.36827429</v>
      </c>
      <c r="BN113">
        <f>C113*'Inputs-Imperial'!$E$12</f>
        <v>0.36827429</v>
      </c>
      <c r="BO113">
        <f>C113*'Inputs-Imperial'!$E$12</f>
        <v>0.36827429</v>
      </c>
      <c r="BP113">
        <f>C113*'Weight '!$E$15</f>
        <v>0.73654858000000001</v>
      </c>
      <c r="BQ113">
        <f>C113*'Weight '!$E$15</f>
        <v>0.73654858000000001</v>
      </c>
      <c r="BR113">
        <f>C113*'Weight '!$E$15</f>
        <v>0.73654858000000001</v>
      </c>
      <c r="BS113">
        <f t="shared" si="65"/>
        <v>0.13073814981846565</v>
      </c>
      <c r="BT113" s="564">
        <f t="shared" si="66"/>
        <v>0.18830887804005061</v>
      </c>
      <c r="BU113">
        <f t="shared" si="67"/>
        <v>0.69427501867787411</v>
      </c>
    </row>
    <row r="114" spans="1:73" x14ac:dyDescent="0.25">
      <c r="A114" s="186">
        <v>68</v>
      </c>
      <c r="B114" s="187">
        <f>A114/100*'Inputs-Imperial'!$E$5</f>
        <v>6.6929136000000007</v>
      </c>
      <c r="C114" s="188">
        <f>'Inputs-Imperial'!$E$10+('Inputs-Imperial'!$E$9-'Inputs-Imperial'!$E$10)*(100-A114)/100</f>
        <v>1.4632546399999999</v>
      </c>
      <c r="D114" s="187">
        <f t="shared" si="68"/>
        <v>9.8425200000000324E-2</v>
      </c>
      <c r="E114" s="188">
        <f t="shared" si="69"/>
        <v>0.14450550659268047</v>
      </c>
      <c r="F114" s="423">
        <f>Sizing!F128</f>
        <v>27.937224571860721</v>
      </c>
      <c r="G114" s="423">
        <f>Sizing!G128</f>
        <v>279.37224571860719</v>
      </c>
      <c r="H114" s="423">
        <f>Sizing!H128</f>
        <v>406.62183495244722</v>
      </c>
      <c r="I114" s="423">
        <f>Sizing!I128</f>
        <v>-186.0838398744242</v>
      </c>
      <c r="J114" s="189">
        <f>Sizing!J128</f>
        <v>40.662183495244712</v>
      </c>
      <c r="K114" s="128">
        <v>68</v>
      </c>
      <c r="L114" s="12">
        <f t="shared" si="45"/>
        <v>80.314963200000008</v>
      </c>
      <c r="M114" s="11">
        <f t="shared" si="45"/>
        <v>17.55905568</v>
      </c>
      <c r="N114" s="11">
        <f t="shared" si="45"/>
        <v>1.1811024000000039</v>
      </c>
      <c r="O114" s="152">
        <f t="shared" si="46"/>
        <v>20.808792949345985</v>
      </c>
      <c r="P114" s="8">
        <f t="shared" si="43"/>
        <v>3.1606300223999999</v>
      </c>
      <c r="Q114" s="12">
        <f t="shared" si="70"/>
        <v>3.745582730882278</v>
      </c>
      <c r="R114" s="8">
        <f t="shared" si="44"/>
        <v>1.5803150112</v>
      </c>
      <c r="S114" s="12">
        <f t="shared" si="71"/>
        <v>1.872791365441139</v>
      </c>
      <c r="T114" s="17">
        <f>Sizing!CN128</f>
        <v>0.25</v>
      </c>
      <c r="U114" s="17">
        <f>Sizing!CO128</f>
        <v>2.3622047244094495E-2</v>
      </c>
      <c r="V114" s="17">
        <f>Sizing!CP128</f>
        <v>1.5748031496062995E-2</v>
      </c>
      <c r="W114" s="128">
        <f t="shared" si="47"/>
        <v>3.0224609670856709E-3</v>
      </c>
      <c r="X114" s="2">
        <f t="shared" si="48"/>
        <v>7.2254596295506844E-4</v>
      </c>
      <c r="Y114" s="2">
        <f t="shared" si="49"/>
        <v>3.7450069300407392E-3</v>
      </c>
      <c r="Z114" s="216">
        <f t="shared" si="72"/>
        <v>6.4939539657238671E-2</v>
      </c>
      <c r="AA114" s="138">
        <f t="shared" si="73"/>
        <v>1.5524369951001052E-2</v>
      </c>
      <c r="AB114" s="17">
        <f t="shared" si="74"/>
        <v>8.0463909608239723E-2</v>
      </c>
      <c r="AC114" s="311">
        <f t="shared" si="75"/>
        <v>6.3819892421769039E-2</v>
      </c>
      <c r="AD114" s="316">
        <f t="shared" si="76"/>
        <v>1.5256708400121725E-2</v>
      </c>
      <c r="AE114" s="21">
        <f t="shared" si="77"/>
        <v>7.9076600821890761E-2</v>
      </c>
      <c r="AF114" s="170">
        <f>Sizing!DU128</f>
        <v>6.7368736237725546E-2</v>
      </c>
      <c r="AG114" s="170">
        <f>Sizing!DV128</f>
        <v>0.25955488097457452</v>
      </c>
      <c r="AH114" s="170">
        <f>Sizing!DW128</f>
        <v>6.7368736237725546E-2</v>
      </c>
      <c r="AI114" s="272">
        <f>Sizing!DX128</f>
        <v>0.25955488097457452</v>
      </c>
      <c r="AJ114" s="216">
        <f>Sizing!GJ128</f>
        <v>0.25</v>
      </c>
      <c r="AK114" s="216">
        <f>Sizing!GK128</f>
        <v>1.5748031496062995E-2</v>
      </c>
      <c r="AL114" s="17">
        <f>Sizing!GL128</f>
        <v>1.5748031496062995E-2</v>
      </c>
      <c r="AM114" s="216">
        <f t="shared" si="50"/>
        <v>2.4179687736685367E-3</v>
      </c>
      <c r="AN114" s="138">
        <f t="shared" si="51"/>
        <v>7.2254596295506844E-4</v>
      </c>
      <c r="AO114" s="138">
        <f t="shared" si="52"/>
        <v>3.1405147366236051E-3</v>
      </c>
      <c r="AP114" s="311">
        <f t="shared" si="78"/>
        <v>9.05670208246547E-3</v>
      </c>
      <c r="AQ114" s="11">
        <f t="shared" si="79"/>
        <v>2.7063556811132107E-3</v>
      </c>
      <c r="AR114" s="21">
        <f t="shared" si="80"/>
        <v>1.176305776357868E-2</v>
      </c>
      <c r="AS114" s="11">
        <f t="shared" si="53"/>
        <v>4.8868651727096667E-3</v>
      </c>
      <c r="AT114" s="21">
        <f t="shared" si="54"/>
        <v>4.8868651727096667E-3</v>
      </c>
      <c r="AU114" s="170">
        <f>Sizing!JC128</f>
        <v>1.118139342754408E-3</v>
      </c>
      <c r="AV114" s="272">
        <f>Sizing!JD128</f>
        <v>3.3438590621532004E-2</v>
      </c>
      <c r="AW114" s="170">
        <f>Sizing!JC128</f>
        <v>1.118139342754408E-3</v>
      </c>
      <c r="AX114" s="272">
        <f>Sizing!JD128</f>
        <v>3.3438590621532004E-2</v>
      </c>
      <c r="AY114" s="216">
        <f>Sizing!IT128</f>
        <v>0.25</v>
      </c>
      <c r="AZ114" s="216">
        <f>Sizing!IU128</f>
        <v>1.5748031496062995E-2</v>
      </c>
      <c r="BA114" s="17">
        <f>Sizing!IV128</f>
        <v>1.5748031496062995E-2</v>
      </c>
      <c r="BB114" s="216">
        <f t="shared" si="55"/>
        <v>2.4179687736685367E-3</v>
      </c>
      <c r="BC114" s="138">
        <f t="shared" si="56"/>
        <v>7.2254596295506844E-4</v>
      </c>
      <c r="BD114" s="138">
        <f t="shared" si="57"/>
        <v>3.1405147366236051E-3</v>
      </c>
      <c r="BE114" s="311">
        <f t="shared" si="58"/>
        <v>4.528351041232735E-3</v>
      </c>
      <c r="BF114" s="11">
        <f t="shared" si="59"/>
        <v>1.3531778405566053E-3</v>
      </c>
      <c r="BG114" s="21">
        <f t="shared" si="60"/>
        <v>5.8815288817893399E-3</v>
      </c>
      <c r="BH114" s="21">
        <f t="shared" si="61"/>
        <v>8.1108783057193804E-5</v>
      </c>
      <c r="BI114" s="21">
        <f t="shared" si="62"/>
        <v>8.1108783057193804E-5</v>
      </c>
      <c r="BJ114" s="561"/>
      <c r="BK114">
        <f t="shared" si="63"/>
        <v>0.73162731999999997</v>
      </c>
      <c r="BL114">
        <f t="shared" si="64"/>
        <v>0.73162731999999997</v>
      </c>
      <c r="BM114">
        <f>C114*'Inputs-Imperial'!$E$12</f>
        <v>0.36581365999999998</v>
      </c>
      <c r="BN114">
        <f>C114*'Inputs-Imperial'!$E$12</f>
        <v>0.36581365999999998</v>
      </c>
      <c r="BO114">
        <f>C114*'Inputs-Imperial'!$E$12</f>
        <v>0.36581365999999998</v>
      </c>
      <c r="BP114">
        <f>C114*'Weight '!$E$15</f>
        <v>0.73162731999999997</v>
      </c>
      <c r="BQ114">
        <f>C114*'Weight '!$E$15</f>
        <v>0.73162731999999997</v>
      </c>
      <c r="BR114">
        <f>C114*'Weight '!$E$15</f>
        <v>0.73162731999999997</v>
      </c>
      <c r="BS114">
        <f t="shared" si="65"/>
        <v>0.12902441737666479</v>
      </c>
      <c r="BT114" s="564">
        <f t="shared" si="66"/>
        <v>0.18712104498703225</v>
      </c>
      <c r="BU114">
        <f t="shared" si="67"/>
        <v>0.68952381804839946</v>
      </c>
    </row>
    <row r="115" spans="1:73" x14ac:dyDescent="0.25">
      <c r="A115" s="186">
        <v>69</v>
      </c>
      <c r="B115" s="187">
        <f>A115/100*'Inputs-Imperial'!$E$5</f>
        <v>6.7913388000000001</v>
      </c>
      <c r="C115" s="188">
        <f>'Inputs-Imperial'!$E$10+('Inputs-Imperial'!$E$9-'Inputs-Imperial'!$E$10)*(100-A115)/100</f>
        <v>1.4534121199999999</v>
      </c>
      <c r="D115" s="187">
        <f t="shared" si="68"/>
        <v>9.8425199999999435E-2</v>
      </c>
      <c r="E115" s="188">
        <f t="shared" si="69"/>
        <v>0.14353675459317516</v>
      </c>
      <c r="F115" s="423">
        <f>Sizing!F129</f>
        <v>26.836136177302233</v>
      </c>
      <c r="G115" s="423">
        <f>Sizing!G129</f>
        <v>268.36136177302234</v>
      </c>
      <c r="H115" s="423">
        <f>Sizing!H129</f>
        <v>379.12456579314431</v>
      </c>
      <c r="I115" s="423">
        <f>Sizing!I129</f>
        <v>-177.10525044034154</v>
      </c>
      <c r="J115" s="189">
        <f>Sizing!J129</f>
        <v>37.912456579314423</v>
      </c>
      <c r="K115" s="128">
        <v>69</v>
      </c>
      <c r="L115" s="12">
        <f t="shared" si="45"/>
        <v>81.496065600000009</v>
      </c>
      <c r="M115" s="11">
        <f t="shared" si="45"/>
        <v>17.44094544</v>
      </c>
      <c r="N115" s="11">
        <f t="shared" si="45"/>
        <v>1.1811023999999932</v>
      </c>
      <c r="O115" s="152">
        <f t="shared" si="46"/>
        <v>20.669292661417224</v>
      </c>
      <c r="P115" s="8">
        <f t="shared" si="43"/>
        <v>3.1393701791999997</v>
      </c>
      <c r="Q115" s="12">
        <f t="shared" si="70"/>
        <v>3.7204726790551002</v>
      </c>
      <c r="R115" s="8">
        <f t="shared" si="44"/>
        <v>1.5696850895999999</v>
      </c>
      <c r="S115" s="12">
        <f t="shared" si="71"/>
        <v>1.8602363395275501</v>
      </c>
      <c r="T115" s="17">
        <f>Sizing!CN129</f>
        <v>0.25</v>
      </c>
      <c r="U115" s="17">
        <f>Sizing!CO129</f>
        <v>2.3622047244094495E-2</v>
      </c>
      <c r="V115" s="17">
        <f>Sizing!CP129</f>
        <v>1.5748031496062995E-2</v>
      </c>
      <c r="W115" s="128">
        <f t="shared" si="47"/>
        <v>3.0224609670856709E-3</v>
      </c>
      <c r="X115" s="2">
        <f t="shared" si="48"/>
        <v>7.2254596295506844E-4</v>
      </c>
      <c r="Y115" s="2">
        <f t="shared" si="49"/>
        <v>3.7450069300407392E-3</v>
      </c>
      <c r="Z115" s="216">
        <f t="shared" si="72"/>
        <v>6.4504190788027563E-2</v>
      </c>
      <c r="AA115" s="138">
        <f t="shared" si="73"/>
        <v>1.5420295962502583E-2</v>
      </c>
      <c r="AB115" s="17">
        <f t="shared" si="74"/>
        <v>7.9924486750530141E-2</v>
      </c>
      <c r="AC115" s="311">
        <f t="shared" si="75"/>
        <v>6.3392049567544323E-2</v>
      </c>
      <c r="AD115" s="316">
        <f t="shared" si="76"/>
        <v>1.5154428790735298E-2</v>
      </c>
      <c r="AE115" s="21">
        <f t="shared" si="77"/>
        <v>7.8546478358279617E-2</v>
      </c>
      <c r="AF115" s="170">
        <f>Sizing!DU129</f>
        <v>6.7368736237725546E-2</v>
      </c>
      <c r="AG115" s="170">
        <f>Sizing!DV129</f>
        <v>0.25955488097457452</v>
      </c>
      <c r="AH115" s="170">
        <f>Sizing!DW129</f>
        <v>6.7368736237725546E-2</v>
      </c>
      <c r="AI115" s="272">
        <f>Sizing!DX129</f>
        <v>0.25955488097457452</v>
      </c>
      <c r="AJ115" s="216">
        <f>Sizing!GJ129</f>
        <v>0.25</v>
      </c>
      <c r="AK115" s="216">
        <f>Sizing!GK129</f>
        <v>1.5748031496062995E-2</v>
      </c>
      <c r="AL115" s="17">
        <f>Sizing!GL129</f>
        <v>1.5748031496062995E-2</v>
      </c>
      <c r="AM115" s="216">
        <f t="shared" si="50"/>
        <v>2.4179687736685367E-3</v>
      </c>
      <c r="AN115" s="138">
        <f t="shared" si="51"/>
        <v>7.2254596295506844E-4</v>
      </c>
      <c r="AO115" s="138">
        <f t="shared" si="52"/>
        <v>3.1405147366236051E-3</v>
      </c>
      <c r="AP115" s="311">
        <f t="shared" si="78"/>
        <v>8.9959867612421553E-3</v>
      </c>
      <c r="AQ115" s="11">
        <f t="shared" si="79"/>
        <v>2.6882125145358906E-3</v>
      </c>
      <c r="AR115" s="21">
        <f t="shared" si="80"/>
        <v>1.1684199275778046E-2</v>
      </c>
      <c r="AS115" s="11">
        <f t="shared" si="53"/>
        <v>4.8868651727096216E-3</v>
      </c>
      <c r="AT115" s="21">
        <f t="shared" si="54"/>
        <v>4.8868651727096216E-3</v>
      </c>
      <c r="AU115" s="170">
        <f>Sizing!JC129</f>
        <v>1.118139342754408E-3</v>
      </c>
      <c r="AV115" s="272">
        <f>Sizing!JD129</f>
        <v>3.3438590621532004E-2</v>
      </c>
      <c r="AW115" s="170">
        <f>Sizing!JC129</f>
        <v>1.118139342754408E-3</v>
      </c>
      <c r="AX115" s="272">
        <f>Sizing!JD129</f>
        <v>3.3438590621532004E-2</v>
      </c>
      <c r="AY115" s="216">
        <f>Sizing!IT129</f>
        <v>0.25</v>
      </c>
      <c r="AZ115" s="216">
        <f>Sizing!IU129</f>
        <v>1.5748031496062995E-2</v>
      </c>
      <c r="BA115" s="17">
        <f>Sizing!IV129</f>
        <v>1.5748031496062995E-2</v>
      </c>
      <c r="BB115" s="216">
        <f t="shared" si="55"/>
        <v>2.4179687736685367E-3</v>
      </c>
      <c r="BC115" s="138">
        <f t="shared" si="56"/>
        <v>7.2254596295506844E-4</v>
      </c>
      <c r="BD115" s="138">
        <f t="shared" si="57"/>
        <v>3.1405147366236051E-3</v>
      </c>
      <c r="BE115" s="311">
        <f t="shared" si="58"/>
        <v>4.4979933806210777E-3</v>
      </c>
      <c r="BF115" s="11">
        <f t="shared" si="59"/>
        <v>1.3441062572679453E-3</v>
      </c>
      <c r="BG115" s="21">
        <f t="shared" si="60"/>
        <v>5.8420996378890228E-3</v>
      </c>
      <c r="BH115" s="21">
        <f t="shared" si="61"/>
        <v>8.1108783057193073E-5</v>
      </c>
      <c r="BI115" s="21">
        <f t="shared" si="62"/>
        <v>8.1108783057193073E-5</v>
      </c>
      <c r="BJ115" s="561"/>
      <c r="BK115">
        <f t="shared" si="63"/>
        <v>0.72670605999999993</v>
      </c>
      <c r="BL115">
        <f t="shared" si="64"/>
        <v>0.72670605999999993</v>
      </c>
      <c r="BM115">
        <f>C115*'Inputs-Imperial'!$E$12</f>
        <v>0.36335302999999997</v>
      </c>
      <c r="BN115">
        <f>C115*'Inputs-Imperial'!$E$12</f>
        <v>0.36335302999999997</v>
      </c>
      <c r="BO115">
        <f>C115*'Inputs-Imperial'!$E$12</f>
        <v>0.36335302999999997</v>
      </c>
      <c r="BP115">
        <f>C115*'Weight '!$E$15</f>
        <v>0.72670605999999993</v>
      </c>
      <c r="BQ115">
        <f>C115*'Weight '!$E$15</f>
        <v>0.72670605999999993</v>
      </c>
      <c r="BR115">
        <f>C115*'Weight '!$E$15</f>
        <v>0.72670605999999993</v>
      </c>
      <c r="BS115">
        <f t="shared" si="65"/>
        <v>0.12732198812232093</v>
      </c>
      <c r="BT115" s="564">
        <f t="shared" si="66"/>
        <v>0.18593321193401047</v>
      </c>
      <c r="BU115">
        <f t="shared" si="67"/>
        <v>0.68477270304731119</v>
      </c>
    </row>
    <row r="116" spans="1:73" x14ac:dyDescent="0.25">
      <c r="A116" s="186">
        <v>70</v>
      </c>
      <c r="B116" s="187">
        <f>A116/100*'Inputs-Imperial'!$E$5</f>
        <v>6.8897639999999996</v>
      </c>
      <c r="C116" s="188">
        <f>'Inputs-Imperial'!$E$10+('Inputs-Imperial'!$E$9-'Inputs-Imperial'!$E$10)*(100-A116)/100</f>
        <v>1.4435696</v>
      </c>
      <c r="D116" s="187">
        <f t="shared" si="68"/>
        <v>9.8425199999999435E-2</v>
      </c>
      <c r="E116" s="188">
        <f t="shared" si="69"/>
        <v>0.14256800259367117</v>
      </c>
      <c r="F116" s="423">
        <f>Sizing!F130</f>
        <v>25.746043020157206</v>
      </c>
      <c r="G116" s="423">
        <f>Sizing!G130</f>
        <v>257.46043020157208</v>
      </c>
      <c r="H116" s="423">
        <f>Sizing!H130</f>
        <v>352.71104508836237</v>
      </c>
      <c r="I116" s="423">
        <f>Sizing!I130</f>
        <v>-168.30634937571318</v>
      </c>
      <c r="J116" s="189">
        <f>Sizing!J130</f>
        <v>35.271104508836231</v>
      </c>
      <c r="K116" s="128">
        <v>70</v>
      </c>
      <c r="L116" s="12">
        <f t="shared" si="45"/>
        <v>82.677167999999995</v>
      </c>
      <c r="M116" s="11">
        <f t="shared" si="45"/>
        <v>17.3228352</v>
      </c>
      <c r="N116" s="11">
        <f t="shared" si="45"/>
        <v>1.1811023999999932</v>
      </c>
      <c r="O116" s="152">
        <f t="shared" si="46"/>
        <v>20.529792373488647</v>
      </c>
      <c r="P116" s="8">
        <f t="shared" si="43"/>
        <v>3.118110336</v>
      </c>
      <c r="Q116" s="12">
        <f t="shared" si="70"/>
        <v>3.6953626272279565</v>
      </c>
      <c r="R116" s="8">
        <f t="shared" si="44"/>
        <v>1.559055168</v>
      </c>
      <c r="S116" s="12">
        <f t="shared" si="71"/>
        <v>1.8476813136139782</v>
      </c>
      <c r="T116" s="17">
        <f>Sizing!CN130</f>
        <v>0.25</v>
      </c>
      <c r="U116" s="17">
        <f>Sizing!CO130</f>
        <v>2.3622047244094495E-2</v>
      </c>
      <c r="V116" s="17">
        <f>Sizing!CP130</f>
        <v>1.5748031496062995E-2</v>
      </c>
      <c r="W116" s="128">
        <f t="shared" si="47"/>
        <v>3.0224609670856709E-3</v>
      </c>
      <c r="X116" s="2">
        <f t="shared" si="48"/>
        <v>7.2254596295506844E-4</v>
      </c>
      <c r="Y116" s="2">
        <f t="shared" si="49"/>
        <v>3.7450069300407392E-3</v>
      </c>
      <c r="Z116" s="216">
        <f t="shared" si="72"/>
        <v>6.406884191881701E-2</v>
      </c>
      <c r="AA116" s="138">
        <f t="shared" si="73"/>
        <v>1.5316221974004252E-2</v>
      </c>
      <c r="AB116" s="17">
        <f t="shared" si="74"/>
        <v>7.9385063892821267E-2</v>
      </c>
      <c r="AC116" s="311">
        <f t="shared" si="75"/>
        <v>6.2964206713320162E-2</v>
      </c>
      <c r="AD116" s="316">
        <f t="shared" si="76"/>
        <v>1.5052149181349006E-2</v>
      </c>
      <c r="AE116" s="21">
        <f t="shared" si="77"/>
        <v>7.8016355894669168E-2</v>
      </c>
      <c r="AF116" s="170">
        <f>Sizing!DU130</f>
        <v>3.7417273971028842E-2</v>
      </c>
      <c r="AG116" s="170">
        <f>Sizing!DV130</f>
        <v>0.19343545169132995</v>
      </c>
      <c r="AH116" s="170">
        <f>Sizing!DW130</f>
        <v>3.7417273971028842E-2</v>
      </c>
      <c r="AI116" s="272">
        <f>Sizing!DX130</f>
        <v>0.19343545169132995</v>
      </c>
      <c r="AJ116" s="216">
        <f>Sizing!GJ130</f>
        <v>0.25</v>
      </c>
      <c r="AK116" s="216">
        <f>Sizing!GK130</f>
        <v>1.5748031496062995E-2</v>
      </c>
      <c r="AL116" s="17">
        <f>Sizing!GL130</f>
        <v>1.5748031496062995E-2</v>
      </c>
      <c r="AM116" s="216">
        <f t="shared" si="50"/>
        <v>2.4179687736685367E-3</v>
      </c>
      <c r="AN116" s="138">
        <f t="shared" si="51"/>
        <v>7.2254596295506844E-4</v>
      </c>
      <c r="AO116" s="138">
        <f t="shared" si="52"/>
        <v>3.1405147366236051E-3</v>
      </c>
      <c r="AP116" s="311">
        <f t="shared" si="78"/>
        <v>8.9352714400189239E-3</v>
      </c>
      <c r="AQ116" s="11">
        <f t="shared" si="79"/>
        <v>2.6700693479585953E-3</v>
      </c>
      <c r="AR116" s="21">
        <f t="shared" si="80"/>
        <v>1.1605340787977519E-2</v>
      </c>
      <c r="AS116" s="11">
        <f t="shared" si="53"/>
        <v>2.7142140885872798E-3</v>
      </c>
      <c r="AT116" s="21">
        <f t="shared" si="54"/>
        <v>2.7142140885872798E-3</v>
      </c>
      <c r="AU116" s="170">
        <f>Sizing!JC130</f>
        <v>6.3172897578446421E-4</v>
      </c>
      <c r="AV116" s="272">
        <f>Sizing!JD130</f>
        <v>2.5134219219710489E-2</v>
      </c>
      <c r="AW116" s="170">
        <f>Sizing!JC130</f>
        <v>6.3172897578446421E-4</v>
      </c>
      <c r="AX116" s="272">
        <f>Sizing!JD130</f>
        <v>2.5134219219710489E-2</v>
      </c>
      <c r="AY116" s="216">
        <f>Sizing!IT130</f>
        <v>0.25</v>
      </c>
      <c r="AZ116" s="216">
        <f>Sizing!IU130</f>
        <v>1.5748031496062995E-2</v>
      </c>
      <c r="BA116" s="17">
        <f>Sizing!IV130</f>
        <v>1.5748031496062995E-2</v>
      </c>
      <c r="BB116" s="216">
        <f t="shared" si="55"/>
        <v>2.4179687736685367E-3</v>
      </c>
      <c r="BC116" s="138">
        <f t="shared" si="56"/>
        <v>7.2254596295506844E-4</v>
      </c>
      <c r="BD116" s="138">
        <f t="shared" si="57"/>
        <v>3.1405147366236051E-3</v>
      </c>
      <c r="BE116" s="311">
        <f t="shared" si="58"/>
        <v>4.467635720009462E-3</v>
      </c>
      <c r="BF116" s="11">
        <f t="shared" si="59"/>
        <v>1.3350346739792976E-3</v>
      </c>
      <c r="BG116" s="21">
        <f t="shared" si="60"/>
        <v>5.8026703939887594E-3</v>
      </c>
      <c r="BH116" s="21">
        <f t="shared" si="61"/>
        <v>4.5825029572453877E-5</v>
      </c>
      <c r="BI116" s="21">
        <f t="shared" si="62"/>
        <v>4.5825029572453877E-5</v>
      </c>
      <c r="BJ116" s="561"/>
      <c r="BK116">
        <f t="shared" si="63"/>
        <v>0.7217848</v>
      </c>
      <c r="BL116">
        <f t="shared" si="64"/>
        <v>0.7217848</v>
      </c>
      <c r="BM116">
        <f>C116*'Inputs-Imperial'!$E$12</f>
        <v>0.3608924</v>
      </c>
      <c r="BN116">
        <f>C116*'Inputs-Imperial'!$E$12</f>
        <v>0.3608924</v>
      </c>
      <c r="BO116">
        <f>C116*'Inputs-Imperial'!$E$12</f>
        <v>0.3608924</v>
      </c>
      <c r="BP116">
        <f>C116*'Weight '!$E$15</f>
        <v>0.7217848</v>
      </c>
      <c r="BQ116">
        <f>C116*'Weight '!$E$15</f>
        <v>0.7217848</v>
      </c>
      <c r="BR116">
        <f>C116*'Weight '!$E$15</f>
        <v>0.7217848</v>
      </c>
      <c r="BS116">
        <f t="shared" si="65"/>
        <v>0.12401174097331008</v>
      </c>
      <c r="BT116" s="564">
        <f t="shared" si="66"/>
        <v>0.18032950920577617</v>
      </c>
      <c r="BU116">
        <f t="shared" si="67"/>
        <v>0.68769521704735959</v>
      </c>
    </row>
    <row r="117" spans="1:73" x14ac:dyDescent="0.25">
      <c r="A117" s="186">
        <v>71</v>
      </c>
      <c r="B117" s="187">
        <f>A117/100*'Inputs-Imperial'!$E$5</f>
        <v>6.9881891999999999</v>
      </c>
      <c r="C117" s="188">
        <f>'Inputs-Imperial'!$E$10+('Inputs-Imperial'!$E$9-'Inputs-Imperial'!$E$10)*(100-A117)/100</f>
        <v>1.4337270799999999</v>
      </c>
      <c r="D117" s="187">
        <f t="shared" si="68"/>
        <v>9.8425200000000324E-2</v>
      </c>
      <c r="E117" s="188">
        <f t="shared" si="69"/>
        <v>0.14159925059416845</v>
      </c>
      <c r="F117" s="423">
        <f>Sizing!F131</f>
        <v>24.667152866305244</v>
      </c>
      <c r="G117" s="423">
        <f>Sizing!G131</f>
        <v>246.67152866305247</v>
      </c>
      <c r="H117" s="423">
        <f>Sizing!H131</f>
        <v>327.3704507536865</v>
      </c>
      <c r="I117" s="423">
        <f>Sizing!I131</f>
        <v>-159.68868230273384</v>
      </c>
      <c r="J117" s="189">
        <f>Sizing!J131</f>
        <v>32.737045075368648</v>
      </c>
      <c r="K117" s="128">
        <v>71</v>
      </c>
      <c r="L117" s="12">
        <f t="shared" si="45"/>
        <v>83.858270399999995</v>
      </c>
      <c r="M117" s="11">
        <f t="shared" si="45"/>
        <v>17.20472496</v>
      </c>
      <c r="N117" s="11">
        <f t="shared" si="45"/>
        <v>1.1811024000000039</v>
      </c>
      <c r="O117" s="152">
        <f t="shared" si="46"/>
        <v>20.390292085560255</v>
      </c>
      <c r="P117" s="8">
        <f t="shared" si="43"/>
        <v>3.0968504927999998</v>
      </c>
      <c r="Q117" s="12">
        <f t="shared" si="70"/>
        <v>3.6702525754008466</v>
      </c>
      <c r="R117" s="8">
        <f t="shared" si="44"/>
        <v>1.5484252463999999</v>
      </c>
      <c r="S117" s="12">
        <f t="shared" si="71"/>
        <v>1.8351262877004233</v>
      </c>
      <c r="T117" s="17">
        <f>Sizing!CN131</f>
        <v>0.25</v>
      </c>
      <c r="U117" s="17">
        <f>Sizing!CO131</f>
        <v>2.3622047244094495E-2</v>
      </c>
      <c r="V117" s="17">
        <f>Sizing!CP131</f>
        <v>1.5748031496062995E-2</v>
      </c>
      <c r="W117" s="128">
        <f t="shared" si="47"/>
        <v>3.0224609670856709E-3</v>
      </c>
      <c r="X117" s="2">
        <f t="shared" si="48"/>
        <v>7.2254596295506844E-4</v>
      </c>
      <c r="Y117" s="2">
        <f t="shared" si="49"/>
        <v>3.7450069300407392E-3</v>
      </c>
      <c r="Z117" s="216">
        <f t="shared" si="72"/>
        <v>6.3633493049607054E-2</v>
      </c>
      <c r="AA117" s="138">
        <f t="shared" si="73"/>
        <v>1.5212147985506057E-2</v>
      </c>
      <c r="AB117" s="17">
        <f t="shared" si="74"/>
        <v>7.8845641035113101E-2</v>
      </c>
      <c r="AC117" s="311">
        <f t="shared" si="75"/>
        <v>6.2536363859096583E-2</v>
      </c>
      <c r="AD117" s="316">
        <f t="shared" si="76"/>
        <v>1.494986957196285E-2</v>
      </c>
      <c r="AE117" s="21">
        <f t="shared" si="77"/>
        <v>7.7486233431059426E-2</v>
      </c>
      <c r="AF117" s="170">
        <f>Sizing!DU131</f>
        <v>3.7417273971028842E-2</v>
      </c>
      <c r="AG117" s="170">
        <f>Sizing!DV131</f>
        <v>0.19343545169132995</v>
      </c>
      <c r="AH117" s="170">
        <f>Sizing!DW131</f>
        <v>3.7417273971028842E-2</v>
      </c>
      <c r="AI117" s="272">
        <f>Sizing!DX131</f>
        <v>0.19343545169132995</v>
      </c>
      <c r="AJ117" s="216">
        <f>Sizing!GJ131</f>
        <v>0.25</v>
      </c>
      <c r="AK117" s="216">
        <f>Sizing!GK131</f>
        <v>1.5748031496062995E-2</v>
      </c>
      <c r="AL117" s="17">
        <f>Sizing!GL131</f>
        <v>1.5748031496062995E-2</v>
      </c>
      <c r="AM117" s="216">
        <f t="shared" si="50"/>
        <v>2.4179687736685367E-3</v>
      </c>
      <c r="AN117" s="138">
        <f t="shared" si="51"/>
        <v>7.2254596295506844E-4</v>
      </c>
      <c r="AO117" s="138">
        <f t="shared" si="52"/>
        <v>3.1405147366236051E-3</v>
      </c>
      <c r="AP117" s="311">
        <f t="shared" si="78"/>
        <v>8.874556118795774E-3</v>
      </c>
      <c r="AQ117" s="11">
        <f t="shared" si="79"/>
        <v>2.6519261813813247E-3</v>
      </c>
      <c r="AR117" s="21">
        <f t="shared" si="80"/>
        <v>1.1526482300177098E-2</v>
      </c>
      <c r="AS117" s="11">
        <f t="shared" si="53"/>
        <v>2.7142140885873045E-3</v>
      </c>
      <c r="AT117" s="21">
        <f t="shared" si="54"/>
        <v>2.7142140885873045E-3</v>
      </c>
      <c r="AU117" s="170">
        <f>Sizing!JC131</f>
        <v>6.3172897578446421E-4</v>
      </c>
      <c r="AV117" s="272">
        <f>Sizing!JD131</f>
        <v>2.5134219219710489E-2</v>
      </c>
      <c r="AW117" s="170">
        <f>Sizing!JC131</f>
        <v>6.3172897578446421E-4</v>
      </c>
      <c r="AX117" s="272">
        <f>Sizing!JD131</f>
        <v>2.5134219219710489E-2</v>
      </c>
      <c r="AY117" s="216">
        <f>Sizing!IT131</f>
        <v>0.25</v>
      </c>
      <c r="AZ117" s="216">
        <f>Sizing!IU131</f>
        <v>1.5748031496062995E-2</v>
      </c>
      <c r="BA117" s="17">
        <f>Sizing!IV131</f>
        <v>1.5748031496062995E-2</v>
      </c>
      <c r="BB117" s="216">
        <f t="shared" si="55"/>
        <v>2.4179687736685367E-3</v>
      </c>
      <c r="BC117" s="138">
        <f t="shared" si="56"/>
        <v>7.2254596295506844E-4</v>
      </c>
      <c r="BD117" s="138">
        <f t="shared" si="57"/>
        <v>3.1405147366236051E-3</v>
      </c>
      <c r="BE117" s="311">
        <f t="shared" si="58"/>
        <v>4.437278059397887E-3</v>
      </c>
      <c r="BF117" s="11">
        <f t="shared" si="59"/>
        <v>1.3259630906906623E-3</v>
      </c>
      <c r="BG117" s="21">
        <f t="shared" si="60"/>
        <v>5.7632411500885489E-3</v>
      </c>
      <c r="BH117" s="21">
        <f t="shared" si="61"/>
        <v>4.582502957245429E-5</v>
      </c>
      <c r="BI117" s="21">
        <f t="shared" si="62"/>
        <v>4.582502957245429E-5</v>
      </c>
      <c r="BJ117" s="561"/>
      <c r="BK117">
        <f t="shared" si="63"/>
        <v>0.71686353999999997</v>
      </c>
      <c r="BL117">
        <f t="shared" si="64"/>
        <v>0.71686353999999997</v>
      </c>
      <c r="BM117">
        <f>C117*'Inputs-Imperial'!$E$12</f>
        <v>0.35843176999999998</v>
      </c>
      <c r="BN117">
        <f>C117*'Inputs-Imperial'!$E$12</f>
        <v>0.35843176999999998</v>
      </c>
      <c r="BO117">
        <f>C117*'Inputs-Imperial'!$E$12</f>
        <v>0.35843176999999998</v>
      </c>
      <c r="BP117">
        <f>C117*'Weight '!$E$15</f>
        <v>0.71686353999999997</v>
      </c>
      <c r="BQ117">
        <f>C117*'Weight '!$E$15</f>
        <v>0.71686353999999997</v>
      </c>
      <c r="BR117">
        <f>C117*'Weight '!$E$15</f>
        <v>0.71686353999999997</v>
      </c>
      <c r="BS117">
        <f t="shared" si="65"/>
        <v>0.12234295755581075</v>
      </c>
      <c r="BT117" s="564">
        <f t="shared" si="66"/>
        <v>0.1791416761527577</v>
      </c>
      <c r="BU117">
        <f t="shared" si="67"/>
        <v>0.68293967201404582</v>
      </c>
    </row>
    <row r="118" spans="1:73" x14ac:dyDescent="0.25">
      <c r="A118" s="186">
        <v>72</v>
      </c>
      <c r="B118" s="187">
        <f>A118/100*'Inputs-Imperial'!$E$5</f>
        <v>7.0866144000000002</v>
      </c>
      <c r="C118" s="188">
        <f>'Inputs-Imperial'!$E$10+('Inputs-Imperial'!$E$9-'Inputs-Imperial'!$E$10)*(100-A118)/100</f>
        <v>1.4238845599999999</v>
      </c>
      <c r="D118" s="187">
        <f t="shared" si="68"/>
        <v>9.8425200000000324E-2</v>
      </c>
      <c r="E118" s="188">
        <f t="shared" si="69"/>
        <v>0.14063049859466445</v>
      </c>
      <c r="F118" s="423">
        <f>Sizing!F132</f>
        <v>23.599682227659756</v>
      </c>
      <c r="G118" s="423">
        <f>Sizing!G132</f>
        <v>235.99682227659758</v>
      </c>
      <c r="H118" s="423">
        <f>Sizing!H132</f>
        <v>303.09175621071972</v>
      </c>
      <c r="I118" s="423">
        <f>Sizing!I132</f>
        <v>-151.25383083995459</v>
      </c>
      <c r="J118" s="189">
        <f>Sizing!J132</f>
        <v>30.309175621071972</v>
      </c>
      <c r="K118" s="128">
        <v>72</v>
      </c>
      <c r="L118" s="12">
        <f t="shared" si="45"/>
        <v>85.039372799999995</v>
      </c>
      <c r="M118" s="11">
        <f t="shared" si="45"/>
        <v>17.08661472</v>
      </c>
      <c r="N118" s="11">
        <f t="shared" si="45"/>
        <v>1.1811024000000039</v>
      </c>
      <c r="O118" s="152">
        <f t="shared" si="46"/>
        <v>20.250791797631678</v>
      </c>
      <c r="P118" s="8">
        <f t="shared" si="43"/>
        <v>3.0755906496000001</v>
      </c>
      <c r="Q118" s="12">
        <f t="shared" si="70"/>
        <v>3.6451425235737029</v>
      </c>
      <c r="R118" s="8">
        <f t="shared" si="44"/>
        <v>1.5377953248</v>
      </c>
      <c r="S118" s="12">
        <f t="shared" si="71"/>
        <v>1.8225712617868515</v>
      </c>
      <c r="T118" s="17">
        <f>Sizing!CN132</f>
        <v>0.25</v>
      </c>
      <c r="U118" s="17">
        <f>Sizing!CO132</f>
        <v>2.3622047244094495E-2</v>
      </c>
      <c r="V118" s="17">
        <f>Sizing!CP132</f>
        <v>1.5748031496062995E-2</v>
      </c>
      <c r="W118" s="128">
        <f t="shared" si="47"/>
        <v>3.0224609670856709E-3</v>
      </c>
      <c r="X118" s="2">
        <f t="shared" si="48"/>
        <v>7.2254596295506844E-4</v>
      </c>
      <c r="Y118" s="2">
        <f t="shared" si="49"/>
        <v>3.7450069300407392E-3</v>
      </c>
      <c r="Z118" s="216">
        <f t="shared" si="72"/>
        <v>6.3198144180396515E-2</v>
      </c>
      <c r="AA118" s="138">
        <f t="shared" si="73"/>
        <v>1.5108073997007728E-2</v>
      </c>
      <c r="AB118" s="17">
        <f t="shared" si="74"/>
        <v>7.8306218177404241E-2</v>
      </c>
      <c r="AC118" s="311">
        <f t="shared" si="75"/>
        <v>6.2108521004872436E-2</v>
      </c>
      <c r="AD118" s="316">
        <f t="shared" si="76"/>
        <v>1.484758996257656E-2</v>
      </c>
      <c r="AE118" s="21">
        <f t="shared" si="77"/>
        <v>7.6956110967449004E-2</v>
      </c>
      <c r="AF118" s="170">
        <f>Sizing!DU132</f>
        <v>3.7417273971028842E-2</v>
      </c>
      <c r="AG118" s="170">
        <f>Sizing!DV132</f>
        <v>0.19343545169132995</v>
      </c>
      <c r="AH118" s="170">
        <f>Sizing!DW132</f>
        <v>3.7417273971028842E-2</v>
      </c>
      <c r="AI118" s="272">
        <f>Sizing!DX132</f>
        <v>0.19343545169132995</v>
      </c>
      <c r="AJ118" s="216">
        <f>Sizing!GJ132</f>
        <v>0.25</v>
      </c>
      <c r="AK118" s="216">
        <f>Sizing!GK132</f>
        <v>1.5748031496062995E-2</v>
      </c>
      <c r="AL118" s="17">
        <f>Sizing!GL132</f>
        <v>1.5748031496062995E-2</v>
      </c>
      <c r="AM118" s="216">
        <f t="shared" si="50"/>
        <v>2.4179687736685367E-3</v>
      </c>
      <c r="AN118" s="138">
        <f t="shared" si="51"/>
        <v>7.2254596295506844E-4</v>
      </c>
      <c r="AO118" s="138">
        <f t="shared" si="52"/>
        <v>3.1405147366236051E-3</v>
      </c>
      <c r="AP118" s="311">
        <f t="shared" si="78"/>
        <v>8.8138407975725409E-3</v>
      </c>
      <c r="AQ118" s="11">
        <f t="shared" si="79"/>
        <v>2.6337830148040293E-3</v>
      </c>
      <c r="AR118" s="21">
        <f t="shared" si="80"/>
        <v>1.1447623812376571E-2</v>
      </c>
      <c r="AS118" s="11">
        <f t="shared" si="53"/>
        <v>2.7142140885873045E-3</v>
      </c>
      <c r="AT118" s="21">
        <f t="shared" si="54"/>
        <v>2.7142140885873045E-3</v>
      </c>
      <c r="AU118" s="170">
        <f>Sizing!JC132</f>
        <v>6.3172897578446421E-4</v>
      </c>
      <c r="AV118" s="272">
        <f>Sizing!JD132</f>
        <v>2.5134219219710489E-2</v>
      </c>
      <c r="AW118" s="170">
        <f>Sizing!JC132</f>
        <v>6.3172897578446421E-4</v>
      </c>
      <c r="AX118" s="272">
        <f>Sizing!JD132</f>
        <v>2.5134219219710489E-2</v>
      </c>
      <c r="AY118" s="216">
        <f>Sizing!IT132</f>
        <v>0.25</v>
      </c>
      <c r="AZ118" s="216">
        <f>Sizing!IU132</f>
        <v>1.5748031496062995E-2</v>
      </c>
      <c r="BA118" s="17">
        <f>Sizing!IV132</f>
        <v>1.5748031496062995E-2</v>
      </c>
      <c r="BB118" s="216">
        <f t="shared" si="55"/>
        <v>2.4179687736685367E-3</v>
      </c>
      <c r="BC118" s="138">
        <f t="shared" si="56"/>
        <v>7.2254596295506844E-4</v>
      </c>
      <c r="BD118" s="138">
        <f t="shared" si="57"/>
        <v>3.1405147366236051E-3</v>
      </c>
      <c r="BE118" s="311">
        <f t="shared" si="58"/>
        <v>4.4069203987862704E-3</v>
      </c>
      <c r="BF118" s="11">
        <f t="shared" si="59"/>
        <v>1.3168915074020147E-3</v>
      </c>
      <c r="BG118" s="21">
        <f t="shared" si="60"/>
        <v>5.7238119061882855E-3</v>
      </c>
      <c r="BH118" s="21">
        <f t="shared" si="61"/>
        <v>4.582502957245429E-5</v>
      </c>
      <c r="BI118" s="21">
        <f t="shared" si="62"/>
        <v>4.582502957245429E-5</v>
      </c>
      <c r="BJ118" s="561"/>
      <c r="BK118">
        <f t="shared" si="63"/>
        <v>0.71194227999999993</v>
      </c>
      <c r="BL118">
        <f t="shared" si="64"/>
        <v>0.71194227999999993</v>
      </c>
      <c r="BM118">
        <f>C118*'Inputs-Imperial'!$E$12</f>
        <v>0.35597113999999996</v>
      </c>
      <c r="BN118">
        <f>C118*'Inputs-Imperial'!$E$12</f>
        <v>0.35597113999999996</v>
      </c>
      <c r="BO118">
        <f>C118*'Inputs-Imperial'!$E$12</f>
        <v>0.35597113999999996</v>
      </c>
      <c r="BP118">
        <f>C118*'Weight '!$E$15</f>
        <v>0.71194227999999993</v>
      </c>
      <c r="BQ118">
        <f>C118*'Weight '!$E$15</f>
        <v>0.71194227999999993</v>
      </c>
      <c r="BR118">
        <f>C118*'Weight '!$E$15</f>
        <v>0.71194227999999993</v>
      </c>
      <c r="BS118">
        <f t="shared" si="65"/>
        <v>0.12068547732576966</v>
      </c>
      <c r="BT118" s="564">
        <f t="shared" si="66"/>
        <v>0.17795384309973761</v>
      </c>
      <c r="BU118">
        <f t="shared" si="67"/>
        <v>0.67818415845129676</v>
      </c>
    </row>
    <row r="119" spans="1:73" x14ac:dyDescent="0.25">
      <c r="A119" s="186">
        <v>73</v>
      </c>
      <c r="B119" s="187">
        <f>A119/100*'Inputs-Imperial'!$E$5</f>
        <v>7.1850396000000005</v>
      </c>
      <c r="C119" s="188">
        <f>'Inputs-Imperial'!$E$10+('Inputs-Imperial'!$E$9-'Inputs-Imperial'!$E$10)*(100-A119)/100</f>
        <v>1.41404204</v>
      </c>
      <c r="D119" s="187">
        <f t="shared" si="68"/>
        <v>9.8425200000000324E-2</v>
      </c>
      <c r="E119" s="188">
        <f t="shared" si="69"/>
        <v>0.13966174659516045</v>
      </c>
      <c r="F119" s="423">
        <f>Sizing!F133</f>
        <v>22.543857132782382</v>
      </c>
      <c r="G119" s="423">
        <f>Sizing!G133</f>
        <v>225.43857132782387</v>
      </c>
      <c r="H119" s="423">
        <f>Sizing!H133</f>
        <v>279.8637217787811</v>
      </c>
      <c r="I119" s="423">
        <f>Sizing!I133</f>
        <v>-143.00341685487268</v>
      </c>
      <c r="J119" s="189">
        <f>Sizing!J133</f>
        <v>27.986372177878106</v>
      </c>
      <c r="K119" s="128">
        <v>73</v>
      </c>
      <c r="L119" s="12">
        <f t="shared" si="45"/>
        <v>86.22047520000001</v>
      </c>
      <c r="M119" s="11">
        <f t="shared" si="45"/>
        <v>16.96850448</v>
      </c>
      <c r="N119" s="11">
        <f t="shared" si="45"/>
        <v>1.1811024000000039</v>
      </c>
      <c r="O119" s="152">
        <f t="shared" si="46"/>
        <v>20.111291509703104</v>
      </c>
      <c r="P119" s="8">
        <f t="shared" si="43"/>
        <v>3.0543308063999999</v>
      </c>
      <c r="Q119" s="12">
        <f t="shared" si="70"/>
        <v>3.6200324717465588</v>
      </c>
      <c r="R119" s="8">
        <f t="shared" si="44"/>
        <v>1.5271654031999999</v>
      </c>
      <c r="S119" s="12">
        <f t="shared" si="71"/>
        <v>1.8100162358732794</v>
      </c>
      <c r="T119" s="17">
        <f>Sizing!CN133</f>
        <v>0.25</v>
      </c>
      <c r="U119" s="17">
        <f>Sizing!CO133</f>
        <v>2.3622047244094495E-2</v>
      </c>
      <c r="V119" s="17">
        <f>Sizing!CP133</f>
        <v>1.5748031496062995E-2</v>
      </c>
      <c r="W119" s="128">
        <f t="shared" si="47"/>
        <v>3.0224609670856709E-3</v>
      </c>
      <c r="X119" s="2">
        <f t="shared" si="48"/>
        <v>7.2254596295506844E-4</v>
      </c>
      <c r="Y119" s="2">
        <f t="shared" si="49"/>
        <v>3.7450069300407392E-3</v>
      </c>
      <c r="Z119" s="216">
        <f t="shared" si="72"/>
        <v>6.2762795311185976E-2</v>
      </c>
      <c r="AA119" s="138">
        <f t="shared" si="73"/>
        <v>1.5004000008509398E-2</v>
      </c>
      <c r="AB119" s="17">
        <f t="shared" si="74"/>
        <v>7.7766795319695381E-2</v>
      </c>
      <c r="AC119" s="311">
        <f t="shared" si="75"/>
        <v>6.1680678150648295E-2</v>
      </c>
      <c r="AD119" s="316">
        <f t="shared" si="76"/>
        <v>1.4745310353190271E-2</v>
      </c>
      <c r="AE119" s="21">
        <f t="shared" si="77"/>
        <v>7.6425988503838568E-2</v>
      </c>
      <c r="AF119" s="170">
        <f>Sizing!DU133</f>
        <v>3.7417273971028842E-2</v>
      </c>
      <c r="AG119" s="170">
        <f>Sizing!DV133</f>
        <v>0.19343545169132995</v>
      </c>
      <c r="AH119" s="170">
        <f>Sizing!DW133</f>
        <v>3.7417273971028842E-2</v>
      </c>
      <c r="AI119" s="272">
        <f>Sizing!DX133</f>
        <v>0.19343545169132995</v>
      </c>
      <c r="AJ119" s="216">
        <f>Sizing!GJ133</f>
        <v>0.25</v>
      </c>
      <c r="AK119" s="216">
        <f>Sizing!GK133</f>
        <v>1.5748031496062995E-2</v>
      </c>
      <c r="AL119" s="17">
        <f>Sizing!GL133</f>
        <v>1.5748031496062995E-2</v>
      </c>
      <c r="AM119" s="216">
        <f t="shared" si="50"/>
        <v>2.4179687736685367E-3</v>
      </c>
      <c r="AN119" s="138">
        <f t="shared" si="51"/>
        <v>7.2254596295506844E-4</v>
      </c>
      <c r="AO119" s="138">
        <f t="shared" si="52"/>
        <v>3.1405147366236051E-3</v>
      </c>
      <c r="AP119" s="311">
        <f t="shared" si="78"/>
        <v>8.7531254763493094E-3</v>
      </c>
      <c r="AQ119" s="11">
        <f t="shared" si="79"/>
        <v>2.615639848226734E-3</v>
      </c>
      <c r="AR119" s="21">
        <f t="shared" si="80"/>
        <v>1.1368765324576043E-2</v>
      </c>
      <c r="AS119" s="11">
        <f t="shared" si="53"/>
        <v>2.7142140885873045E-3</v>
      </c>
      <c r="AT119" s="21">
        <f t="shared" si="54"/>
        <v>2.7142140885873045E-3</v>
      </c>
      <c r="AU119" s="170">
        <f>Sizing!JC133</f>
        <v>6.3172897578446421E-4</v>
      </c>
      <c r="AV119" s="272">
        <f>Sizing!JD133</f>
        <v>2.5134219219710489E-2</v>
      </c>
      <c r="AW119" s="170">
        <f>Sizing!JC133</f>
        <v>6.3172897578446421E-4</v>
      </c>
      <c r="AX119" s="272">
        <f>Sizing!JD133</f>
        <v>2.5134219219710489E-2</v>
      </c>
      <c r="AY119" s="216">
        <f>Sizing!IT133</f>
        <v>0.25</v>
      </c>
      <c r="AZ119" s="216">
        <f>Sizing!IU133</f>
        <v>1.5748031496062995E-2</v>
      </c>
      <c r="BA119" s="17">
        <f>Sizing!IV133</f>
        <v>1.5748031496062995E-2</v>
      </c>
      <c r="BB119" s="216">
        <f t="shared" si="55"/>
        <v>2.4179687736685367E-3</v>
      </c>
      <c r="BC119" s="138">
        <f t="shared" si="56"/>
        <v>7.2254596295506844E-4</v>
      </c>
      <c r="BD119" s="138">
        <f t="shared" si="57"/>
        <v>3.1405147366236051E-3</v>
      </c>
      <c r="BE119" s="311">
        <f t="shared" si="58"/>
        <v>4.3765627381746547E-3</v>
      </c>
      <c r="BF119" s="11">
        <f t="shared" si="59"/>
        <v>1.307819924113367E-3</v>
      </c>
      <c r="BG119" s="21">
        <f t="shared" si="60"/>
        <v>5.6843826622880213E-3</v>
      </c>
      <c r="BH119" s="21">
        <f t="shared" si="61"/>
        <v>4.582502957245429E-5</v>
      </c>
      <c r="BI119" s="21">
        <f t="shared" si="62"/>
        <v>4.582502957245429E-5</v>
      </c>
      <c r="BJ119" s="561"/>
      <c r="BK119">
        <f t="shared" si="63"/>
        <v>0.70702102</v>
      </c>
      <c r="BL119">
        <f t="shared" si="64"/>
        <v>0.70702102</v>
      </c>
      <c r="BM119">
        <f>C119*'Inputs-Imperial'!$E$12</f>
        <v>0.35351051</v>
      </c>
      <c r="BN119">
        <f>C119*'Inputs-Imperial'!$E$12</f>
        <v>0.35351051</v>
      </c>
      <c r="BO119">
        <f>C119*'Inputs-Imperial'!$E$12</f>
        <v>0.35351051</v>
      </c>
      <c r="BP119">
        <f>C119*'Weight '!$E$15</f>
        <v>0.70702102</v>
      </c>
      <c r="BQ119">
        <f>C119*'Weight '!$E$15</f>
        <v>0.70702102</v>
      </c>
      <c r="BR119">
        <f>C119*'Weight '!$E$15</f>
        <v>0.70702102</v>
      </c>
      <c r="BS119">
        <f t="shared" si="65"/>
        <v>0.1190393002831879</v>
      </c>
      <c r="BT119" s="564">
        <f t="shared" si="66"/>
        <v>0.17676601004671752</v>
      </c>
      <c r="BU119">
        <f t="shared" si="67"/>
        <v>0.6734286769935407</v>
      </c>
    </row>
    <row r="120" spans="1:73" x14ac:dyDescent="0.25">
      <c r="A120" s="186">
        <v>74</v>
      </c>
      <c r="B120" s="187">
        <f>A120/100*'Inputs-Imperial'!$E$5</f>
        <v>7.2834648</v>
      </c>
      <c r="C120" s="188">
        <f>'Inputs-Imperial'!$E$10+('Inputs-Imperial'!$E$9-'Inputs-Imperial'!$E$10)*(100-A120)/100</f>
        <v>1.4041995199999999</v>
      </c>
      <c r="D120" s="187">
        <f t="shared" si="68"/>
        <v>9.8425199999999435E-2</v>
      </c>
      <c r="E120" s="188">
        <f t="shared" si="69"/>
        <v>0.13869299459565518</v>
      </c>
      <c r="F120" s="423">
        <f>Sizing!F134</f>
        <v>21.499913995262073</v>
      </c>
      <c r="G120" s="423">
        <f>Sizing!G134</f>
        <v>214.99913995262079</v>
      </c>
      <c r="H120" s="423">
        <f>Sizing!H134</f>
        <v>257.67488530812591</v>
      </c>
      <c r="I120" s="423">
        <f>Sizing!I134</f>
        <v>-134.93910728858077</v>
      </c>
      <c r="J120" s="189">
        <f>Sizing!J134</f>
        <v>25.767488530812585</v>
      </c>
      <c r="K120" s="128">
        <v>74</v>
      </c>
      <c r="L120" s="12">
        <f t="shared" si="45"/>
        <v>87.401577599999996</v>
      </c>
      <c r="M120" s="11">
        <f t="shared" si="45"/>
        <v>16.85039424</v>
      </c>
      <c r="N120" s="11">
        <f t="shared" si="45"/>
        <v>1.1811023999999932</v>
      </c>
      <c r="O120" s="152">
        <f t="shared" si="46"/>
        <v>19.971791221774346</v>
      </c>
      <c r="P120" s="8">
        <f t="shared" si="43"/>
        <v>3.0330709631999997</v>
      </c>
      <c r="Q120" s="12">
        <f t="shared" si="70"/>
        <v>3.5949224199193828</v>
      </c>
      <c r="R120" s="8">
        <f t="shared" si="44"/>
        <v>1.5165354815999998</v>
      </c>
      <c r="S120" s="12">
        <f t="shared" si="71"/>
        <v>1.7974612099596914</v>
      </c>
      <c r="T120" s="17">
        <f>Sizing!CN134</f>
        <v>0.25</v>
      </c>
      <c r="U120" s="17">
        <f>Sizing!CO134</f>
        <v>2.3622047244094495E-2</v>
      </c>
      <c r="V120" s="17">
        <f>Sizing!CP134</f>
        <v>1.5748031496062995E-2</v>
      </c>
      <c r="W120" s="128">
        <f t="shared" si="47"/>
        <v>3.0224609670856709E-3</v>
      </c>
      <c r="X120" s="2">
        <f t="shared" si="48"/>
        <v>7.2254596295506844E-4</v>
      </c>
      <c r="Y120" s="2">
        <f t="shared" si="49"/>
        <v>3.7450069300407392E-3</v>
      </c>
      <c r="Z120" s="216">
        <f t="shared" si="72"/>
        <v>6.2327446441974882E-2</v>
      </c>
      <c r="AA120" s="138">
        <f t="shared" si="73"/>
        <v>1.4899926020010933E-2</v>
      </c>
      <c r="AB120" s="17">
        <f t="shared" si="74"/>
        <v>7.7227372461985813E-2</v>
      </c>
      <c r="AC120" s="311">
        <f t="shared" si="75"/>
        <v>6.1252835296423586E-2</v>
      </c>
      <c r="AD120" s="316">
        <f t="shared" si="76"/>
        <v>1.4643030743803846E-2</v>
      </c>
      <c r="AE120" s="21">
        <f t="shared" si="77"/>
        <v>7.5895866040227425E-2</v>
      </c>
      <c r="AF120" s="170">
        <f>Sizing!DU134</f>
        <v>3.7417273971028842E-2</v>
      </c>
      <c r="AG120" s="170">
        <f>Sizing!DV134</f>
        <v>0.19343545169132995</v>
      </c>
      <c r="AH120" s="170">
        <f>Sizing!DW134</f>
        <v>3.7417273971028842E-2</v>
      </c>
      <c r="AI120" s="272">
        <f>Sizing!DX134</f>
        <v>0.19343545169132995</v>
      </c>
      <c r="AJ120" s="216">
        <f>Sizing!GJ134</f>
        <v>0.25</v>
      </c>
      <c r="AK120" s="216">
        <f>Sizing!GK134</f>
        <v>1.5748031496062995E-2</v>
      </c>
      <c r="AL120" s="17">
        <f>Sizing!GL134</f>
        <v>1.5748031496062995E-2</v>
      </c>
      <c r="AM120" s="216">
        <f t="shared" si="50"/>
        <v>2.4179687736685367E-3</v>
      </c>
      <c r="AN120" s="138">
        <f t="shared" si="51"/>
        <v>7.2254596295506844E-4</v>
      </c>
      <c r="AO120" s="138">
        <f t="shared" si="52"/>
        <v>3.1405147366236051E-3</v>
      </c>
      <c r="AP120" s="311">
        <f t="shared" si="78"/>
        <v>8.6924101551259982E-3</v>
      </c>
      <c r="AQ120" s="11">
        <f t="shared" si="79"/>
        <v>2.5974966816494152E-3</v>
      </c>
      <c r="AR120" s="21">
        <f t="shared" si="80"/>
        <v>1.1289906836775413E-2</v>
      </c>
      <c r="AS120" s="11">
        <f t="shared" si="53"/>
        <v>2.7142140885872798E-3</v>
      </c>
      <c r="AT120" s="21">
        <f t="shared" si="54"/>
        <v>2.7142140885872798E-3</v>
      </c>
      <c r="AU120" s="170">
        <f>Sizing!JC134</f>
        <v>6.3172897578446421E-4</v>
      </c>
      <c r="AV120" s="272">
        <f>Sizing!JD134</f>
        <v>2.5134219219710489E-2</v>
      </c>
      <c r="AW120" s="170">
        <f>Sizing!JC134</f>
        <v>6.3172897578446421E-4</v>
      </c>
      <c r="AX120" s="272">
        <f>Sizing!JD134</f>
        <v>2.5134219219710489E-2</v>
      </c>
      <c r="AY120" s="216">
        <f>Sizing!IT134</f>
        <v>0.25</v>
      </c>
      <c r="AZ120" s="216">
        <f>Sizing!IU134</f>
        <v>1.5748031496062995E-2</v>
      </c>
      <c r="BA120" s="17">
        <f>Sizing!IV134</f>
        <v>1.5748031496062995E-2</v>
      </c>
      <c r="BB120" s="216">
        <f t="shared" si="55"/>
        <v>2.4179687736685367E-3</v>
      </c>
      <c r="BC120" s="138">
        <f t="shared" si="56"/>
        <v>7.2254596295506844E-4</v>
      </c>
      <c r="BD120" s="138">
        <f t="shared" si="57"/>
        <v>3.1405147366236051E-3</v>
      </c>
      <c r="BE120" s="311">
        <f t="shared" si="58"/>
        <v>4.3462050775629991E-3</v>
      </c>
      <c r="BF120" s="11">
        <f t="shared" si="59"/>
        <v>1.2987483408247076E-3</v>
      </c>
      <c r="BG120" s="21">
        <f t="shared" si="60"/>
        <v>5.6449534183877067E-3</v>
      </c>
      <c r="BH120" s="21">
        <f t="shared" si="61"/>
        <v>4.5825029572453877E-5</v>
      </c>
      <c r="BI120" s="21">
        <f t="shared" si="62"/>
        <v>4.5825029572453877E-5</v>
      </c>
      <c r="BJ120" s="561"/>
      <c r="BK120">
        <f t="shared" si="63"/>
        <v>0.70209975999999996</v>
      </c>
      <c r="BL120">
        <f t="shared" si="64"/>
        <v>0.70209975999999996</v>
      </c>
      <c r="BM120">
        <f>C120*'Inputs-Imperial'!$E$12</f>
        <v>0.35104987999999998</v>
      </c>
      <c r="BN120">
        <f>C120*'Inputs-Imperial'!$E$12</f>
        <v>0.35104987999999998</v>
      </c>
      <c r="BO120">
        <f>C120*'Inputs-Imperial'!$E$12</f>
        <v>0.35104987999999998</v>
      </c>
      <c r="BP120">
        <f>C120*'Weight '!$E$15</f>
        <v>0.70209975999999996</v>
      </c>
      <c r="BQ120">
        <f>C120*'Weight '!$E$15</f>
        <v>0.70209975999999996</v>
      </c>
      <c r="BR120">
        <f>C120*'Weight '!$E$15</f>
        <v>0.70209975999999996</v>
      </c>
      <c r="BS120">
        <f t="shared" si="65"/>
        <v>0.11740442642806442</v>
      </c>
      <c r="BT120" s="564">
        <f t="shared" si="66"/>
        <v>0.17557817699369579</v>
      </c>
      <c r="BU120">
        <f t="shared" si="67"/>
        <v>0.66867322829237419</v>
      </c>
    </row>
    <row r="121" spans="1:73" x14ac:dyDescent="0.25">
      <c r="A121" s="186">
        <v>75</v>
      </c>
      <c r="B121" s="187">
        <f>A121/100*'Inputs-Imperial'!$E$5</f>
        <v>7.3818900000000003</v>
      </c>
      <c r="C121" s="188">
        <f>'Inputs-Imperial'!$E$10+('Inputs-Imperial'!$E$9-'Inputs-Imperial'!$E$10)*(100-A121)/100</f>
        <v>1.3943569999999998</v>
      </c>
      <c r="D121" s="187">
        <f t="shared" si="68"/>
        <v>9.8425200000000324E-2</v>
      </c>
      <c r="E121" s="188">
        <f t="shared" si="69"/>
        <v>0.13772424259615246</v>
      </c>
      <c r="F121" s="423">
        <f>Sizing!F135</f>
        <v>20.468100596559495</v>
      </c>
      <c r="G121" s="423">
        <f>Sizing!G135</f>
        <v>204.68100596559503</v>
      </c>
      <c r="H121" s="423">
        <f>Sizing!H135</f>
        <v>236.51355195846114</v>
      </c>
      <c r="I121" s="423">
        <f>Sizing!I135</f>
        <v>-127.06261965424724</v>
      </c>
      <c r="J121" s="189">
        <f>Sizing!J135</f>
        <v>23.651355195846111</v>
      </c>
      <c r="K121" s="128">
        <v>75</v>
      </c>
      <c r="L121" s="12">
        <f t="shared" si="45"/>
        <v>88.582680000000011</v>
      </c>
      <c r="M121" s="11">
        <f t="shared" si="45"/>
        <v>16.732284</v>
      </c>
      <c r="N121" s="11">
        <f t="shared" si="45"/>
        <v>1.1811024000000039</v>
      </c>
      <c r="O121" s="152">
        <f t="shared" si="46"/>
        <v>19.832290933845954</v>
      </c>
      <c r="P121" s="8">
        <f t="shared" si="43"/>
        <v>3.01181112</v>
      </c>
      <c r="Q121" s="12">
        <f t="shared" si="70"/>
        <v>3.5698123680922711</v>
      </c>
      <c r="R121" s="8">
        <f t="shared" si="44"/>
        <v>1.50590556</v>
      </c>
      <c r="S121" s="12">
        <f t="shared" si="71"/>
        <v>1.7849061840461355</v>
      </c>
      <c r="T121" s="17">
        <f>Sizing!CN135</f>
        <v>0.25</v>
      </c>
      <c r="U121" s="17">
        <f>Sizing!CO135</f>
        <v>2.3622047244094495E-2</v>
      </c>
      <c r="V121" s="17">
        <f>Sizing!CP135</f>
        <v>1.5748031496062995E-2</v>
      </c>
      <c r="W121" s="128">
        <f t="shared" si="47"/>
        <v>3.0224609670856709E-3</v>
      </c>
      <c r="X121" s="2">
        <f t="shared" si="48"/>
        <v>7.2254596295506844E-4</v>
      </c>
      <c r="Y121" s="2">
        <f t="shared" si="49"/>
        <v>3.7450069300407392E-3</v>
      </c>
      <c r="Z121" s="216">
        <f t="shared" si="72"/>
        <v>6.1892097572764912E-2</v>
      </c>
      <c r="AA121" s="138">
        <f t="shared" si="73"/>
        <v>1.4795852031512739E-2</v>
      </c>
      <c r="AB121" s="17">
        <f t="shared" si="74"/>
        <v>7.6687949604277647E-2</v>
      </c>
      <c r="AC121" s="311">
        <f t="shared" si="75"/>
        <v>6.08249924422E-2</v>
      </c>
      <c r="AD121" s="316">
        <f t="shared" si="76"/>
        <v>1.454075113441769E-2</v>
      </c>
      <c r="AE121" s="21">
        <f t="shared" si="77"/>
        <v>7.5365743576617683E-2</v>
      </c>
      <c r="AF121" s="170">
        <f>Sizing!DU135</f>
        <v>3.7417273971028842E-2</v>
      </c>
      <c r="AG121" s="170">
        <f>Sizing!DV135</f>
        <v>0.19343545169132995</v>
      </c>
      <c r="AH121" s="170">
        <f>Sizing!DW135</f>
        <v>3.7417273971028842E-2</v>
      </c>
      <c r="AI121" s="272">
        <f>Sizing!DX135</f>
        <v>0.19343545169132995</v>
      </c>
      <c r="AJ121" s="216">
        <f>Sizing!GJ135</f>
        <v>0.25</v>
      </c>
      <c r="AK121" s="216">
        <f>Sizing!GK135</f>
        <v>1.5748031496062995E-2</v>
      </c>
      <c r="AL121" s="17">
        <f>Sizing!GL135</f>
        <v>1.5748031496062995E-2</v>
      </c>
      <c r="AM121" s="216">
        <f t="shared" si="50"/>
        <v>2.4179687736685367E-3</v>
      </c>
      <c r="AN121" s="138">
        <f t="shared" si="51"/>
        <v>7.2254596295506844E-4</v>
      </c>
      <c r="AO121" s="138">
        <f t="shared" si="52"/>
        <v>3.1405147366236051E-3</v>
      </c>
      <c r="AP121" s="311">
        <f t="shared" si="78"/>
        <v>8.6316948339028431E-3</v>
      </c>
      <c r="AQ121" s="11">
        <f t="shared" si="79"/>
        <v>2.5793535150721433E-3</v>
      </c>
      <c r="AR121" s="21">
        <f t="shared" si="80"/>
        <v>1.1211048348974987E-2</v>
      </c>
      <c r="AS121" s="11">
        <f t="shared" si="53"/>
        <v>2.7142140885873045E-3</v>
      </c>
      <c r="AT121" s="21">
        <f t="shared" si="54"/>
        <v>2.7142140885873045E-3</v>
      </c>
      <c r="AU121" s="170">
        <f>Sizing!JC135</f>
        <v>6.3172897578446421E-4</v>
      </c>
      <c r="AV121" s="272">
        <f>Sizing!JD135</f>
        <v>2.5134219219710489E-2</v>
      </c>
      <c r="AW121" s="170">
        <f>Sizing!JC135</f>
        <v>6.3172897578446421E-4</v>
      </c>
      <c r="AX121" s="272">
        <f>Sizing!JD135</f>
        <v>2.5134219219710489E-2</v>
      </c>
      <c r="AY121" s="216">
        <f>Sizing!IT135</f>
        <v>0.25</v>
      </c>
      <c r="AZ121" s="216">
        <f>Sizing!IU135</f>
        <v>1.5748031496062995E-2</v>
      </c>
      <c r="BA121" s="17">
        <f>Sizing!IV135</f>
        <v>1.5748031496062995E-2</v>
      </c>
      <c r="BB121" s="216">
        <f t="shared" si="55"/>
        <v>2.4179687736685367E-3</v>
      </c>
      <c r="BC121" s="138">
        <f t="shared" si="56"/>
        <v>7.2254596295506844E-4</v>
      </c>
      <c r="BD121" s="138">
        <f t="shared" si="57"/>
        <v>3.1405147366236051E-3</v>
      </c>
      <c r="BE121" s="311">
        <f t="shared" si="58"/>
        <v>4.3158474169514216E-3</v>
      </c>
      <c r="BF121" s="11">
        <f t="shared" si="59"/>
        <v>1.2896767575360716E-3</v>
      </c>
      <c r="BG121" s="21">
        <f t="shared" si="60"/>
        <v>5.6055241744874936E-3</v>
      </c>
      <c r="BH121" s="21">
        <f t="shared" si="61"/>
        <v>4.582502957245429E-5</v>
      </c>
      <c r="BI121" s="21">
        <f t="shared" si="62"/>
        <v>4.582502957245429E-5</v>
      </c>
      <c r="BJ121" s="561"/>
      <c r="BK121">
        <f t="shared" si="63"/>
        <v>0.69717849999999992</v>
      </c>
      <c r="BL121">
        <f t="shared" si="64"/>
        <v>0.69717849999999992</v>
      </c>
      <c r="BM121">
        <f>C121*'Inputs-Imperial'!$E$12</f>
        <v>0.34858924999999996</v>
      </c>
      <c r="BN121">
        <f>C121*'Inputs-Imperial'!$E$12</f>
        <v>0.34858924999999996</v>
      </c>
      <c r="BO121">
        <f>C121*'Inputs-Imperial'!$E$12</f>
        <v>0.34858924999999996</v>
      </c>
      <c r="BP121">
        <f>C121*'Weight '!$E$15</f>
        <v>0.69717849999999992</v>
      </c>
      <c r="BQ121">
        <f>C121*'Weight '!$E$15</f>
        <v>0.69717849999999992</v>
      </c>
      <c r="BR121">
        <f>C121*'Weight '!$E$15</f>
        <v>0.69717849999999992</v>
      </c>
      <c r="BS121">
        <f t="shared" si="65"/>
        <v>0.11578085576040241</v>
      </c>
      <c r="BT121" s="564">
        <f t="shared" si="66"/>
        <v>0.17439034394067732</v>
      </c>
      <c r="BU121">
        <f t="shared" si="67"/>
        <v>0.66391781301714614</v>
      </c>
    </row>
    <row r="122" spans="1:73" x14ac:dyDescent="0.25">
      <c r="A122" s="186">
        <v>76</v>
      </c>
      <c r="B122" s="187">
        <f>A122/100*'Inputs-Imperial'!$E$5</f>
        <v>7.4803152000000006</v>
      </c>
      <c r="C122" s="188">
        <f>'Inputs-Imperial'!$E$10+('Inputs-Imperial'!$E$9-'Inputs-Imperial'!$E$10)*(100-A122)/100</f>
        <v>1.38451448</v>
      </c>
      <c r="D122" s="187">
        <f t="shared" si="68"/>
        <v>9.8425200000000324E-2</v>
      </c>
      <c r="E122" s="188">
        <f t="shared" si="69"/>
        <v>0.13675549059664843</v>
      </c>
      <c r="F122" s="423">
        <f>Sizing!F136</f>
        <v>19.44867720365205</v>
      </c>
      <c r="G122" s="423">
        <f>Sizing!G136</f>
        <v>194.48677203652056</v>
      </c>
      <c r="H122" s="423">
        <f>Sizing!H136</f>
        <v>216.36778301009619</v>
      </c>
      <c r="I122" s="423">
        <f>Sizing!I136</f>
        <v>-119.37572833397729</v>
      </c>
      <c r="J122" s="189">
        <f>Sizing!J136</f>
        <v>21.636778301009617</v>
      </c>
      <c r="K122" s="128">
        <v>76</v>
      </c>
      <c r="L122" s="12">
        <f t="shared" si="45"/>
        <v>89.763782400000011</v>
      </c>
      <c r="M122" s="11">
        <f t="shared" si="45"/>
        <v>16.61417376</v>
      </c>
      <c r="N122" s="11">
        <f t="shared" si="45"/>
        <v>1.1811024000000039</v>
      </c>
      <c r="O122" s="152">
        <f t="shared" si="46"/>
        <v>19.692790645917373</v>
      </c>
      <c r="P122" s="8">
        <f t="shared" si="43"/>
        <v>2.9905512767999998</v>
      </c>
      <c r="Q122" s="12">
        <f t="shared" si="70"/>
        <v>3.5447023162651274</v>
      </c>
      <c r="R122" s="8">
        <f t="shared" si="44"/>
        <v>1.4952756383999999</v>
      </c>
      <c r="S122" s="12">
        <f t="shared" si="71"/>
        <v>1.7723511581325637</v>
      </c>
      <c r="T122" s="17">
        <f>Sizing!CN136</f>
        <v>0.25</v>
      </c>
      <c r="U122" s="17">
        <f>Sizing!CO136</f>
        <v>2.3622047244094495E-2</v>
      </c>
      <c r="V122" s="17">
        <f>Sizing!CP136</f>
        <v>1.5748031496062995E-2</v>
      </c>
      <c r="W122" s="128">
        <f t="shared" si="47"/>
        <v>3.0224609670856709E-3</v>
      </c>
      <c r="X122" s="2">
        <f t="shared" si="48"/>
        <v>7.2254596295506844E-4</v>
      </c>
      <c r="Y122" s="2">
        <f t="shared" si="49"/>
        <v>3.7450069300407392E-3</v>
      </c>
      <c r="Z122" s="216">
        <f t="shared" si="72"/>
        <v>6.1456748703554359E-2</v>
      </c>
      <c r="AA122" s="138">
        <f t="shared" si="73"/>
        <v>1.4691778043014404E-2</v>
      </c>
      <c r="AB122" s="17">
        <f t="shared" si="74"/>
        <v>7.6148526746568759E-2</v>
      </c>
      <c r="AC122" s="311">
        <f t="shared" si="75"/>
        <v>6.0397149587975832E-2</v>
      </c>
      <c r="AD122" s="316">
        <f t="shared" si="76"/>
        <v>1.4438471525031396E-2</v>
      </c>
      <c r="AE122" s="21">
        <f t="shared" si="77"/>
        <v>7.4835621113007234E-2</v>
      </c>
      <c r="AF122" s="170">
        <f>Sizing!DU136</f>
        <v>3.7417273971028842E-2</v>
      </c>
      <c r="AG122" s="170">
        <f>Sizing!DV136</f>
        <v>0.19343545169132995</v>
      </c>
      <c r="AH122" s="170">
        <f>Sizing!DW136</f>
        <v>3.7417273971028842E-2</v>
      </c>
      <c r="AI122" s="272">
        <f>Sizing!DX136</f>
        <v>0.19343545169132995</v>
      </c>
      <c r="AJ122" s="216">
        <f>Sizing!GJ136</f>
        <v>0.25</v>
      </c>
      <c r="AK122" s="216">
        <f>Sizing!GK136</f>
        <v>1.5748031496062995E-2</v>
      </c>
      <c r="AL122" s="17">
        <f>Sizing!GL136</f>
        <v>1.5748031496062995E-2</v>
      </c>
      <c r="AM122" s="216">
        <f t="shared" si="50"/>
        <v>2.4179687736685367E-3</v>
      </c>
      <c r="AN122" s="138">
        <f t="shared" si="51"/>
        <v>7.2254596295506844E-4</v>
      </c>
      <c r="AO122" s="138">
        <f t="shared" si="52"/>
        <v>3.1405147366236051E-3</v>
      </c>
      <c r="AP122" s="311">
        <f t="shared" si="78"/>
        <v>8.5709795126796117E-3</v>
      </c>
      <c r="AQ122" s="11">
        <f t="shared" si="79"/>
        <v>2.561210348494848E-3</v>
      </c>
      <c r="AR122" s="21">
        <f t="shared" si="80"/>
        <v>1.1132189861174459E-2</v>
      </c>
      <c r="AS122" s="11">
        <f t="shared" si="53"/>
        <v>2.7142140885873045E-3</v>
      </c>
      <c r="AT122" s="21">
        <f t="shared" si="54"/>
        <v>2.7142140885873045E-3</v>
      </c>
      <c r="AU122" s="170">
        <f>Sizing!JC136</f>
        <v>6.3172897578446421E-4</v>
      </c>
      <c r="AV122" s="272">
        <f>Sizing!JD136</f>
        <v>2.5134219219710489E-2</v>
      </c>
      <c r="AW122" s="170">
        <f>Sizing!JC136</f>
        <v>6.3172897578446421E-4</v>
      </c>
      <c r="AX122" s="272">
        <f>Sizing!JD136</f>
        <v>2.5134219219710489E-2</v>
      </c>
      <c r="AY122" s="216">
        <f>Sizing!IT136</f>
        <v>0.25</v>
      </c>
      <c r="AZ122" s="216">
        <f>Sizing!IU136</f>
        <v>1.5748031496062995E-2</v>
      </c>
      <c r="BA122" s="17">
        <f>Sizing!IV136</f>
        <v>1.5748031496062995E-2</v>
      </c>
      <c r="BB122" s="216">
        <f t="shared" si="55"/>
        <v>2.4179687736685367E-3</v>
      </c>
      <c r="BC122" s="138">
        <f t="shared" si="56"/>
        <v>7.2254596295506844E-4</v>
      </c>
      <c r="BD122" s="138">
        <f t="shared" si="57"/>
        <v>3.1405147366236051E-3</v>
      </c>
      <c r="BE122" s="311">
        <f t="shared" si="58"/>
        <v>4.2854897563398059E-3</v>
      </c>
      <c r="BF122" s="11">
        <f t="shared" si="59"/>
        <v>1.280605174247424E-3</v>
      </c>
      <c r="BG122" s="21">
        <f t="shared" si="60"/>
        <v>5.5660949305872294E-3</v>
      </c>
      <c r="BH122" s="21">
        <f t="shared" si="61"/>
        <v>4.582502957245429E-5</v>
      </c>
      <c r="BI122" s="21">
        <f t="shared" si="62"/>
        <v>4.582502957245429E-5</v>
      </c>
      <c r="BJ122" s="561"/>
      <c r="BK122">
        <f t="shared" si="63"/>
        <v>0.69225724</v>
      </c>
      <c r="BL122">
        <f t="shared" si="64"/>
        <v>0.69225724</v>
      </c>
      <c r="BM122">
        <f>C122*'Inputs-Imperial'!$E$12</f>
        <v>0.34612862</v>
      </c>
      <c r="BN122">
        <f>C122*'Inputs-Imperial'!$E$12</f>
        <v>0.34612862</v>
      </c>
      <c r="BO122">
        <f>C122*'Inputs-Imperial'!$E$12</f>
        <v>0.34612862</v>
      </c>
      <c r="BP122">
        <f>C122*'Weight '!$E$15</f>
        <v>0.69225724</v>
      </c>
      <c r="BQ122">
        <f>C122*'Weight '!$E$15</f>
        <v>0.69225724</v>
      </c>
      <c r="BR122">
        <f>C122*'Weight '!$E$15</f>
        <v>0.69225724</v>
      </c>
      <c r="BS122">
        <f t="shared" si="65"/>
        <v>0.11416858828019866</v>
      </c>
      <c r="BT122" s="564">
        <f t="shared" si="66"/>
        <v>0.17320251088765717</v>
      </c>
      <c r="BU122">
        <f t="shared" si="67"/>
        <v>0.65916243185556833</v>
      </c>
    </row>
    <row r="123" spans="1:73" x14ac:dyDescent="0.25">
      <c r="A123" s="186">
        <v>77</v>
      </c>
      <c r="B123" s="187">
        <f>A123/100*'Inputs-Imperial'!$E$5</f>
        <v>7.5787404</v>
      </c>
      <c r="C123" s="188">
        <f>'Inputs-Imperial'!$E$10+('Inputs-Imperial'!$E$9-'Inputs-Imperial'!$E$10)*(100-A123)/100</f>
        <v>1.3746719599999999</v>
      </c>
      <c r="D123" s="187">
        <f t="shared" si="68"/>
        <v>9.8425199999999435E-2</v>
      </c>
      <c r="E123" s="188">
        <f t="shared" si="69"/>
        <v>0.13578673859714321</v>
      </c>
      <c r="F123" s="423">
        <f>Sizing!F137</f>
        <v>18.441917846423927</v>
      </c>
      <c r="G123" s="423">
        <f>Sizing!G137</f>
        <v>184.41917846423934</v>
      </c>
      <c r="H123" s="423">
        <f>Sizing!H137</f>
        <v>197.22538357504735</v>
      </c>
      <c r="I123" s="423">
        <f>Sizing!I137</f>
        <v>-111.88027182762995</v>
      </c>
      <c r="J123" s="189">
        <f>Sizing!J137</f>
        <v>19.722538357504735</v>
      </c>
      <c r="K123" s="128">
        <v>77</v>
      </c>
      <c r="L123" s="12">
        <f t="shared" si="45"/>
        <v>90.944884799999997</v>
      </c>
      <c r="M123" s="11">
        <f t="shared" si="45"/>
        <v>16.49606352</v>
      </c>
      <c r="N123" s="11">
        <f t="shared" si="45"/>
        <v>1.1811023999999932</v>
      </c>
      <c r="O123" s="152">
        <f t="shared" si="46"/>
        <v>19.553290357988622</v>
      </c>
      <c r="P123" s="8">
        <f t="shared" si="43"/>
        <v>2.9692914336</v>
      </c>
      <c r="Q123" s="12">
        <f t="shared" si="70"/>
        <v>3.5195922644379523</v>
      </c>
      <c r="R123" s="8">
        <f t="shared" si="44"/>
        <v>1.4846457168</v>
      </c>
      <c r="S123" s="12">
        <f t="shared" si="71"/>
        <v>1.7597961322189761</v>
      </c>
      <c r="T123" s="17">
        <f>Sizing!CN137</f>
        <v>0.25</v>
      </c>
      <c r="U123" s="17">
        <f>Sizing!CO137</f>
        <v>2.3622047244094495E-2</v>
      </c>
      <c r="V123" s="17">
        <f>Sizing!CP137</f>
        <v>1.5748031496062995E-2</v>
      </c>
      <c r="W123" s="128">
        <f t="shared" si="47"/>
        <v>3.0224609670856709E-3</v>
      </c>
      <c r="X123" s="2">
        <f t="shared" si="48"/>
        <v>7.2254596295506844E-4</v>
      </c>
      <c r="Y123" s="2">
        <f t="shared" si="49"/>
        <v>3.7450069300407392E-3</v>
      </c>
      <c r="Z123" s="216">
        <f t="shared" si="72"/>
        <v>6.1021399834343279E-2</v>
      </c>
      <c r="AA123" s="138">
        <f t="shared" si="73"/>
        <v>1.4587704054515942E-2</v>
      </c>
      <c r="AB123" s="17">
        <f t="shared" si="74"/>
        <v>7.5609103888859219E-2</v>
      </c>
      <c r="AC123" s="311">
        <f t="shared" si="75"/>
        <v>5.9969306733751157E-2</v>
      </c>
      <c r="AD123" s="316">
        <f t="shared" si="76"/>
        <v>1.4336191915644978E-2</v>
      </c>
      <c r="AE123" s="21">
        <f t="shared" si="77"/>
        <v>7.4305498649396132E-2</v>
      </c>
      <c r="AF123" s="170">
        <f>Sizing!DU137</f>
        <v>3.7417273971028842E-2</v>
      </c>
      <c r="AG123" s="170">
        <f>Sizing!DV137</f>
        <v>0.19343545169132995</v>
      </c>
      <c r="AH123" s="170">
        <f>Sizing!DW137</f>
        <v>3.7417273971028842E-2</v>
      </c>
      <c r="AI123" s="272">
        <f>Sizing!DX137</f>
        <v>0.19343545169132995</v>
      </c>
      <c r="AJ123" s="216">
        <f>Sizing!GJ137</f>
        <v>0.25</v>
      </c>
      <c r="AK123" s="216">
        <f>Sizing!GK137</f>
        <v>1.5748031496062995E-2</v>
      </c>
      <c r="AL123" s="17">
        <f>Sizing!GL137</f>
        <v>1.5748031496062995E-2</v>
      </c>
      <c r="AM123" s="216">
        <f t="shared" si="50"/>
        <v>2.4179687736685367E-3</v>
      </c>
      <c r="AN123" s="138">
        <f t="shared" si="51"/>
        <v>7.2254596295506844E-4</v>
      </c>
      <c r="AO123" s="138">
        <f t="shared" si="52"/>
        <v>3.1405147366236051E-3</v>
      </c>
      <c r="AP123" s="311">
        <f t="shared" si="78"/>
        <v>8.510264191456304E-3</v>
      </c>
      <c r="AQ123" s="11">
        <f t="shared" si="79"/>
        <v>2.5430671819175301E-3</v>
      </c>
      <c r="AR123" s="21">
        <f t="shared" si="80"/>
        <v>1.1053331373373833E-2</v>
      </c>
      <c r="AS123" s="11">
        <f t="shared" si="53"/>
        <v>2.7142140885872798E-3</v>
      </c>
      <c r="AT123" s="21">
        <f t="shared" si="54"/>
        <v>2.7142140885872798E-3</v>
      </c>
      <c r="AU123" s="170">
        <f>Sizing!JC137</f>
        <v>6.3172897578446421E-4</v>
      </c>
      <c r="AV123" s="272">
        <f>Sizing!JD137</f>
        <v>2.5134219219710489E-2</v>
      </c>
      <c r="AW123" s="170">
        <f>Sizing!JC137</f>
        <v>6.3172897578446421E-4</v>
      </c>
      <c r="AX123" s="272">
        <f>Sizing!JD137</f>
        <v>2.5134219219710489E-2</v>
      </c>
      <c r="AY123" s="216">
        <f>Sizing!IT137</f>
        <v>0.25</v>
      </c>
      <c r="AZ123" s="216">
        <f>Sizing!IU137</f>
        <v>1.5748031496062995E-2</v>
      </c>
      <c r="BA123" s="17">
        <f>Sizing!IV137</f>
        <v>1.5748031496062995E-2</v>
      </c>
      <c r="BB123" s="216">
        <f t="shared" si="55"/>
        <v>2.4179687736685367E-3</v>
      </c>
      <c r="BC123" s="138">
        <f t="shared" si="56"/>
        <v>7.2254596295506844E-4</v>
      </c>
      <c r="BD123" s="138">
        <f t="shared" si="57"/>
        <v>3.1405147366236051E-3</v>
      </c>
      <c r="BE123" s="311">
        <f t="shared" si="58"/>
        <v>4.255132095728152E-3</v>
      </c>
      <c r="BF123" s="11">
        <f t="shared" si="59"/>
        <v>1.271533590958765E-3</v>
      </c>
      <c r="BG123" s="21">
        <f t="shared" si="60"/>
        <v>5.5266656866869166E-3</v>
      </c>
      <c r="BH123" s="21">
        <f t="shared" si="61"/>
        <v>4.5825029572453877E-5</v>
      </c>
      <c r="BI123" s="21">
        <f t="shared" si="62"/>
        <v>4.5825029572453877E-5</v>
      </c>
      <c r="BJ123" s="561"/>
      <c r="BK123">
        <f t="shared" si="63"/>
        <v>0.68733597999999996</v>
      </c>
      <c r="BL123">
        <f t="shared" si="64"/>
        <v>0.68733597999999996</v>
      </c>
      <c r="BM123">
        <f>C123*'Inputs-Imperial'!$E$12</f>
        <v>0.34366798999999998</v>
      </c>
      <c r="BN123">
        <f>C123*'Inputs-Imperial'!$E$12</f>
        <v>0.34366798999999998</v>
      </c>
      <c r="BO123">
        <f>C123*'Inputs-Imperial'!$E$12</f>
        <v>0.34366798999999998</v>
      </c>
      <c r="BP123">
        <f>C123*'Weight '!$E$15</f>
        <v>0.68733597999999996</v>
      </c>
      <c r="BQ123">
        <f>C123*'Weight '!$E$15</f>
        <v>0.68733597999999996</v>
      </c>
      <c r="BR123">
        <f>C123*'Weight '!$E$15</f>
        <v>0.68733597999999996</v>
      </c>
      <c r="BS123">
        <f t="shared" si="65"/>
        <v>0.11256762398745324</v>
      </c>
      <c r="BT123" s="564">
        <f t="shared" si="66"/>
        <v>0.17201467783463553</v>
      </c>
      <c r="BU123">
        <f t="shared" si="67"/>
        <v>0.65440708551434734</v>
      </c>
    </row>
    <row r="124" spans="1:73" x14ac:dyDescent="0.25">
      <c r="A124" s="186">
        <v>78</v>
      </c>
      <c r="B124" s="187">
        <f>A124/100*'Inputs-Imperial'!$E$5</f>
        <v>7.6771656000000004</v>
      </c>
      <c r="C124" s="188">
        <f>'Inputs-Imperial'!$E$10+('Inputs-Imperial'!$E$9-'Inputs-Imperial'!$E$10)*(100-A124)/100</f>
        <v>1.3648294399999998</v>
      </c>
      <c r="D124" s="187">
        <f t="shared" si="68"/>
        <v>9.8425200000000324E-2</v>
      </c>
      <c r="E124" s="188">
        <f t="shared" si="69"/>
        <v>0.13481798659764044</v>
      </c>
      <c r="F124" s="423">
        <f>Sizing!F138</f>
        <v>17.448111785646255</v>
      </c>
      <c r="G124" s="423">
        <f>Sizing!G138</f>
        <v>174.48111785646259</v>
      </c>
      <c r="H124" s="423">
        <f>Sizing!H138</f>
        <v>179.07388905086884</v>
      </c>
      <c r="I124" s="423">
        <f>Sizing!I138</f>
        <v>-104.57816114451103</v>
      </c>
      <c r="J124" s="189">
        <f>Sizing!J138</f>
        <v>17.907388905086886</v>
      </c>
      <c r="K124" s="128">
        <v>78</v>
      </c>
      <c r="L124" s="12">
        <f t="shared" si="45"/>
        <v>92.125987199999997</v>
      </c>
      <c r="M124" s="11">
        <f t="shared" si="45"/>
        <v>16.37795328</v>
      </c>
      <c r="N124" s="11">
        <f t="shared" si="45"/>
        <v>1.1811024000000039</v>
      </c>
      <c r="O124" s="152">
        <f t="shared" si="46"/>
        <v>19.413790070060223</v>
      </c>
      <c r="P124" s="8">
        <f t="shared" ref="P124:P146" si="81">M124*$E$17</f>
        <v>2.9480315903999998</v>
      </c>
      <c r="Q124" s="12">
        <f t="shared" si="70"/>
        <v>3.4944822126108401</v>
      </c>
      <c r="R124" s="8">
        <f t="shared" ref="R124:R146" si="82">M124*$E$21</f>
        <v>1.4740157951999999</v>
      </c>
      <c r="S124" s="12">
        <f t="shared" si="71"/>
        <v>1.7472411063054201</v>
      </c>
      <c r="T124" s="17">
        <f>Sizing!CN138</f>
        <v>0.25</v>
      </c>
      <c r="U124" s="17">
        <f>Sizing!CO138</f>
        <v>2.3622047244094495E-2</v>
      </c>
      <c r="V124" s="17">
        <f>Sizing!CP138</f>
        <v>1.5748031496062995E-2</v>
      </c>
      <c r="W124" s="128">
        <f t="shared" si="47"/>
        <v>3.0224609670856709E-3</v>
      </c>
      <c r="X124" s="2">
        <f t="shared" si="48"/>
        <v>7.2254596295506844E-4</v>
      </c>
      <c r="Y124" s="2">
        <f t="shared" si="49"/>
        <v>3.7450069300407392E-3</v>
      </c>
      <c r="Z124" s="216">
        <f t="shared" si="72"/>
        <v>6.0586050965133295E-2</v>
      </c>
      <c r="AA124" s="138">
        <f t="shared" si="73"/>
        <v>1.4483630066017744E-2</v>
      </c>
      <c r="AB124" s="17">
        <f t="shared" si="74"/>
        <v>7.5069681031151039E-2</v>
      </c>
      <c r="AC124" s="311">
        <f t="shared" si="75"/>
        <v>5.9541463879527551E-2</v>
      </c>
      <c r="AD124" s="316">
        <f t="shared" si="76"/>
        <v>1.4233912306258818E-2</v>
      </c>
      <c r="AE124" s="21">
        <f t="shared" si="77"/>
        <v>7.3775376185786362E-2</v>
      </c>
      <c r="AF124" s="170">
        <f>Sizing!DU138</f>
        <v>3.7417273971028842E-2</v>
      </c>
      <c r="AG124" s="170">
        <f>Sizing!DV138</f>
        <v>0.19343545169132995</v>
      </c>
      <c r="AH124" s="170">
        <f>Sizing!DW138</f>
        <v>3.7417273971028842E-2</v>
      </c>
      <c r="AI124" s="272">
        <f>Sizing!DX138</f>
        <v>0.19343545169132995</v>
      </c>
      <c r="AJ124" s="216">
        <f>Sizing!GJ138</f>
        <v>0.25</v>
      </c>
      <c r="AK124" s="216">
        <f>Sizing!GK138</f>
        <v>1.5748031496062995E-2</v>
      </c>
      <c r="AL124" s="17">
        <f>Sizing!GL138</f>
        <v>1.5748031496062995E-2</v>
      </c>
      <c r="AM124" s="216">
        <f t="shared" si="50"/>
        <v>2.4179687736685367E-3</v>
      </c>
      <c r="AN124" s="138">
        <f t="shared" si="51"/>
        <v>7.2254596295506844E-4</v>
      </c>
      <c r="AO124" s="138">
        <f t="shared" si="52"/>
        <v>3.1405147366236051E-3</v>
      </c>
      <c r="AP124" s="311">
        <f t="shared" si="78"/>
        <v>8.4495488702331471E-3</v>
      </c>
      <c r="AQ124" s="11">
        <f t="shared" si="79"/>
        <v>2.5249240153402577E-3</v>
      </c>
      <c r="AR124" s="21">
        <f t="shared" si="80"/>
        <v>1.0974472885573405E-2</v>
      </c>
      <c r="AS124" s="11">
        <f t="shared" si="53"/>
        <v>2.7142140885873045E-3</v>
      </c>
      <c r="AT124" s="21">
        <f t="shared" si="54"/>
        <v>2.7142140885873045E-3</v>
      </c>
      <c r="AU124" s="170">
        <f>Sizing!JC138</f>
        <v>6.3172897578446421E-4</v>
      </c>
      <c r="AV124" s="272">
        <f>Sizing!JD138</f>
        <v>2.5134219219710489E-2</v>
      </c>
      <c r="AW124" s="170">
        <f>Sizing!JC138</f>
        <v>6.3172897578446421E-4</v>
      </c>
      <c r="AX124" s="272">
        <f>Sizing!JD138</f>
        <v>2.5134219219710489E-2</v>
      </c>
      <c r="AY124" s="216">
        <f>Sizing!IT138</f>
        <v>0.25</v>
      </c>
      <c r="AZ124" s="216">
        <f>Sizing!IU138</f>
        <v>1.5748031496062995E-2</v>
      </c>
      <c r="BA124" s="17">
        <f>Sizing!IV138</f>
        <v>1.5748031496062995E-2</v>
      </c>
      <c r="BB124" s="216">
        <f t="shared" si="55"/>
        <v>2.4179687736685367E-3</v>
      </c>
      <c r="BC124" s="138">
        <f t="shared" si="56"/>
        <v>7.2254596295506844E-4</v>
      </c>
      <c r="BD124" s="138">
        <f t="shared" si="57"/>
        <v>3.1405147366236051E-3</v>
      </c>
      <c r="BE124" s="311">
        <f t="shared" si="58"/>
        <v>4.2247744351165736E-3</v>
      </c>
      <c r="BF124" s="11">
        <f t="shared" si="59"/>
        <v>1.2624620076701289E-3</v>
      </c>
      <c r="BG124" s="21">
        <f t="shared" si="60"/>
        <v>5.4872364427867026E-3</v>
      </c>
      <c r="BH124" s="21">
        <f t="shared" si="61"/>
        <v>4.582502957245429E-5</v>
      </c>
      <c r="BI124" s="21">
        <f t="shared" si="62"/>
        <v>4.582502957245429E-5</v>
      </c>
      <c r="BJ124" s="561"/>
      <c r="BK124">
        <f t="shared" si="63"/>
        <v>0.68241471999999992</v>
      </c>
      <c r="BL124">
        <f t="shared" si="64"/>
        <v>0.68241471999999992</v>
      </c>
      <c r="BM124">
        <f>C124*'Inputs-Imperial'!$E$12</f>
        <v>0.34120735999999996</v>
      </c>
      <c r="BN124">
        <f>C124*'Inputs-Imperial'!$E$12</f>
        <v>0.34120735999999996</v>
      </c>
      <c r="BO124">
        <f>C124*'Inputs-Imperial'!$E$12</f>
        <v>0.34120735999999996</v>
      </c>
      <c r="BP124">
        <f>C124*'Weight '!$E$15</f>
        <v>0.68241471999999992</v>
      </c>
      <c r="BQ124">
        <f>C124*'Weight '!$E$15</f>
        <v>0.68241471999999992</v>
      </c>
      <c r="BR124">
        <f>C124*'Weight '!$E$15</f>
        <v>0.68241471999999992</v>
      </c>
      <c r="BS124">
        <f t="shared" si="65"/>
        <v>0.11097796288216917</v>
      </c>
      <c r="BT124" s="564">
        <f t="shared" si="66"/>
        <v>0.17082684478161703</v>
      </c>
      <c r="BU124">
        <f t="shared" si="67"/>
        <v>0.64965177471984603</v>
      </c>
    </row>
    <row r="125" spans="1:73" x14ac:dyDescent="0.25">
      <c r="A125" s="186">
        <v>79</v>
      </c>
      <c r="B125" s="187">
        <f>A125/100*'Inputs-Imperial'!$E$5</f>
        <v>7.7755908000000007</v>
      </c>
      <c r="C125" s="188">
        <f>'Inputs-Imperial'!$E$10+('Inputs-Imperial'!$E$9-'Inputs-Imperial'!$E$10)*(100-A125)/100</f>
        <v>1.35498692</v>
      </c>
      <c r="D125" s="187">
        <f t="shared" si="68"/>
        <v>9.8425200000000324E-2</v>
      </c>
      <c r="E125" s="188">
        <f t="shared" si="69"/>
        <v>0.13384923459813644</v>
      </c>
      <c r="F125" s="423">
        <f>Sizing!F139</f>
        <v>16.467565210020027</v>
      </c>
      <c r="G125" s="423">
        <f>Sizing!G139</f>
        <v>164.6756521002003</v>
      </c>
      <c r="H125" s="423">
        <f>Sizing!H139</f>
        <v>161.90055012962287</v>
      </c>
      <c r="I125" s="423">
        <f>Sizing!I139</f>
        <v>-97.471389577387342</v>
      </c>
      <c r="J125" s="189">
        <f>Sizing!J139</f>
        <v>16.19005501296229</v>
      </c>
      <c r="K125" s="128">
        <v>79</v>
      </c>
      <c r="L125" s="12">
        <f t="shared" si="45"/>
        <v>93.307089600000012</v>
      </c>
      <c r="M125" s="11">
        <f t="shared" si="45"/>
        <v>16.25984304</v>
      </c>
      <c r="N125" s="11">
        <f t="shared" si="45"/>
        <v>1.1811024000000039</v>
      </c>
      <c r="O125" s="152">
        <f t="shared" si="46"/>
        <v>19.274289782131646</v>
      </c>
      <c r="P125" s="8">
        <f t="shared" si="81"/>
        <v>2.9267717471999997</v>
      </c>
      <c r="Q125" s="12">
        <f t="shared" si="70"/>
        <v>3.469372160783696</v>
      </c>
      <c r="R125" s="8">
        <f t="shared" si="82"/>
        <v>1.4633858735999998</v>
      </c>
      <c r="S125" s="12">
        <f t="shared" si="71"/>
        <v>1.734686080391848</v>
      </c>
      <c r="T125" s="17">
        <f>Sizing!CN139</f>
        <v>0.25</v>
      </c>
      <c r="U125" s="17">
        <f>Sizing!CO139</f>
        <v>2.3622047244094495E-2</v>
      </c>
      <c r="V125" s="17">
        <f>Sizing!CP139</f>
        <v>1.5748031496062995E-2</v>
      </c>
      <c r="W125" s="128">
        <f t="shared" si="47"/>
        <v>3.0224609670856709E-3</v>
      </c>
      <c r="X125" s="2">
        <f t="shared" si="48"/>
        <v>7.2254596295506844E-4</v>
      </c>
      <c r="Y125" s="2">
        <f t="shared" si="49"/>
        <v>3.7450069300407392E-3</v>
      </c>
      <c r="Z125" s="216">
        <f t="shared" si="72"/>
        <v>6.0150702095922756E-2</v>
      </c>
      <c r="AA125" s="138">
        <f t="shared" si="73"/>
        <v>1.4379556077519414E-2</v>
      </c>
      <c r="AB125" s="17">
        <f t="shared" si="74"/>
        <v>7.4530258173442165E-2</v>
      </c>
      <c r="AC125" s="311">
        <f t="shared" si="75"/>
        <v>5.9113621025303396E-2</v>
      </c>
      <c r="AD125" s="316">
        <f t="shared" si="76"/>
        <v>1.4131632696872527E-2</v>
      </c>
      <c r="AE125" s="21">
        <f t="shared" si="77"/>
        <v>7.3245253722175926E-2</v>
      </c>
      <c r="AF125" s="170">
        <f>Sizing!DU139</f>
        <v>3.7417273971028842E-2</v>
      </c>
      <c r="AG125" s="170">
        <f>Sizing!DV139</f>
        <v>0.19343545169132995</v>
      </c>
      <c r="AH125" s="170">
        <f>Sizing!DW139</f>
        <v>3.7417273971028842E-2</v>
      </c>
      <c r="AI125" s="272">
        <f>Sizing!DX139</f>
        <v>0.19343545169132995</v>
      </c>
      <c r="AJ125" s="216">
        <f>Sizing!GJ139</f>
        <v>0.25</v>
      </c>
      <c r="AK125" s="216">
        <f>Sizing!GK139</f>
        <v>1.5748031496062995E-2</v>
      </c>
      <c r="AL125" s="17">
        <f>Sizing!GL139</f>
        <v>1.5748031496062995E-2</v>
      </c>
      <c r="AM125" s="216">
        <f t="shared" si="50"/>
        <v>2.4179687736685367E-3</v>
      </c>
      <c r="AN125" s="138">
        <f t="shared" si="51"/>
        <v>7.2254596295506844E-4</v>
      </c>
      <c r="AO125" s="138">
        <f t="shared" si="52"/>
        <v>3.1405147366236051E-3</v>
      </c>
      <c r="AP125" s="311">
        <f t="shared" si="78"/>
        <v>8.3888335490099157E-3</v>
      </c>
      <c r="AQ125" s="11">
        <f t="shared" si="79"/>
        <v>2.5067808487629624E-3</v>
      </c>
      <c r="AR125" s="21">
        <f t="shared" si="80"/>
        <v>1.0895614397772877E-2</v>
      </c>
      <c r="AS125" s="11">
        <f t="shared" si="53"/>
        <v>2.7142140885873045E-3</v>
      </c>
      <c r="AT125" s="21">
        <f t="shared" si="54"/>
        <v>2.7142140885873045E-3</v>
      </c>
      <c r="AU125" s="170">
        <f>Sizing!JC139</f>
        <v>6.3172897578446421E-4</v>
      </c>
      <c r="AV125" s="272">
        <f>Sizing!JD139</f>
        <v>2.5134219219710489E-2</v>
      </c>
      <c r="AW125" s="170">
        <f>Sizing!JC139</f>
        <v>6.3172897578446421E-4</v>
      </c>
      <c r="AX125" s="272">
        <f>Sizing!JD139</f>
        <v>2.5134219219710489E-2</v>
      </c>
      <c r="AY125" s="216">
        <f>Sizing!IT139</f>
        <v>0.25</v>
      </c>
      <c r="AZ125" s="216">
        <f>Sizing!IU139</f>
        <v>1.5748031496062995E-2</v>
      </c>
      <c r="BA125" s="17">
        <f>Sizing!IV139</f>
        <v>1.5748031496062995E-2</v>
      </c>
      <c r="BB125" s="216">
        <f t="shared" si="55"/>
        <v>2.4179687736685367E-3</v>
      </c>
      <c r="BC125" s="138">
        <f t="shared" si="56"/>
        <v>7.2254596295506844E-4</v>
      </c>
      <c r="BD125" s="138">
        <f t="shared" si="57"/>
        <v>3.1405147366236051E-3</v>
      </c>
      <c r="BE125" s="311">
        <f t="shared" si="58"/>
        <v>4.1944167745049579E-3</v>
      </c>
      <c r="BF125" s="11">
        <f t="shared" si="59"/>
        <v>1.2533904243814812E-3</v>
      </c>
      <c r="BG125" s="21">
        <f t="shared" si="60"/>
        <v>5.4478071988864384E-3</v>
      </c>
      <c r="BH125" s="21">
        <f t="shared" si="61"/>
        <v>4.582502957245429E-5</v>
      </c>
      <c r="BI125" s="21">
        <f t="shared" si="62"/>
        <v>4.582502957245429E-5</v>
      </c>
      <c r="BJ125" s="561"/>
      <c r="BK125">
        <f t="shared" si="63"/>
        <v>0.67749345999999999</v>
      </c>
      <c r="BL125">
        <f t="shared" si="64"/>
        <v>0.67749345999999999</v>
      </c>
      <c r="BM125">
        <f>C125*'Inputs-Imperial'!$E$12</f>
        <v>0.33874673</v>
      </c>
      <c r="BN125">
        <f>C125*'Inputs-Imperial'!$E$12</f>
        <v>0.33874673</v>
      </c>
      <c r="BO125">
        <f>C125*'Inputs-Imperial'!$E$12</f>
        <v>0.33874673</v>
      </c>
      <c r="BP125">
        <f>C125*'Weight '!$E$15</f>
        <v>0.67749345999999999</v>
      </c>
      <c r="BQ125">
        <f>C125*'Weight '!$E$15</f>
        <v>0.67749345999999999</v>
      </c>
      <c r="BR125">
        <f>C125*'Weight '!$E$15</f>
        <v>0.67749345999999999</v>
      </c>
      <c r="BS125">
        <f t="shared" si="65"/>
        <v>0.10939960496434346</v>
      </c>
      <c r="BT125" s="564">
        <f t="shared" si="66"/>
        <v>0.16963901172859691</v>
      </c>
      <c r="BU125">
        <f t="shared" si="67"/>
        <v>0.64489650021877254</v>
      </c>
    </row>
    <row r="126" spans="1:73" x14ac:dyDescent="0.25">
      <c r="A126" s="186">
        <v>80</v>
      </c>
      <c r="B126" s="187">
        <f>A126/100*'Inputs-Imperial'!$E$5</f>
        <v>7.874016000000001</v>
      </c>
      <c r="C126" s="188">
        <f>'Inputs-Imperial'!$E$10+('Inputs-Imperial'!$E$9-'Inputs-Imperial'!$E$10)*(100-A126)/100</f>
        <v>1.3451443999999999</v>
      </c>
      <c r="D126" s="187">
        <f t="shared" si="68"/>
        <v>9.8425200000000324E-2</v>
      </c>
      <c r="E126" s="188">
        <f t="shared" si="69"/>
        <v>0.13288048259863242</v>
      </c>
      <c r="F126" s="423">
        <f>Sizing!F140</f>
        <v>15.500603210721277</v>
      </c>
      <c r="G126" s="423">
        <f>Sizing!G140</f>
        <v>155.0060321072128</v>
      </c>
      <c r="H126" s="423">
        <f>Sizing!H140</f>
        <v>145.6923161365302</v>
      </c>
      <c r="I126" s="423">
        <f>Sizing!I140</f>
        <v>-90.562044162016335</v>
      </c>
      <c r="J126" s="189">
        <f>Sizing!J140</f>
        <v>14.56923161365302</v>
      </c>
      <c r="K126" s="128">
        <v>80</v>
      </c>
      <c r="L126" s="12">
        <f t="shared" si="45"/>
        <v>94.488192000000012</v>
      </c>
      <c r="M126" s="11">
        <f t="shared" si="45"/>
        <v>16.1417328</v>
      </c>
      <c r="N126" s="11">
        <f t="shared" si="45"/>
        <v>1.1811024000000039</v>
      </c>
      <c r="O126" s="152">
        <f t="shared" si="46"/>
        <v>19.134789494203069</v>
      </c>
      <c r="P126" s="8">
        <f t="shared" si="81"/>
        <v>2.9055119039999999</v>
      </c>
      <c r="Q126" s="12">
        <f t="shared" si="70"/>
        <v>3.4442621089565524</v>
      </c>
      <c r="R126" s="8">
        <f t="shared" si="82"/>
        <v>1.452755952</v>
      </c>
      <c r="S126" s="12">
        <f t="shared" si="71"/>
        <v>1.7221310544782762</v>
      </c>
      <c r="T126" s="17">
        <f>Sizing!CN140</f>
        <v>0.25</v>
      </c>
      <c r="U126" s="17">
        <f>Sizing!CO140</f>
        <v>2.3622047244094495E-2</v>
      </c>
      <c r="V126" s="17">
        <f>Sizing!CP140</f>
        <v>1.5748031496062995E-2</v>
      </c>
      <c r="W126" s="128">
        <f t="shared" si="47"/>
        <v>3.0224609670856709E-3</v>
      </c>
      <c r="X126" s="2">
        <f t="shared" si="48"/>
        <v>7.2254596295506844E-4</v>
      </c>
      <c r="Y126" s="2">
        <f t="shared" si="49"/>
        <v>3.7450069300407392E-3</v>
      </c>
      <c r="Z126" s="216">
        <f t="shared" si="72"/>
        <v>5.9715353226712217E-2</v>
      </c>
      <c r="AA126" s="138">
        <f t="shared" si="73"/>
        <v>1.4275482089021081E-2</v>
      </c>
      <c r="AB126" s="17">
        <f t="shared" si="74"/>
        <v>7.3990835315733292E-2</v>
      </c>
      <c r="AC126" s="311">
        <f t="shared" si="75"/>
        <v>5.8685778171079242E-2</v>
      </c>
      <c r="AD126" s="316">
        <f t="shared" si="76"/>
        <v>1.4029353087486235E-2</v>
      </c>
      <c r="AE126" s="21">
        <f t="shared" si="77"/>
        <v>7.2715131258565477E-2</v>
      </c>
      <c r="AF126" s="170">
        <f>Sizing!DU140</f>
        <v>1.6272075519057922E-2</v>
      </c>
      <c r="AG126" s="170">
        <f>Sizing!DV140</f>
        <v>0.12756204576227964</v>
      </c>
      <c r="AH126" s="170">
        <f>Sizing!DW140</f>
        <v>1.6272075519057922E-2</v>
      </c>
      <c r="AI126" s="272">
        <f>Sizing!DX140</f>
        <v>0.12756204576227964</v>
      </c>
      <c r="AJ126" s="216">
        <f>Sizing!GJ140</f>
        <v>0.25</v>
      </c>
      <c r="AK126" s="216">
        <f>Sizing!GK140</f>
        <v>1.5748031496062995E-2</v>
      </c>
      <c r="AL126" s="17">
        <f>Sizing!GL140</f>
        <v>1.5748031496062995E-2</v>
      </c>
      <c r="AM126" s="216">
        <f t="shared" si="50"/>
        <v>2.4179687736685367E-3</v>
      </c>
      <c r="AN126" s="138">
        <f t="shared" si="51"/>
        <v>7.2254596295506844E-4</v>
      </c>
      <c r="AO126" s="138">
        <f t="shared" si="52"/>
        <v>3.1405147366236051E-3</v>
      </c>
      <c r="AP126" s="311">
        <f t="shared" si="78"/>
        <v>8.3281182277866826E-3</v>
      </c>
      <c r="AQ126" s="11">
        <f t="shared" si="79"/>
        <v>2.488637682185667E-3</v>
      </c>
      <c r="AR126" s="21">
        <f t="shared" si="80"/>
        <v>1.081675590997235E-2</v>
      </c>
      <c r="AS126" s="11">
        <f t="shared" si="53"/>
        <v>1.1803611524073083E-3</v>
      </c>
      <c r="AT126" s="21">
        <f t="shared" si="54"/>
        <v>1.1803611524073083E-3</v>
      </c>
      <c r="AU126" s="170">
        <f>Sizing!JC140</f>
        <v>2.8003815318914239E-4</v>
      </c>
      <c r="AV126" s="272">
        <f>Sizing!JD140</f>
        <v>1.6734340536428149E-2</v>
      </c>
      <c r="AW126" s="170">
        <f>Sizing!JC140</f>
        <v>2.8003815318914239E-4</v>
      </c>
      <c r="AX126" s="272">
        <f>Sizing!JD140</f>
        <v>1.6734340536428149E-2</v>
      </c>
      <c r="AY126" s="216">
        <f>Sizing!IT140</f>
        <v>0.25</v>
      </c>
      <c r="AZ126" s="216">
        <f>Sizing!IU140</f>
        <v>1.5748031496062995E-2</v>
      </c>
      <c r="BA126" s="17">
        <f>Sizing!IV140</f>
        <v>1.5748031496062995E-2</v>
      </c>
      <c r="BB126" s="216">
        <f t="shared" si="55"/>
        <v>2.4179687736685367E-3</v>
      </c>
      <c r="BC126" s="138">
        <f t="shared" si="56"/>
        <v>7.2254596295506844E-4</v>
      </c>
      <c r="BD126" s="138">
        <f t="shared" si="57"/>
        <v>3.1405147366236051E-3</v>
      </c>
      <c r="BE126" s="311">
        <f t="shared" si="58"/>
        <v>4.1640591138933413E-3</v>
      </c>
      <c r="BF126" s="11">
        <f t="shared" si="59"/>
        <v>1.2443188410928335E-3</v>
      </c>
      <c r="BG126" s="21">
        <f t="shared" si="60"/>
        <v>5.408377954986175E-3</v>
      </c>
      <c r="BH126" s="21">
        <f t="shared" si="61"/>
        <v>2.0313705945453207E-5</v>
      </c>
      <c r="BI126" s="21">
        <f t="shared" si="62"/>
        <v>2.0313705945453207E-5</v>
      </c>
      <c r="BJ126" s="561"/>
      <c r="BK126">
        <f t="shared" si="63"/>
        <v>0.67257219999999995</v>
      </c>
      <c r="BL126">
        <f t="shared" si="64"/>
        <v>0.67257219999999995</v>
      </c>
      <c r="BM126">
        <f>C126*'Inputs-Imperial'!$E$12</f>
        <v>0.33628609999999998</v>
      </c>
      <c r="BN126">
        <f>C126*'Inputs-Imperial'!$E$12</f>
        <v>0.33628609999999998</v>
      </c>
      <c r="BO126">
        <f>C126*'Inputs-Imperial'!$E$12</f>
        <v>0.33628609999999998</v>
      </c>
      <c r="BP126">
        <f>C126*'Weight '!$E$15</f>
        <v>0.67257219999999995</v>
      </c>
      <c r="BQ126">
        <f>C126*'Weight '!$E$15</f>
        <v>0.67257219999999995</v>
      </c>
      <c r="BR126">
        <f>C126*'Weight '!$E$15</f>
        <v>0.67257219999999995</v>
      </c>
      <c r="BS126">
        <f t="shared" si="65"/>
        <v>0.1067666069761006</v>
      </c>
      <c r="BT126" s="564">
        <f t="shared" si="66"/>
        <v>0.16533245015596282</v>
      </c>
      <c r="BU126">
        <f t="shared" si="67"/>
        <v>0.64576921756971861</v>
      </c>
    </row>
    <row r="127" spans="1:73" x14ac:dyDescent="0.25">
      <c r="A127" s="186">
        <v>81</v>
      </c>
      <c r="B127" s="187">
        <f>A127/100*'Inputs-Imperial'!$E$5</f>
        <v>7.9724412000000004</v>
      </c>
      <c r="C127" s="188">
        <f>'Inputs-Imperial'!$E$10+('Inputs-Imperial'!$E$9-'Inputs-Imperial'!$E$10)*(100-A127)/100</f>
        <v>1.3353018799999998</v>
      </c>
      <c r="D127" s="187">
        <f t="shared" si="68"/>
        <v>9.8425199999999435E-2</v>
      </c>
      <c r="E127" s="188">
        <f t="shared" si="69"/>
        <v>0.13191173059912725</v>
      </c>
      <c r="F127" s="423">
        <f>Sizing!F141</f>
        <v>14.547572095065064</v>
      </c>
      <c r="G127" s="423">
        <f>Sizing!G141</f>
        <v>145.47572095065067</v>
      </c>
      <c r="H127" s="423">
        <f>Sizing!H141</f>
        <v>130.43581642517145</v>
      </c>
      <c r="I127" s="423">
        <f>Sizing!I141</f>
        <v>-83.852319210141957</v>
      </c>
      <c r="J127" s="189">
        <f>Sizing!J141</f>
        <v>13.043581642517145</v>
      </c>
      <c r="K127" s="128">
        <v>81</v>
      </c>
      <c r="L127" s="12">
        <f t="shared" si="45"/>
        <v>95.669294400000013</v>
      </c>
      <c r="M127" s="11">
        <f t="shared" si="45"/>
        <v>16.02362256</v>
      </c>
      <c r="N127" s="11">
        <f t="shared" si="45"/>
        <v>1.1811023999999932</v>
      </c>
      <c r="O127" s="152">
        <f t="shared" si="46"/>
        <v>18.995289206274325</v>
      </c>
      <c r="P127" s="8">
        <f t="shared" si="81"/>
        <v>2.8842520607999997</v>
      </c>
      <c r="Q127" s="12">
        <f t="shared" si="70"/>
        <v>3.4191520571293781</v>
      </c>
      <c r="R127" s="8">
        <f t="shared" si="82"/>
        <v>1.4421260303999999</v>
      </c>
      <c r="S127" s="12">
        <f t="shared" si="71"/>
        <v>1.709576028564689</v>
      </c>
      <c r="T127" s="17">
        <f>Sizing!CN141</f>
        <v>0.25</v>
      </c>
      <c r="U127" s="17">
        <f>Sizing!CO141</f>
        <v>2.3622047244094495E-2</v>
      </c>
      <c r="V127" s="17">
        <f>Sizing!CP141</f>
        <v>1.5748031496062995E-2</v>
      </c>
      <c r="W127" s="128">
        <f t="shared" si="47"/>
        <v>3.0224609670856709E-3</v>
      </c>
      <c r="X127" s="2">
        <f t="shared" si="48"/>
        <v>7.2254596295506844E-4</v>
      </c>
      <c r="Y127" s="2">
        <f t="shared" si="49"/>
        <v>3.7450069300407392E-3</v>
      </c>
      <c r="Z127" s="216">
        <f t="shared" si="72"/>
        <v>5.9280004357501158E-2</v>
      </c>
      <c r="AA127" s="138">
        <f t="shared" si="73"/>
        <v>1.4171408100522625E-2</v>
      </c>
      <c r="AB127" s="17">
        <f t="shared" si="74"/>
        <v>7.3451412458023779E-2</v>
      </c>
      <c r="AC127" s="311">
        <f t="shared" si="75"/>
        <v>5.8257935316854581E-2</v>
      </c>
      <c r="AD127" s="316">
        <f t="shared" si="76"/>
        <v>1.3927073478099822E-2</v>
      </c>
      <c r="AE127" s="21">
        <f t="shared" si="77"/>
        <v>7.2185008794954403E-2</v>
      </c>
      <c r="AF127" s="170">
        <f>Sizing!DU141</f>
        <v>1.6272075519057922E-2</v>
      </c>
      <c r="AG127" s="170">
        <f>Sizing!DV141</f>
        <v>0.12756204576227964</v>
      </c>
      <c r="AH127" s="170">
        <f>Sizing!DW141</f>
        <v>1.6272075519057922E-2</v>
      </c>
      <c r="AI127" s="272">
        <f>Sizing!DX141</f>
        <v>0.12756204576227964</v>
      </c>
      <c r="AJ127" s="216">
        <f>Sizing!GJ141</f>
        <v>0.25</v>
      </c>
      <c r="AK127" s="216">
        <f>Sizing!GK141</f>
        <v>1.5748031496062995E-2</v>
      </c>
      <c r="AL127" s="17">
        <f>Sizing!GL141</f>
        <v>1.5748031496062995E-2</v>
      </c>
      <c r="AM127" s="216">
        <f t="shared" si="50"/>
        <v>2.4179687736685367E-3</v>
      </c>
      <c r="AN127" s="138">
        <f t="shared" si="51"/>
        <v>7.2254596295506844E-4</v>
      </c>
      <c r="AO127" s="138">
        <f t="shared" si="52"/>
        <v>3.1405147366236051E-3</v>
      </c>
      <c r="AP127" s="311">
        <f t="shared" si="78"/>
        <v>8.2674029065633765E-3</v>
      </c>
      <c r="AQ127" s="11">
        <f t="shared" si="79"/>
        <v>2.4704945156083496E-3</v>
      </c>
      <c r="AR127" s="21">
        <f t="shared" si="80"/>
        <v>1.0737897422171726E-2</v>
      </c>
      <c r="AS127" s="11">
        <f t="shared" si="53"/>
        <v>1.1803611524072977E-3</v>
      </c>
      <c r="AT127" s="21">
        <f t="shared" si="54"/>
        <v>1.1803611524072977E-3</v>
      </c>
      <c r="AU127" s="170">
        <f>Sizing!JC141</f>
        <v>2.8003815318914239E-4</v>
      </c>
      <c r="AV127" s="272">
        <f>Sizing!JD141</f>
        <v>1.6734340536428149E-2</v>
      </c>
      <c r="AW127" s="170">
        <f>Sizing!JC141</f>
        <v>2.8003815318914239E-4</v>
      </c>
      <c r="AX127" s="272">
        <f>Sizing!JD141</f>
        <v>1.6734340536428149E-2</v>
      </c>
      <c r="AY127" s="216">
        <f>Sizing!IT141</f>
        <v>0.25</v>
      </c>
      <c r="AZ127" s="216">
        <f>Sizing!IU141</f>
        <v>1.5748031496062995E-2</v>
      </c>
      <c r="BA127" s="17">
        <f>Sizing!IV141</f>
        <v>1.5748031496062995E-2</v>
      </c>
      <c r="BB127" s="216">
        <f t="shared" si="55"/>
        <v>2.4179687736685367E-3</v>
      </c>
      <c r="BC127" s="138">
        <f t="shared" si="56"/>
        <v>7.2254596295506844E-4</v>
      </c>
      <c r="BD127" s="138">
        <f t="shared" si="57"/>
        <v>3.1405147366236051E-3</v>
      </c>
      <c r="BE127" s="311">
        <f t="shared" si="58"/>
        <v>4.1337014532816883E-3</v>
      </c>
      <c r="BF127" s="11">
        <f t="shared" si="59"/>
        <v>1.2352472578041748E-3</v>
      </c>
      <c r="BG127" s="21">
        <f t="shared" si="60"/>
        <v>5.3689487110858631E-3</v>
      </c>
      <c r="BH127" s="21">
        <f t="shared" si="61"/>
        <v>2.0313705945453024E-5</v>
      </c>
      <c r="BI127" s="21">
        <f t="shared" si="62"/>
        <v>2.0313705945453024E-5</v>
      </c>
      <c r="BJ127" s="561"/>
      <c r="BK127">
        <f t="shared" si="63"/>
        <v>0.66765093999999992</v>
      </c>
      <c r="BL127">
        <f t="shared" si="64"/>
        <v>0.66765093999999992</v>
      </c>
      <c r="BM127">
        <f>C127*'Inputs-Imperial'!$E$12</f>
        <v>0.33382546999999996</v>
      </c>
      <c r="BN127">
        <f>C127*'Inputs-Imperial'!$E$12</f>
        <v>0.33382546999999996</v>
      </c>
      <c r="BO127">
        <f>C127*'Inputs-Imperial'!$E$12</f>
        <v>0.33382546999999996</v>
      </c>
      <c r="BP127">
        <f>C127*'Weight '!$E$15</f>
        <v>0.66765093999999992</v>
      </c>
      <c r="BQ127">
        <f>C127*'Weight '!$E$15</f>
        <v>0.66765093999999992</v>
      </c>
      <c r="BR127">
        <f>C127*'Weight '!$E$15</f>
        <v>0.66765093999999992</v>
      </c>
      <c r="BS127">
        <f t="shared" si="65"/>
        <v>0.10521865501800631</v>
      </c>
      <c r="BT127" s="564">
        <f t="shared" si="66"/>
        <v>0.16414461710294131</v>
      </c>
      <c r="BU127">
        <f t="shared" si="67"/>
        <v>0.64101191300120253</v>
      </c>
    </row>
    <row r="128" spans="1:73" x14ac:dyDescent="0.25">
      <c r="A128" s="186">
        <v>82</v>
      </c>
      <c r="B128" s="187">
        <f>A128/100*'Inputs-Imperial'!$E$5</f>
        <v>8.0708663999999999</v>
      </c>
      <c r="C128" s="188">
        <f>'Inputs-Imperial'!$E$10+('Inputs-Imperial'!$E$9-'Inputs-Imperial'!$E$10)*(100-A128)/100</f>
        <v>1.32545936</v>
      </c>
      <c r="D128" s="187">
        <f t="shared" si="68"/>
        <v>9.8425199999999435E-2</v>
      </c>
      <c r="E128" s="188">
        <f t="shared" si="69"/>
        <v>0.13094297859962323</v>
      </c>
      <c r="F128" s="423">
        <f>Sizing!F142</f>
        <v>13.608842118548246</v>
      </c>
      <c r="G128" s="423">
        <f>Sizing!G142</f>
        <v>136.08842118548247</v>
      </c>
      <c r="H128" s="423">
        <f>Sizing!H142</f>
        <v>116.11733949545956</v>
      </c>
      <c r="I128" s="423">
        <f>Sizing!I142</f>
        <v>-77.34453241806267</v>
      </c>
      <c r="J128" s="189">
        <f>Sizing!J142</f>
        <v>11.611733949545956</v>
      </c>
      <c r="K128" s="128">
        <v>82</v>
      </c>
      <c r="L128" s="12">
        <f t="shared" si="45"/>
        <v>96.850396799999999</v>
      </c>
      <c r="M128" s="11">
        <f t="shared" si="45"/>
        <v>15.90551232</v>
      </c>
      <c r="N128" s="11">
        <f t="shared" si="45"/>
        <v>1.1811023999999932</v>
      </c>
      <c r="O128" s="152">
        <f t="shared" si="46"/>
        <v>18.855788918345745</v>
      </c>
      <c r="P128" s="8">
        <f t="shared" si="81"/>
        <v>2.8629922176</v>
      </c>
      <c r="Q128" s="12">
        <f t="shared" si="70"/>
        <v>3.3940420053022349</v>
      </c>
      <c r="R128" s="8">
        <f t="shared" si="82"/>
        <v>1.4314961088</v>
      </c>
      <c r="S128" s="12">
        <f t="shared" si="71"/>
        <v>1.6970210026511174</v>
      </c>
      <c r="T128" s="17">
        <f>Sizing!CN142</f>
        <v>0.25</v>
      </c>
      <c r="U128" s="17">
        <f>Sizing!CO142</f>
        <v>2.3622047244094495E-2</v>
      </c>
      <c r="V128" s="17">
        <f>Sizing!CP142</f>
        <v>1.5748031496062995E-2</v>
      </c>
      <c r="W128" s="128">
        <f t="shared" si="47"/>
        <v>3.0224609670856709E-3</v>
      </c>
      <c r="X128" s="2">
        <f t="shared" si="48"/>
        <v>7.2254596295506844E-4</v>
      </c>
      <c r="Y128" s="2">
        <f t="shared" si="49"/>
        <v>3.7450069300407392E-3</v>
      </c>
      <c r="Z128" s="216">
        <f t="shared" si="72"/>
        <v>5.8844655488290598E-2</v>
      </c>
      <c r="AA128" s="138">
        <f t="shared" si="73"/>
        <v>1.406733411202429E-2</v>
      </c>
      <c r="AB128" s="17">
        <f t="shared" si="74"/>
        <v>7.2911989600314892E-2</v>
      </c>
      <c r="AC128" s="311">
        <f t="shared" si="75"/>
        <v>5.783009246263042E-2</v>
      </c>
      <c r="AD128" s="316">
        <f t="shared" si="76"/>
        <v>1.3824793868713527E-2</v>
      </c>
      <c r="AE128" s="21">
        <f t="shared" si="77"/>
        <v>7.1654886331343939E-2</v>
      </c>
      <c r="AF128" s="170">
        <f>Sizing!DU142</f>
        <v>1.6272075519057922E-2</v>
      </c>
      <c r="AG128" s="170">
        <f>Sizing!DV142</f>
        <v>0.12756204576227964</v>
      </c>
      <c r="AH128" s="170">
        <f>Sizing!DW142</f>
        <v>1.6272075519057922E-2</v>
      </c>
      <c r="AI128" s="272">
        <f>Sizing!DX142</f>
        <v>0.12756204576227964</v>
      </c>
      <c r="AJ128" s="216">
        <f>Sizing!GJ142</f>
        <v>0.25</v>
      </c>
      <c r="AK128" s="216">
        <f>Sizing!GK142</f>
        <v>1.5748031496062995E-2</v>
      </c>
      <c r="AL128" s="17">
        <f>Sizing!GL142</f>
        <v>1.5748031496062995E-2</v>
      </c>
      <c r="AM128" s="216">
        <f t="shared" si="50"/>
        <v>2.4179687736685367E-3</v>
      </c>
      <c r="AN128" s="138">
        <f t="shared" si="51"/>
        <v>7.2254596295506844E-4</v>
      </c>
      <c r="AO128" s="138">
        <f t="shared" si="52"/>
        <v>3.1405147366236051E-3</v>
      </c>
      <c r="AP128" s="311">
        <f t="shared" si="78"/>
        <v>8.2066875853401468E-3</v>
      </c>
      <c r="AQ128" s="11">
        <f t="shared" si="79"/>
        <v>2.4523513490310547E-3</v>
      </c>
      <c r="AR128" s="21">
        <f t="shared" si="80"/>
        <v>1.0659038934371201E-2</v>
      </c>
      <c r="AS128" s="11">
        <f t="shared" si="53"/>
        <v>1.1803611524072977E-3</v>
      </c>
      <c r="AT128" s="21">
        <f t="shared" si="54"/>
        <v>1.1803611524072977E-3</v>
      </c>
      <c r="AU128" s="170">
        <f>Sizing!JC142</f>
        <v>2.8003815318914239E-4</v>
      </c>
      <c r="AV128" s="272">
        <f>Sizing!JD142</f>
        <v>1.6734340536428149E-2</v>
      </c>
      <c r="AW128" s="170">
        <f>Sizing!JC142</f>
        <v>2.8003815318914239E-4</v>
      </c>
      <c r="AX128" s="272">
        <f>Sizing!JD142</f>
        <v>1.6734340536428149E-2</v>
      </c>
      <c r="AY128" s="216">
        <f>Sizing!IT142</f>
        <v>0.25</v>
      </c>
      <c r="AZ128" s="216">
        <f>Sizing!IU142</f>
        <v>1.5748031496062995E-2</v>
      </c>
      <c r="BA128" s="17">
        <f>Sizing!IV142</f>
        <v>1.5748031496062995E-2</v>
      </c>
      <c r="BB128" s="216">
        <f t="shared" si="55"/>
        <v>2.4179687736685367E-3</v>
      </c>
      <c r="BC128" s="138">
        <f t="shared" si="56"/>
        <v>7.2254596295506844E-4</v>
      </c>
      <c r="BD128" s="138">
        <f t="shared" si="57"/>
        <v>3.1405147366236051E-3</v>
      </c>
      <c r="BE128" s="311">
        <f t="shared" si="58"/>
        <v>4.1033437926700734E-3</v>
      </c>
      <c r="BF128" s="11">
        <f t="shared" si="59"/>
        <v>1.2261756745155273E-3</v>
      </c>
      <c r="BG128" s="21">
        <f t="shared" si="60"/>
        <v>5.3295194671856005E-3</v>
      </c>
      <c r="BH128" s="21">
        <f t="shared" si="61"/>
        <v>2.0313705945453024E-5</v>
      </c>
      <c r="BI128" s="21">
        <f t="shared" si="62"/>
        <v>2.0313705945453024E-5</v>
      </c>
      <c r="BJ128" s="561"/>
      <c r="BK128">
        <f t="shared" si="63"/>
        <v>0.66272967999999999</v>
      </c>
      <c r="BL128">
        <f t="shared" si="64"/>
        <v>0.66272967999999999</v>
      </c>
      <c r="BM128">
        <f>C128*'Inputs-Imperial'!$E$12</f>
        <v>0.33136483999999999</v>
      </c>
      <c r="BN128">
        <f>C128*'Inputs-Imperial'!$E$12</f>
        <v>0.33136483999999999</v>
      </c>
      <c r="BO128">
        <f>C128*'Inputs-Imperial'!$E$12</f>
        <v>0.33136483999999999</v>
      </c>
      <c r="BP128">
        <f>C128*'Weight '!$E$15</f>
        <v>0.66272967999999999</v>
      </c>
      <c r="BQ128">
        <f>C128*'Weight '!$E$15</f>
        <v>0.66272967999999999</v>
      </c>
      <c r="BR128">
        <f>C128*'Weight '!$E$15</f>
        <v>0.66272967999999999</v>
      </c>
      <c r="BS128">
        <f t="shared" si="65"/>
        <v>0.10368200624737232</v>
      </c>
      <c r="BT128" s="564">
        <f t="shared" si="66"/>
        <v>0.16295678404992117</v>
      </c>
      <c r="BU128">
        <f t="shared" si="67"/>
        <v>0.63625461714812526</v>
      </c>
    </row>
    <row r="129" spans="1:73" x14ac:dyDescent="0.25">
      <c r="A129" s="186">
        <v>83</v>
      </c>
      <c r="B129" s="187">
        <f>A129/100*'Inputs-Imperial'!$E$5</f>
        <v>8.1692915999999993</v>
      </c>
      <c r="C129" s="188">
        <f>'Inputs-Imperial'!$E$10+('Inputs-Imperial'!$E$9-'Inputs-Imperial'!$E$10)*(100-A129)/100</f>
        <v>1.3156168399999999</v>
      </c>
      <c r="D129" s="187">
        <f t="shared" si="68"/>
        <v>9.8425199999999435E-2</v>
      </c>
      <c r="E129" s="188">
        <f t="shared" si="69"/>
        <v>0.12997422660011923</v>
      </c>
      <c r="F129" s="423">
        <f>Sizing!F143</f>
        <v>12.684810738488826</v>
      </c>
      <c r="G129" s="423">
        <f>Sizing!G143</f>
        <v>126.84810738488827</v>
      </c>
      <c r="H129" s="423">
        <f>Sizing!H143</f>
        <v>102.7228094225943</v>
      </c>
      <c r="I129" s="423">
        <f>Sizing!I143</f>
        <v>-71.041144208848408</v>
      </c>
      <c r="J129" s="189">
        <f>Sizing!J143</f>
        <v>10.272280942259428</v>
      </c>
      <c r="K129" s="128">
        <v>83</v>
      </c>
      <c r="L129" s="12">
        <f t="shared" si="45"/>
        <v>98.031499199999985</v>
      </c>
      <c r="M129" s="11">
        <f t="shared" si="45"/>
        <v>15.78740208</v>
      </c>
      <c r="N129" s="11">
        <f t="shared" si="45"/>
        <v>1.1811023999999932</v>
      </c>
      <c r="O129" s="152">
        <f t="shared" si="46"/>
        <v>18.716288630417168</v>
      </c>
      <c r="P129" s="8">
        <f t="shared" si="81"/>
        <v>2.8417323743999998</v>
      </c>
      <c r="Q129" s="12">
        <f t="shared" si="70"/>
        <v>3.3689319534750908</v>
      </c>
      <c r="R129" s="8">
        <f t="shared" si="82"/>
        <v>1.4208661871999999</v>
      </c>
      <c r="S129" s="12">
        <f t="shared" si="71"/>
        <v>1.6844659767375454</v>
      </c>
      <c r="T129" s="17">
        <f>Sizing!CN143</f>
        <v>0.25</v>
      </c>
      <c r="U129" s="17">
        <f>Sizing!CO143</f>
        <v>2.3622047244094495E-2</v>
      </c>
      <c r="V129" s="17">
        <f>Sizing!CP143</f>
        <v>1.5748031496062995E-2</v>
      </c>
      <c r="W129" s="128">
        <f t="shared" si="47"/>
        <v>3.0224609670856709E-3</v>
      </c>
      <c r="X129" s="2">
        <f t="shared" si="48"/>
        <v>7.2254596295506844E-4</v>
      </c>
      <c r="Y129" s="2">
        <f t="shared" si="49"/>
        <v>3.7450069300407392E-3</v>
      </c>
      <c r="Z129" s="216">
        <f t="shared" si="72"/>
        <v>5.8409306619080066E-2</v>
      </c>
      <c r="AA129" s="138">
        <f t="shared" si="73"/>
        <v>1.396326012352596E-2</v>
      </c>
      <c r="AB129" s="17">
        <f t="shared" si="74"/>
        <v>7.2372566742606018E-2</v>
      </c>
      <c r="AC129" s="311">
        <f t="shared" si="75"/>
        <v>5.7402249608406265E-2</v>
      </c>
      <c r="AD129" s="316">
        <f t="shared" si="76"/>
        <v>1.3722514259327235E-2</v>
      </c>
      <c r="AE129" s="21">
        <f t="shared" si="77"/>
        <v>7.1124763867733504E-2</v>
      </c>
      <c r="AF129" s="170">
        <f>Sizing!DU143</f>
        <v>1.6272075519057922E-2</v>
      </c>
      <c r="AG129" s="170">
        <f>Sizing!DV143</f>
        <v>0.12756204576227964</v>
      </c>
      <c r="AH129" s="170">
        <f>Sizing!DW143</f>
        <v>1.6272075519057922E-2</v>
      </c>
      <c r="AI129" s="272">
        <f>Sizing!DX143</f>
        <v>0.12756204576227964</v>
      </c>
      <c r="AJ129" s="216">
        <f>Sizing!GJ143</f>
        <v>0.25</v>
      </c>
      <c r="AK129" s="216">
        <f>Sizing!GK143</f>
        <v>1.5748031496062995E-2</v>
      </c>
      <c r="AL129" s="17">
        <f>Sizing!GL143</f>
        <v>1.5748031496062995E-2</v>
      </c>
      <c r="AM129" s="216">
        <f t="shared" si="50"/>
        <v>2.4179687736685367E-3</v>
      </c>
      <c r="AN129" s="138">
        <f t="shared" si="51"/>
        <v>7.2254596295506844E-4</v>
      </c>
      <c r="AO129" s="138">
        <f t="shared" si="52"/>
        <v>3.1405147366236051E-3</v>
      </c>
      <c r="AP129" s="311">
        <f t="shared" si="78"/>
        <v>8.1459722641169137E-3</v>
      </c>
      <c r="AQ129" s="11">
        <f t="shared" si="79"/>
        <v>2.4342081824537593E-3</v>
      </c>
      <c r="AR129" s="21">
        <f t="shared" si="80"/>
        <v>1.0580180446570673E-2</v>
      </c>
      <c r="AS129" s="11">
        <f t="shared" si="53"/>
        <v>1.1803611524072977E-3</v>
      </c>
      <c r="AT129" s="21">
        <f t="shared" si="54"/>
        <v>1.1803611524072977E-3</v>
      </c>
      <c r="AU129" s="170">
        <f>Sizing!JC143</f>
        <v>2.8003815318914239E-4</v>
      </c>
      <c r="AV129" s="272">
        <f>Sizing!JD143</f>
        <v>1.6734340536428149E-2</v>
      </c>
      <c r="AW129" s="170">
        <f>Sizing!JC143</f>
        <v>2.8003815318914239E-4</v>
      </c>
      <c r="AX129" s="272">
        <f>Sizing!JD143</f>
        <v>1.6734340536428149E-2</v>
      </c>
      <c r="AY129" s="216">
        <f>Sizing!IT143</f>
        <v>0.25</v>
      </c>
      <c r="AZ129" s="216">
        <f>Sizing!IU143</f>
        <v>1.5748031496062995E-2</v>
      </c>
      <c r="BA129" s="17">
        <f>Sizing!IV143</f>
        <v>1.5748031496062995E-2</v>
      </c>
      <c r="BB129" s="216">
        <f t="shared" si="55"/>
        <v>2.4179687736685367E-3</v>
      </c>
      <c r="BC129" s="138">
        <f t="shared" si="56"/>
        <v>7.2254596295506844E-4</v>
      </c>
      <c r="BD129" s="138">
        <f t="shared" si="57"/>
        <v>3.1405147366236051E-3</v>
      </c>
      <c r="BE129" s="311">
        <f t="shared" si="58"/>
        <v>4.0729861320584568E-3</v>
      </c>
      <c r="BF129" s="11">
        <f t="shared" si="59"/>
        <v>1.2171040912268797E-3</v>
      </c>
      <c r="BG129" s="21">
        <f t="shared" si="60"/>
        <v>5.2900902232853363E-3</v>
      </c>
      <c r="BH129" s="21">
        <f t="shared" si="61"/>
        <v>2.0313705945453024E-5</v>
      </c>
      <c r="BI129" s="21">
        <f t="shared" si="62"/>
        <v>2.0313705945453024E-5</v>
      </c>
      <c r="BJ129" s="561"/>
      <c r="BK129">
        <f t="shared" si="63"/>
        <v>0.65780841999999995</v>
      </c>
      <c r="BL129">
        <f t="shared" si="64"/>
        <v>0.65780841999999995</v>
      </c>
      <c r="BM129">
        <f>C129*'Inputs-Imperial'!$E$12</f>
        <v>0.32890420999999997</v>
      </c>
      <c r="BN129">
        <f>C129*'Inputs-Imperial'!$E$12</f>
        <v>0.32890420999999997</v>
      </c>
      <c r="BO129">
        <f>C129*'Inputs-Imperial'!$E$12</f>
        <v>0.32890420999999997</v>
      </c>
      <c r="BP129">
        <f>C129*'Weight '!$E$15</f>
        <v>0.65780841999999995</v>
      </c>
      <c r="BQ129">
        <f>C129*'Weight '!$E$15</f>
        <v>0.65780841999999995</v>
      </c>
      <c r="BR129">
        <f>C129*'Weight '!$E$15</f>
        <v>0.65780841999999995</v>
      </c>
      <c r="BS129">
        <f t="shared" si="65"/>
        <v>0.10215666066419768</v>
      </c>
      <c r="BT129" s="564">
        <f t="shared" si="66"/>
        <v>0.16176895099690106</v>
      </c>
      <c r="BU129">
        <f t="shared" si="67"/>
        <v>0.6314973302024729</v>
      </c>
    </row>
    <row r="130" spans="1:73" x14ac:dyDescent="0.25">
      <c r="A130" s="186">
        <v>84</v>
      </c>
      <c r="B130" s="187">
        <f>A130/100*'Inputs-Imperial'!$E$5</f>
        <v>8.2677168000000005</v>
      </c>
      <c r="C130" s="188">
        <f>'Inputs-Imperial'!$E$10+('Inputs-Imperial'!$E$9-'Inputs-Imperial'!$E$10)*(100-A130)/100</f>
        <v>1.3057743199999998</v>
      </c>
      <c r="D130" s="187">
        <f t="shared" si="68"/>
        <v>9.8425200000001212E-2</v>
      </c>
      <c r="E130" s="188">
        <f t="shared" si="69"/>
        <v>0.12900547460061759</v>
      </c>
      <c r="F130" s="423">
        <f>Sizing!F144</f>
        <v>11.775906525515406</v>
      </c>
      <c r="G130" s="423">
        <f>Sizing!G144</f>
        <v>117.75906525515406</v>
      </c>
      <c r="H130" s="423">
        <f>Sizing!H144</f>
        <v>90.237759083615032</v>
      </c>
      <c r="I130" s="423">
        <f>Sizing!I144</f>
        <v>-64.944781182765979</v>
      </c>
      <c r="J130" s="189">
        <f>Sizing!J144</f>
        <v>9.0237759083615021</v>
      </c>
      <c r="K130" s="128">
        <v>84</v>
      </c>
      <c r="L130" s="12">
        <f t="shared" si="45"/>
        <v>99.212601599999999</v>
      </c>
      <c r="M130" s="11">
        <f t="shared" si="45"/>
        <v>15.669291839999998</v>
      </c>
      <c r="N130" s="11">
        <f t="shared" si="45"/>
        <v>1.1811024000000145</v>
      </c>
      <c r="O130" s="152">
        <f t="shared" si="46"/>
        <v>18.576788342488932</v>
      </c>
      <c r="P130" s="8">
        <f t="shared" si="81"/>
        <v>2.8204725311999996</v>
      </c>
      <c r="Q130" s="12">
        <f t="shared" si="70"/>
        <v>3.3438219016480075</v>
      </c>
      <c r="R130" s="8">
        <f t="shared" si="82"/>
        <v>1.4102362655999998</v>
      </c>
      <c r="S130" s="12">
        <f t="shared" si="71"/>
        <v>1.6719109508240038</v>
      </c>
      <c r="T130" s="17">
        <f>Sizing!CN144</f>
        <v>0.25</v>
      </c>
      <c r="U130" s="17">
        <f>Sizing!CO144</f>
        <v>2.3622047244094495E-2</v>
      </c>
      <c r="V130" s="17">
        <f>Sizing!CP144</f>
        <v>1.5748031496062995E-2</v>
      </c>
      <c r="W130" s="128">
        <f t="shared" si="47"/>
        <v>3.0224609670856709E-3</v>
      </c>
      <c r="X130" s="2">
        <f t="shared" si="48"/>
        <v>7.2254596295506844E-4</v>
      </c>
      <c r="Y130" s="2">
        <f t="shared" si="49"/>
        <v>3.7450069300407392E-3</v>
      </c>
      <c r="Z130" s="216">
        <f t="shared" si="72"/>
        <v>5.7973957749870582E-2</v>
      </c>
      <c r="AA130" s="138">
        <f t="shared" si="73"/>
        <v>1.3859186135027882E-2</v>
      </c>
      <c r="AB130" s="17">
        <f t="shared" si="74"/>
        <v>7.1833143884898462E-2</v>
      </c>
      <c r="AC130" s="311">
        <f t="shared" si="75"/>
        <v>5.6974406754183166E-2</v>
      </c>
      <c r="AD130" s="316">
        <f t="shared" si="76"/>
        <v>1.3620234649941195E-2</v>
      </c>
      <c r="AE130" s="21">
        <f t="shared" si="77"/>
        <v>7.0594641404124359E-2</v>
      </c>
      <c r="AF130" s="170">
        <f>Sizing!DU144</f>
        <v>1.6272075519057922E-2</v>
      </c>
      <c r="AG130" s="170">
        <f>Sizing!DV144</f>
        <v>0.12756204576227964</v>
      </c>
      <c r="AH130" s="170">
        <f>Sizing!DW144</f>
        <v>1.6272075519057922E-2</v>
      </c>
      <c r="AI130" s="272">
        <f>Sizing!DX144</f>
        <v>0.12756204576227964</v>
      </c>
      <c r="AJ130" s="216">
        <f>Sizing!GJ144</f>
        <v>0.25</v>
      </c>
      <c r="AK130" s="216">
        <f>Sizing!GK144</f>
        <v>1.5748031496062995E-2</v>
      </c>
      <c r="AL130" s="17">
        <f>Sizing!GL144</f>
        <v>1.5748031496062995E-2</v>
      </c>
      <c r="AM130" s="216">
        <f t="shared" si="50"/>
        <v>2.4179687736685367E-3</v>
      </c>
      <c r="AN130" s="138">
        <f t="shared" si="51"/>
        <v>7.2254596295506844E-4</v>
      </c>
      <c r="AO130" s="138">
        <f t="shared" si="52"/>
        <v>3.1405147366236051E-3</v>
      </c>
      <c r="AP130" s="311">
        <f t="shared" si="78"/>
        <v>8.085256942893828E-3</v>
      </c>
      <c r="AQ130" s="11">
        <f t="shared" si="79"/>
        <v>2.4160650158765078E-3</v>
      </c>
      <c r="AR130" s="21">
        <f t="shared" si="80"/>
        <v>1.0501321958770335E-2</v>
      </c>
      <c r="AS130" s="11">
        <f t="shared" si="53"/>
        <v>1.180361152407319E-3</v>
      </c>
      <c r="AT130" s="21">
        <f t="shared" si="54"/>
        <v>1.180361152407319E-3</v>
      </c>
      <c r="AU130" s="170">
        <f>Sizing!JC144</f>
        <v>2.8003815318914239E-4</v>
      </c>
      <c r="AV130" s="272">
        <f>Sizing!JD144</f>
        <v>1.6734340536428149E-2</v>
      </c>
      <c r="AW130" s="170">
        <f>Sizing!JC144</f>
        <v>2.8003815318914239E-4</v>
      </c>
      <c r="AX130" s="272">
        <f>Sizing!JD144</f>
        <v>1.6734340536428149E-2</v>
      </c>
      <c r="AY130" s="216">
        <f>Sizing!IT144</f>
        <v>0.25</v>
      </c>
      <c r="AZ130" s="216">
        <f>Sizing!IU144</f>
        <v>1.5748031496062995E-2</v>
      </c>
      <c r="BA130" s="17">
        <f>Sizing!IV144</f>
        <v>1.5748031496062995E-2</v>
      </c>
      <c r="BB130" s="216">
        <f t="shared" si="55"/>
        <v>2.4179687736685367E-3</v>
      </c>
      <c r="BC130" s="138">
        <f t="shared" si="56"/>
        <v>7.2254596295506844E-4</v>
      </c>
      <c r="BD130" s="138">
        <f t="shared" si="57"/>
        <v>3.1405147366236051E-3</v>
      </c>
      <c r="BE130" s="311">
        <f t="shared" si="58"/>
        <v>4.042628471446914E-3</v>
      </c>
      <c r="BF130" s="11">
        <f t="shared" si="59"/>
        <v>1.2080325079382539E-3</v>
      </c>
      <c r="BG130" s="21">
        <f t="shared" si="60"/>
        <v>5.2506609793851675E-3</v>
      </c>
      <c r="BH130" s="21">
        <f t="shared" si="61"/>
        <v>2.031370594545339E-5</v>
      </c>
      <c r="BI130" s="21">
        <f t="shared" si="62"/>
        <v>2.031370594545339E-5</v>
      </c>
      <c r="BJ130" s="561"/>
      <c r="BK130">
        <f t="shared" si="63"/>
        <v>0.65288715999999991</v>
      </c>
      <c r="BL130">
        <f t="shared" si="64"/>
        <v>0.65288715999999991</v>
      </c>
      <c r="BM130">
        <f>C130*'Inputs-Imperial'!$E$12</f>
        <v>0.32644357999999996</v>
      </c>
      <c r="BN130">
        <f>C130*'Inputs-Imperial'!$E$12</f>
        <v>0.32644357999999996</v>
      </c>
      <c r="BO130">
        <f>C130*'Inputs-Imperial'!$E$12</f>
        <v>0.32644357999999996</v>
      </c>
      <c r="BP130">
        <f>C130*'Weight '!$E$15</f>
        <v>0.65288715999999991</v>
      </c>
      <c r="BQ130">
        <f>C130*'Weight '!$E$15</f>
        <v>0.65288715999999991</v>
      </c>
      <c r="BR130">
        <f>C130*'Weight '!$E$15</f>
        <v>0.65288715999999991</v>
      </c>
      <c r="BS130">
        <f t="shared" si="65"/>
        <v>0.10064261826848422</v>
      </c>
      <c r="BT130" s="564">
        <f t="shared" si="66"/>
        <v>0.16058111794388394</v>
      </c>
      <c r="BU130">
        <f t="shared" si="67"/>
        <v>0.62674005236191221</v>
      </c>
    </row>
    <row r="131" spans="1:73" x14ac:dyDescent="0.25">
      <c r="A131" s="186">
        <v>85</v>
      </c>
      <c r="B131" s="187">
        <f>A131/100*'Inputs-Imperial'!$E$5</f>
        <v>8.366142</v>
      </c>
      <c r="C131" s="188">
        <f>'Inputs-Imperial'!$E$10+('Inputs-Imperial'!$E$9-'Inputs-Imperial'!$E$10)*(100-A131)/100</f>
        <v>1.2959318</v>
      </c>
      <c r="D131" s="187">
        <f t="shared" si="68"/>
        <v>9.8425199999999435E-2</v>
      </c>
      <c r="E131" s="188">
        <f t="shared" si="69"/>
        <v>0.12803672260111126</v>
      </c>
      <c r="F131" s="423">
        <f>Sizing!F145</f>
        <v>10.882593915499339</v>
      </c>
      <c r="G131" s="423">
        <f>Sizing!G145</f>
        <v>108.82593915499339</v>
      </c>
      <c r="H131" s="423">
        <f>Sizing!H145</f>
        <v>78.647299534063507</v>
      </c>
      <c r="I131" s="423">
        <f>Sizing!I145</f>
        <v>-59.058264856248861</v>
      </c>
      <c r="J131" s="189">
        <f>Sizing!J145</f>
        <v>7.8647299534063499</v>
      </c>
      <c r="K131" s="128">
        <v>85</v>
      </c>
      <c r="L131" s="12">
        <f t="shared" si="45"/>
        <v>100.393704</v>
      </c>
      <c r="M131" s="11">
        <f t="shared" si="45"/>
        <v>15.5511816</v>
      </c>
      <c r="N131" s="11">
        <f t="shared" si="45"/>
        <v>1.1811023999999932</v>
      </c>
      <c r="O131" s="152">
        <f t="shared" si="46"/>
        <v>18.437288054560021</v>
      </c>
      <c r="P131" s="8">
        <f t="shared" si="81"/>
        <v>2.7992126879999999</v>
      </c>
      <c r="Q131" s="12">
        <f t="shared" si="70"/>
        <v>3.3187118498208035</v>
      </c>
      <c r="R131" s="8">
        <f t="shared" si="82"/>
        <v>1.3996063439999999</v>
      </c>
      <c r="S131" s="12">
        <f t="shared" si="71"/>
        <v>1.6593559249104017</v>
      </c>
      <c r="T131" s="17">
        <f>Sizing!CN145</f>
        <v>0.25</v>
      </c>
      <c r="U131" s="17">
        <f>Sizing!CO145</f>
        <v>2.3622047244094495E-2</v>
      </c>
      <c r="V131" s="17">
        <f>Sizing!CP145</f>
        <v>1.5748031496062995E-2</v>
      </c>
      <c r="W131" s="128">
        <f t="shared" si="47"/>
        <v>3.0224609670856709E-3</v>
      </c>
      <c r="X131" s="2">
        <f t="shared" si="48"/>
        <v>7.2254596295506844E-4</v>
      </c>
      <c r="Y131" s="2">
        <f t="shared" si="49"/>
        <v>3.7450069300407392E-3</v>
      </c>
      <c r="Z131" s="216">
        <f t="shared" si="72"/>
        <v>5.7538608880659002E-2</v>
      </c>
      <c r="AA131" s="138">
        <f t="shared" si="73"/>
        <v>1.3755112146529301E-2</v>
      </c>
      <c r="AB131" s="17">
        <f t="shared" si="74"/>
        <v>7.1293721027188298E-2</v>
      </c>
      <c r="AC131" s="311">
        <f t="shared" si="75"/>
        <v>5.6546563899957977E-2</v>
      </c>
      <c r="AD131" s="316">
        <f t="shared" si="76"/>
        <v>1.3517955040554657E-2</v>
      </c>
      <c r="AE131" s="21">
        <f t="shared" si="77"/>
        <v>7.0064518940512632E-2</v>
      </c>
      <c r="AF131" s="170">
        <f>Sizing!DU145</f>
        <v>1.6272075519057922E-2</v>
      </c>
      <c r="AG131" s="170">
        <f>Sizing!DV145</f>
        <v>0.12756204576227964</v>
      </c>
      <c r="AH131" s="170">
        <f>Sizing!DW145</f>
        <v>1.6272075519057922E-2</v>
      </c>
      <c r="AI131" s="272">
        <f>Sizing!DX145</f>
        <v>0.12756204576227964</v>
      </c>
      <c r="AJ131" s="216">
        <f>Sizing!GJ145</f>
        <v>0.25</v>
      </c>
      <c r="AK131" s="216">
        <f>Sizing!GK145</f>
        <v>1.5748031496062995E-2</v>
      </c>
      <c r="AL131" s="17">
        <f>Sizing!GL145</f>
        <v>1.5748031496062995E-2</v>
      </c>
      <c r="AM131" s="216">
        <f t="shared" si="50"/>
        <v>2.4179687736685367E-3</v>
      </c>
      <c r="AN131" s="138">
        <f t="shared" si="51"/>
        <v>7.2254596295506844E-4</v>
      </c>
      <c r="AO131" s="138">
        <f t="shared" si="52"/>
        <v>3.1405147366236051E-3</v>
      </c>
      <c r="AP131" s="311">
        <f t="shared" si="78"/>
        <v>8.0245416216704491E-3</v>
      </c>
      <c r="AQ131" s="11">
        <f t="shared" si="79"/>
        <v>2.3979218492991691E-3</v>
      </c>
      <c r="AR131" s="21">
        <f t="shared" si="80"/>
        <v>1.0422463470969617E-2</v>
      </c>
      <c r="AS131" s="11">
        <f t="shared" si="53"/>
        <v>1.1803611524072977E-3</v>
      </c>
      <c r="AT131" s="21">
        <f t="shared" si="54"/>
        <v>1.1803611524072977E-3</v>
      </c>
      <c r="AU131" s="170">
        <f>Sizing!JC145</f>
        <v>2.8003815318914239E-4</v>
      </c>
      <c r="AV131" s="272">
        <f>Sizing!JD145</f>
        <v>1.6734340536428149E-2</v>
      </c>
      <c r="AW131" s="170">
        <f>Sizing!JC145</f>
        <v>2.8003815318914239E-4</v>
      </c>
      <c r="AX131" s="272">
        <f>Sizing!JD145</f>
        <v>1.6734340536428149E-2</v>
      </c>
      <c r="AY131" s="216">
        <f>Sizing!IT145</f>
        <v>0.25</v>
      </c>
      <c r="AZ131" s="216">
        <f>Sizing!IU145</f>
        <v>1.5748031496062995E-2</v>
      </c>
      <c r="BA131" s="17">
        <f>Sizing!IV145</f>
        <v>1.5748031496062995E-2</v>
      </c>
      <c r="BB131" s="216">
        <f t="shared" si="55"/>
        <v>2.4179687736685367E-3</v>
      </c>
      <c r="BC131" s="138">
        <f t="shared" si="56"/>
        <v>7.2254596295506844E-4</v>
      </c>
      <c r="BD131" s="138">
        <f t="shared" si="57"/>
        <v>3.1405147366236051E-3</v>
      </c>
      <c r="BE131" s="311">
        <f t="shared" si="58"/>
        <v>4.0122708108352246E-3</v>
      </c>
      <c r="BF131" s="11">
        <f t="shared" si="59"/>
        <v>1.1989609246495845E-3</v>
      </c>
      <c r="BG131" s="21">
        <f t="shared" si="60"/>
        <v>5.2112317354848087E-3</v>
      </c>
      <c r="BH131" s="21">
        <f t="shared" si="61"/>
        <v>2.0313705945453024E-5</v>
      </c>
      <c r="BI131" s="21">
        <f t="shared" si="62"/>
        <v>2.0313705945453024E-5</v>
      </c>
      <c r="BJ131" s="561"/>
      <c r="BK131">
        <f t="shared" si="63"/>
        <v>0.64796589999999998</v>
      </c>
      <c r="BL131">
        <f t="shared" si="64"/>
        <v>0.64796589999999998</v>
      </c>
      <c r="BM131">
        <f>C131*'Inputs-Imperial'!$E$12</f>
        <v>0.32398294999999999</v>
      </c>
      <c r="BN131">
        <f>C131*'Inputs-Imperial'!$E$12</f>
        <v>0.32398294999999999</v>
      </c>
      <c r="BO131">
        <f>C131*'Inputs-Imperial'!$E$12</f>
        <v>0.32398294999999999</v>
      </c>
      <c r="BP131">
        <f>C131*'Weight '!$E$15</f>
        <v>0.64796589999999998</v>
      </c>
      <c r="BQ131">
        <f>C131*'Weight '!$E$15</f>
        <v>0.64796589999999998</v>
      </c>
      <c r="BR131">
        <f>C131*'Weight '!$E$15</f>
        <v>0.64796589999999998</v>
      </c>
      <c r="BS131">
        <f t="shared" si="65"/>
        <v>9.9139879060226421E-2</v>
      </c>
      <c r="BT131" s="564">
        <f t="shared" si="66"/>
        <v>0.15939328489086085</v>
      </c>
      <c r="BU131">
        <f t="shared" si="67"/>
        <v>0.62198278383000316</v>
      </c>
    </row>
    <row r="132" spans="1:73" x14ac:dyDescent="0.25">
      <c r="A132" s="186">
        <v>86</v>
      </c>
      <c r="B132" s="187">
        <f>A132/100*'Inputs-Imperial'!$E$5</f>
        <v>8.4645671999999994</v>
      </c>
      <c r="C132" s="188">
        <f>'Inputs-Imperial'!$E$10+('Inputs-Imperial'!$E$9-'Inputs-Imperial'!$E$10)*(100-A132)/100</f>
        <v>1.2860892799999999</v>
      </c>
      <c r="D132" s="187">
        <f t="shared" si="68"/>
        <v>9.8425199999999435E-2</v>
      </c>
      <c r="E132" s="188">
        <f t="shared" si="69"/>
        <v>0.12706797060160727</v>
      </c>
      <c r="F132" s="423">
        <f>Sizing!F146</f>
        <v>10.005379050767861</v>
      </c>
      <c r="G132" s="423">
        <f>Sizing!G146</f>
        <v>100.05379050767861</v>
      </c>
      <c r="H132" s="423">
        <f>Sizing!H146</f>
        <v>67.936084707545518</v>
      </c>
      <c r="I132" s="423">
        <f>Sizing!I146</f>
        <v>-53.384647310139613</v>
      </c>
      <c r="J132" s="189">
        <f>Sizing!J146</f>
        <v>6.7936084707545508</v>
      </c>
      <c r="K132" s="128">
        <v>86</v>
      </c>
      <c r="L132" s="12">
        <f t="shared" si="45"/>
        <v>101.5748064</v>
      </c>
      <c r="M132" s="11">
        <f t="shared" si="45"/>
        <v>15.43307136</v>
      </c>
      <c r="N132" s="11">
        <f t="shared" si="45"/>
        <v>1.1811023999999932</v>
      </c>
      <c r="O132" s="152">
        <f t="shared" si="46"/>
        <v>18.297787766631448</v>
      </c>
      <c r="P132" s="8">
        <f t="shared" si="81"/>
        <v>2.7779528447999997</v>
      </c>
      <c r="Q132" s="12">
        <f t="shared" si="70"/>
        <v>3.2936017979936603</v>
      </c>
      <c r="R132" s="8">
        <f t="shared" si="82"/>
        <v>1.3889764223999999</v>
      </c>
      <c r="S132" s="12">
        <f t="shared" si="71"/>
        <v>1.6468008989968301</v>
      </c>
      <c r="T132" s="17">
        <f>Sizing!CN146</f>
        <v>0.25</v>
      </c>
      <c r="U132" s="17">
        <f>Sizing!CO146</f>
        <v>2.3622047244094495E-2</v>
      </c>
      <c r="V132" s="17">
        <f>Sizing!CP146</f>
        <v>1.5748031496062995E-2</v>
      </c>
      <c r="W132" s="128">
        <f t="shared" si="47"/>
        <v>3.0224609670856709E-3</v>
      </c>
      <c r="X132" s="2">
        <f t="shared" si="48"/>
        <v>7.2254596295506844E-4</v>
      </c>
      <c r="Y132" s="2">
        <f t="shared" si="49"/>
        <v>3.7450069300407392E-3</v>
      </c>
      <c r="Z132" s="216">
        <f t="shared" si="72"/>
        <v>5.7103260011448477E-2</v>
      </c>
      <c r="AA132" s="138">
        <f t="shared" si="73"/>
        <v>1.3651038158030973E-2</v>
      </c>
      <c r="AB132" s="17">
        <f t="shared" si="74"/>
        <v>7.0754298169479451E-2</v>
      </c>
      <c r="AC132" s="311">
        <f t="shared" si="75"/>
        <v>5.6118721045733851E-2</v>
      </c>
      <c r="AD132" s="316">
        <f t="shared" si="76"/>
        <v>1.341567543116837E-2</v>
      </c>
      <c r="AE132" s="21">
        <f t="shared" si="77"/>
        <v>6.953439647690221E-2</v>
      </c>
      <c r="AF132" s="170">
        <f>Sizing!DU146</f>
        <v>1.6272075519057922E-2</v>
      </c>
      <c r="AG132" s="170">
        <f>Sizing!DV146</f>
        <v>0.12756204576227964</v>
      </c>
      <c r="AH132" s="170">
        <f>Sizing!DW146</f>
        <v>1.6272075519057922E-2</v>
      </c>
      <c r="AI132" s="272">
        <f>Sizing!DX146</f>
        <v>0.12756204576227964</v>
      </c>
      <c r="AJ132" s="216">
        <f>Sizing!GJ146</f>
        <v>0.25</v>
      </c>
      <c r="AK132" s="216">
        <f>Sizing!GK146</f>
        <v>1.5748031496062995E-2</v>
      </c>
      <c r="AL132" s="17">
        <f>Sizing!GL146</f>
        <v>1.5748031496062995E-2</v>
      </c>
      <c r="AM132" s="216">
        <f t="shared" si="50"/>
        <v>2.4179687736685367E-3</v>
      </c>
      <c r="AN132" s="138">
        <f t="shared" si="51"/>
        <v>7.2254596295506844E-4</v>
      </c>
      <c r="AO132" s="138">
        <f t="shared" si="52"/>
        <v>3.1405147366236051E-3</v>
      </c>
      <c r="AP132" s="311">
        <f t="shared" si="78"/>
        <v>7.9638263004472177E-3</v>
      </c>
      <c r="AQ132" s="11">
        <f t="shared" si="79"/>
        <v>2.3797786827218742E-3</v>
      </c>
      <c r="AR132" s="21">
        <f t="shared" si="80"/>
        <v>1.0343604983169092E-2</v>
      </c>
      <c r="AS132" s="11">
        <f t="shared" si="53"/>
        <v>1.1803611524072977E-3</v>
      </c>
      <c r="AT132" s="21">
        <f t="shared" si="54"/>
        <v>1.1803611524072977E-3</v>
      </c>
      <c r="AU132" s="170">
        <f>Sizing!JC146</f>
        <v>2.8003815318914239E-4</v>
      </c>
      <c r="AV132" s="272">
        <f>Sizing!JD146</f>
        <v>1.6734340536428149E-2</v>
      </c>
      <c r="AW132" s="170">
        <f>Sizing!JC146</f>
        <v>2.8003815318914239E-4</v>
      </c>
      <c r="AX132" s="272">
        <f>Sizing!JD146</f>
        <v>1.6734340536428149E-2</v>
      </c>
      <c r="AY132" s="216">
        <f>Sizing!IT146</f>
        <v>0.25</v>
      </c>
      <c r="AZ132" s="216">
        <f>Sizing!IU146</f>
        <v>1.5748031496062995E-2</v>
      </c>
      <c r="BA132" s="17">
        <f>Sizing!IV146</f>
        <v>1.5748031496062995E-2</v>
      </c>
      <c r="BB132" s="216">
        <f t="shared" si="55"/>
        <v>2.4179687736685367E-3</v>
      </c>
      <c r="BC132" s="138">
        <f t="shared" si="56"/>
        <v>7.2254596295506844E-4</v>
      </c>
      <c r="BD132" s="138">
        <f t="shared" si="57"/>
        <v>3.1405147366236051E-3</v>
      </c>
      <c r="BE132" s="311">
        <f t="shared" si="58"/>
        <v>3.9819131502236088E-3</v>
      </c>
      <c r="BF132" s="11">
        <f t="shared" si="59"/>
        <v>1.1898893413609371E-3</v>
      </c>
      <c r="BG132" s="21">
        <f t="shared" si="60"/>
        <v>5.1718024915845462E-3</v>
      </c>
      <c r="BH132" s="21">
        <f t="shared" si="61"/>
        <v>2.0313705945453024E-5</v>
      </c>
      <c r="BI132" s="21">
        <f t="shared" si="62"/>
        <v>2.0313705945453024E-5</v>
      </c>
      <c r="BJ132" s="561"/>
      <c r="BK132">
        <f t="shared" si="63"/>
        <v>0.64304463999999995</v>
      </c>
      <c r="BL132">
        <f t="shared" si="64"/>
        <v>0.64304463999999995</v>
      </c>
      <c r="BM132">
        <f>C132*'Inputs-Imperial'!$E$12</f>
        <v>0.32152231999999997</v>
      </c>
      <c r="BN132">
        <f>C132*'Inputs-Imperial'!$E$12</f>
        <v>0.32152231999999997</v>
      </c>
      <c r="BO132">
        <f>C132*'Inputs-Imperial'!$E$12</f>
        <v>0.32152231999999997</v>
      </c>
      <c r="BP132">
        <f>C132*'Weight '!$E$15</f>
        <v>0.64304463999999995</v>
      </c>
      <c r="BQ132">
        <f>C132*'Weight '!$E$15</f>
        <v>0.64304463999999995</v>
      </c>
      <c r="BR132">
        <f>C132*'Weight '!$E$15</f>
        <v>0.64304463999999995</v>
      </c>
      <c r="BS132">
        <f t="shared" si="65"/>
        <v>9.7648443039429864E-2</v>
      </c>
      <c r="BT132" s="564">
        <f t="shared" si="66"/>
        <v>0.15820545183784082</v>
      </c>
      <c r="BU132">
        <f t="shared" si="67"/>
        <v>0.61722552481641813</v>
      </c>
    </row>
    <row r="133" spans="1:73" x14ac:dyDescent="0.25">
      <c r="A133" s="186">
        <v>87</v>
      </c>
      <c r="B133" s="187">
        <f>A133/100*'Inputs-Imperial'!$E$5</f>
        <v>8.5629924000000006</v>
      </c>
      <c r="C133" s="188">
        <f>'Inputs-Imperial'!$E$10+('Inputs-Imperial'!$E$9-'Inputs-Imperial'!$E$10)*(100-A133)/100</f>
        <v>1.2762467599999998</v>
      </c>
      <c r="D133" s="187">
        <f t="shared" si="68"/>
        <v>9.8425200000001212E-2</v>
      </c>
      <c r="E133" s="188">
        <f t="shared" si="69"/>
        <v>0.12609921860210555</v>
      </c>
      <c r="F133" s="423">
        <f>Sizing!F147</f>
        <v>9.1448170561837525</v>
      </c>
      <c r="G133" s="423">
        <f>Sizing!G147</f>
        <v>91.448170561837543</v>
      </c>
      <c r="H133" s="423">
        <f>Sizing!H147</f>
        <v>58.088270366069025</v>
      </c>
      <c r="I133" s="423">
        <f>Sizing!I147</f>
        <v>-47.927256016256493</v>
      </c>
      <c r="J133" s="189">
        <f>Sizing!J147</f>
        <v>5.8088270366069015</v>
      </c>
      <c r="K133" s="128">
        <v>87</v>
      </c>
      <c r="L133" s="12">
        <f t="shared" si="45"/>
        <v>102.75590880000001</v>
      </c>
      <c r="M133" s="11">
        <f t="shared" si="45"/>
        <v>15.314961119999998</v>
      </c>
      <c r="N133" s="11">
        <f t="shared" si="45"/>
        <v>1.1811024000000145</v>
      </c>
      <c r="O133" s="152">
        <f t="shared" si="46"/>
        <v>18.158287478703198</v>
      </c>
      <c r="P133" s="8">
        <f t="shared" si="81"/>
        <v>2.7566930015999995</v>
      </c>
      <c r="Q133" s="12">
        <f t="shared" si="70"/>
        <v>3.2684917461665757</v>
      </c>
      <c r="R133" s="8">
        <f t="shared" si="82"/>
        <v>1.3783465007999998</v>
      </c>
      <c r="S133" s="12">
        <f t="shared" si="71"/>
        <v>1.6342458730832878</v>
      </c>
      <c r="T133" s="17">
        <f>Sizing!CN147</f>
        <v>0.25</v>
      </c>
      <c r="U133" s="17">
        <f>Sizing!CO147</f>
        <v>2.3622047244094495E-2</v>
      </c>
      <c r="V133" s="17">
        <f>Sizing!CP147</f>
        <v>1.5748031496062995E-2</v>
      </c>
      <c r="W133" s="128">
        <f t="shared" si="47"/>
        <v>3.0224609670856709E-3</v>
      </c>
      <c r="X133" s="2">
        <f t="shared" si="48"/>
        <v>7.2254596295506844E-4</v>
      </c>
      <c r="Y133" s="2">
        <f t="shared" si="49"/>
        <v>3.7450069300407392E-3</v>
      </c>
      <c r="Z133" s="216">
        <f t="shared" si="72"/>
        <v>5.6667911142238951E-2</v>
      </c>
      <c r="AA133" s="138">
        <f t="shared" si="73"/>
        <v>1.3546964169532884E-2</v>
      </c>
      <c r="AB133" s="17">
        <f t="shared" si="74"/>
        <v>7.021487531177184E-2</v>
      </c>
      <c r="AC133" s="311">
        <f t="shared" si="75"/>
        <v>5.5690878191510695E-2</v>
      </c>
      <c r="AD133" s="316">
        <f t="shared" si="76"/>
        <v>1.3313395821782318E-2</v>
      </c>
      <c r="AE133" s="21">
        <f t="shared" si="77"/>
        <v>6.900427401329301E-2</v>
      </c>
      <c r="AF133" s="170">
        <f>Sizing!DU147</f>
        <v>1.6272075519057922E-2</v>
      </c>
      <c r="AG133" s="170">
        <f>Sizing!DV147</f>
        <v>0.12756204576227964</v>
      </c>
      <c r="AH133" s="170">
        <f>Sizing!DW147</f>
        <v>1.6272075519057922E-2</v>
      </c>
      <c r="AI133" s="272">
        <f>Sizing!DX147</f>
        <v>0.12756204576227964</v>
      </c>
      <c r="AJ133" s="216">
        <f>Sizing!GJ147</f>
        <v>0.25</v>
      </c>
      <c r="AK133" s="216">
        <f>Sizing!GK147</f>
        <v>1.5748031496062995E-2</v>
      </c>
      <c r="AL133" s="17">
        <f>Sizing!GL147</f>
        <v>1.5748031496062995E-2</v>
      </c>
      <c r="AM133" s="216">
        <f t="shared" si="50"/>
        <v>2.4179687736685367E-3</v>
      </c>
      <c r="AN133" s="138">
        <f t="shared" si="51"/>
        <v>7.2254596295506844E-4</v>
      </c>
      <c r="AO133" s="138">
        <f t="shared" si="52"/>
        <v>3.1405147366236051E-3</v>
      </c>
      <c r="AP133" s="311">
        <f t="shared" si="78"/>
        <v>7.9031109792241285E-3</v>
      </c>
      <c r="AQ133" s="11">
        <f t="shared" si="79"/>
        <v>2.3616355161446214E-3</v>
      </c>
      <c r="AR133" s="21">
        <f t="shared" si="80"/>
        <v>1.0264746495368751E-2</v>
      </c>
      <c r="AS133" s="11">
        <f t="shared" si="53"/>
        <v>1.180361152407319E-3</v>
      </c>
      <c r="AT133" s="21">
        <f t="shared" si="54"/>
        <v>1.180361152407319E-3</v>
      </c>
      <c r="AU133" s="170">
        <f>Sizing!JC147</f>
        <v>2.8003815318914239E-4</v>
      </c>
      <c r="AV133" s="272">
        <f>Sizing!JD147</f>
        <v>1.6734340536428149E-2</v>
      </c>
      <c r="AW133" s="170">
        <f>Sizing!JC147</f>
        <v>2.8003815318914239E-4</v>
      </c>
      <c r="AX133" s="272">
        <f>Sizing!JD147</f>
        <v>1.6734340536428149E-2</v>
      </c>
      <c r="AY133" s="216">
        <f>Sizing!IT147</f>
        <v>0.25</v>
      </c>
      <c r="AZ133" s="216">
        <f>Sizing!IU147</f>
        <v>1.5748031496062995E-2</v>
      </c>
      <c r="BA133" s="17">
        <f>Sizing!IV147</f>
        <v>1.5748031496062995E-2</v>
      </c>
      <c r="BB133" s="216">
        <f t="shared" si="55"/>
        <v>2.4179687736685367E-3</v>
      </c>
      <c r="BC133" s="138">
        <f t="shared" si="56"/>
        <v>7.2254596295506844E-4</v>
      </c>
      <c r="BD133" s="138">
        <f t="shared" si="57"/>
        <v>3.1405147366236051E-3</v>
      </c>
      <c r="BE133" s="311">
        <f t="shared" si="58"/>
        <v>3.9515554896120643E-3</v>
      </c>
      <c r="BF133" s="11">
        <f t="shared" si="59"/>
        <v>1.1808177580723107E-3</v>
      </c>
      <c r="BG133" s="21">
        <f t="shared" si="60"/>
        <v>5.1323732476843756E-3</v>
      </c>
      <c r="BH133" s="21">
        <f t="shared" si="61"/>
        <v>2.031370594545339E-5</v>
      </c>
      <c r="BI133" s="21">
        <f t="shared" si="62"/>
        <v>2.031370594545339E-5</v>
      </c>
      <c r="BJ133" s="561"/>
      <c r="BK133">
        <f t="shared" si="63"/>
        <v>0.63812337999999991</v>
      </c>
      <c r="BL133">
        <f t="shared" si="64"/>
        <v>0.63812337999999991</v>
      </c>
      <c r="BM133">
        <f>C133*'Inputs-Imperial'!$E$12</f>
        <v>0.31906168999999995</v>
      </c>
      <c r="BN133">
        <f>C133*'Inputs-Imperial'!$E$12</f>
        <v>0.31906168999999995</v>
      </c>
      <c r="BO133">
        <f>C133*'Inputs-Imperial'!$E$12</f>
        <v>0.31906168999999995</v>
      </c>
      <c r="BP133">
        <f>C133*'Weight '!$E$15</f>
        <v>0.63812337999999991</v>
      </c>
      <c r="BQ133">
        <f>C133*'Weight '!$E$15</f>
        <v>0.63812337999999991</v>
      </c>
      <c r="BR133">
        <f>C133*'Weight '!$E$15</f>
        <v>0.63812337999999991</v>
      </c>
      <c r="BS133">
        <f t="shared" si="65"/>
        <v>9.6168310206094287E-2</v>
      </c>
      <c r="BT133" s="564">
        <f t="shared" si="66"/>
        <v>0.15701761878482354</v>
      </c>
      <c r="BU133">
        <f t="shared" si="67"/>
        <v>0.6124682755371742</v>
      </c>
    </row>
    <row r="134" spans="1:73" x14ac:dyDescent="0.25">
      <c r="A134" s="186">
        <v>88</v>
      </c>
      <c r="B134" s="187">
        <f>A134/100*'Inputs-Imperial'!$E$5</f>
        <v>8.6614176</v>
      </c>
      <c r="C134" s="188">
        <f>'Inputs-Imperial'!$E$10+('Inputs-Imperial'!$E$9-'Inputs-Imperial'!$E$10)*(100-A134)/100</f>
        <v>1.26640424</v>
      </c>
      <c r="D134" s="187">
        <f t="shared" si="68"/>
        <v>9.8425199999999435E-2</v>
      </c>
      <c r="E134" s="188">
        <f t="shared" si="69"/>
        <v>0.12513046660259927</v>
      </c>
      <c r="F134" s="423">
        <f>Sizing!F148</f>
        <v>8.3015212404117804</v>
      </c>
      <c r="G134" s="423">
        <f>Sizing!G148</f>
        <v>83.015212404117818</v>
      </c>
      <c r="H134" s="423">
        <f>Sizing!H148</f>
        <v>49.087465888886101</v>
      </c>
      <c r="I134" s="423">
        <f>Sizing!I148</f>
        <v>-42.68975108966756</v>
      </c>
      <c r="J134" s="189">
        <f>Sizing!J148</f>
        <v>4.9087465888886097</v>
      </c>
      <c r="K134" s="128">
        <v>88</v>
      </c>
      <c r="L134" s="12">
        <f t="shared" si="45"/>
        <v>103.9370112</v>
      </c>
      <c r="M134" s="11">
        <f t="shared" si="45"/>
        <v>15.19685088</v>
      </c>
      <c r="N134" s="11">
        <f t="shared" si="45"/>
        <v>1.1811023999999932</v>
      </c>
      <c r="O134" s="152">
        <f t="shared" si="46"/>
        <v>18.018787190774294</v>
      </c>
      <c r="P134" s="8">
        <f t="shared" si="81"/>
        <v>2.7354331583999998</v>
      </c>
      <c r="Q134" s="12">
        <f t="shared" si="70"/>
        <v>3.2433816943393734</v>
      </c>
      <c r="R134" s="8">
        <f t="shared" si="82"/>
        <v>1.3677165791999999</v>
      </c>
      <c r="S134" s="12">
        <f t="shared" si="71"/>
        <v>1.6216908471696867</v>
      </c>
      <c r="T134" s="17">
        <f>Sizing!CN148</f>
        <v>0.25</v>
      </c>
      <c r="U134" s="17">
        <f>Sizing!CO148</f>
        <v>2.3622047244094495E-2</v>
      </c>
      <c r="V134" s="17">
        <f>Sizing!CP148</f>
        <v>1.5748031496062995E-2</v>
      </c>
      <c r="W134" s="128">
        <f t="shared" si="47"/>
        <v>3.0224609670856709E-3</v>
      </c>
      <c r="X134" s="2">
        <f t="shared" si="48"/>
        <v>7.2254596295506844E-4</v>
      </c>
      <c r="Y134" s="2">
        <f t="shared" si="49"/>
        <v>3.7450069300407392E-3</v>
      </c>
      <c r="Z134" s="216">
        <f t="shared" si="72"/>
        <v>5.6232562273027399E-2</v>
      </c>
      <c r="AA134" s="138">
        <f t="shared" si="73"/>
        <v>1.3442890181034312E-2</v>
      </c>
      <c r="AB134" s="17">
        <f t="shared" si="74"/>
        <v>6.9675452454061704E-2</v>
      </c>
      <c r="AC134" s="311">
        <f t="shared" si="75"/>
        <v>5.5263035337285542E-2</v>
      </c>
      <c r="AD134" s="316">
        <f t="shared" si="76"/>
        <v>1.3211116212395787E-2</v>
      </c>
      <c r="AE134" s="21">
        <f t="shared" si="77"/>
        <v>6.8474151549681325E-2</v>
      </c>
      <c r="AF134" s="170">
        <f>Sizing!DU148</f>
        <v>1.6272075519057922E-2</v>
      </c>
      <c r="AG134" s="170">
        <f>Sizing!DV148</f>
        <v>0.12756204576227964</v>
      </c>
      <c r="AH134" s="170">
        <f>Sizing!DW148</f>
        <v>1.6272075519057922E-2</v>
      </c>
      <c r="AI134" s="272">
        <f>Sizing!DX148</f>
        <v>0.12756204576227964</v>
      </c>
      <c r="AJ134" s="216">
        <f>Sizing!GJ148</f>
        <v>0.25</v>
      </c>
      <c r="AK134" s="216">
        <f>Sizing!GK148</f>
        <v>1.5748031496062995E-2</v>
      </c>
      <c r="AL134" s="17">
        <f>Sizing!GL148</f>
        <v>1.5748031496062995E-2</v>
      </c>
      <c r="AM134" s="216">
        <f t="shared" si="50"/>
        <v>2.4179687736685367E-3</v>
      </c>
      <c r="AN134" s="138">
        <f t="shared" si="51"/>
        <v>7.2254596295506844E-4</v>
      </c>
      <c r="AO134" s="138">
        <f t="shared" si="52"/>
        <v>3.1405147366236051E-3</v>
      </c>
      <c r="AP134" s="311">
        <f t="shared" si="78"/>
        <v>7.8423956580007548E-3</v>
      </c>
      <c r="AQ134" s="11">
        <f t="shared" si="79"/>
        <v>2.3434923495672839E-3</v>
      </c>
      <c r="AR134" s="21">
        <f t="shared" si="80"/>
        <v>1.0185888007568039E-2</v>
      </c>
      <c r="AS134" s="11">
        <f t="shared" si="53"/>
        <v>1.1803611524072977E-3</v>
      </c>
      <c r="AT134" s="21">
        <f t="shared" si="54"/>
        <v>1.1803611524072977E-3</v>
      </c>
      <c r="AU134" s="170">
        <f>Sizing!JC148</f>
        <v>2.8003815318914239E-4</v>
      </c>
      <c r="AV134" s="272">
        <f>Sizing!JD148</f>
        <v>1.6734340536428149E-2</v>
      </c>
      <c r="AW134" s="170">
        <f>Sizing!JC148</f>
        <v>2.8003815318914239E-4</v>
      </c>
      <c r="AX134" s="272">
        <f>Sizing!JD148</f>
        <v>1.6734340536428149E-2</v>
      </c>
      <c r="AY134" s="216">
        <f>Sizing!IT148</f>
        <v>0.25</v>
      </c>
      <c r="AZ134" s="216">
        <f>Sizing!IU148</f>
        <v>1.5748031496062995E-2</v>
      </c>
      <c r="BA134" s="17">
        <f>Sizing!IV148</f>
        <v>1.5748031496062995E-2</v>
      </c>
      <c r="BB134" s="216">
        <f t="shared" si="55"/>
        <v>2.4179687736685367E-3</v>
      </c>
      <c r="BC134" s="138">
        <f t="shared" si="56"/>
        <v>7.2254596295506844E-4</v>
      </c>
      <c r="BD134" s="138">
        <f t="shared" si="57"/>
        <v>3.1405147366236051E-3</v>
      </c>
      <c r="BE134" s="311">
        <f t="shared" si="58"/>
        <v>3.9211978290003774E-3</v>
      </c>
      <c r="BF134" s="11">
        <f t="shared" si="59"/>
        <v>1.171746174783642E-3</v>
      </c>
      <c r="BG134" s="21">
        <f t="shared" si="60"/>
        <v>5.0929440037840194E-3</v>
      </c>
      <c r="BH134" s="21">
        <f t="shared" si="61"/>
        <v>2.0313705945453024E-5</v>
      </c>
      <c r="BI134" s="21">
        <f t="shared" si="62"/>
        <v>2.0313705945453024E-5</v>
      </c>
      <c r="BJ134" s="561"/>
      <c r="BK134">
        <f t="shared" si="63"/>
        <v>0.63320211999999998</v>
      </c>
      <c r="BL134">
        <f t="shared" si="64"/>
        <v>0.63320211999999998</v>
      </c>
      <c r="BM134">
        <f>C134*'Inputs-Imperial'!$E$12</f>
        <v>0.31660105999999999</v>
      </c>
      <c r="BN134">
        <f>C134*'Inputs-Imperial'!$E$12</f>
        <v>0.31660105999999999</v>
      </c>
      <c r="BO134">
        <f>C134*'Inputs-Imperial'!$E$12</f>
        <v>0.31660105999999999</v>
      </c>
      <c r="BP134">
        <f>C134*'Weight '!$E$15</f>
        <v>0.63320211999999998</v>
      </c>
      <c r="BQ134">
        <f>C134*'Weight '!$E$15</f>
        <v>0.63320211999999998</v>
      </c>
      <c r="BR134">
        <f>C134*'Weight '!$E$15</f>
        <v>0.63320211999999998</v>
      </c>
      <c r="BS134">
        <f t="shared" si="65"/>
        <v>9.4699480560214599E-2</v>
      </c>
      <c r="BT134" s="564">
        <f t="shared" si="66"/>
        <v>0.15582978573180062</v>
      </c>
      <c r="BU134">
        <f t="shared" si="67"/>
        <v>0.60771103621487566</v>
      </c>
    </row>
    <row r="135" spans="1:73" x14ac:dyDescent="0.25">
      <c r="A135" s="186">
        <v>89</v>
      </c>
      <c r="B135" s="187">
        <f>A135/100*'Inputs-Imperial'!$E$5</f>
        <v>8.7598428000000013</v>
      </c>
      <c r="C135" s="188">
        <f>'Inputs-Imperial'!$E$10+('Inputs-Imperial'!$E$9-'Inputs-Imperial'!$E$10)*(100-A135)/100</f>
        <v>1.2565617199999999</v>
      </c>
      <c r="D135" s="187">
        <f t="shared" si="68"/>
        <v>9.8425200000001212E-2</v>
      </c>
      <c r="E135" s="188">
        <f t="shared" si="69"/>
        <v>0.12416171460309751</v>
      </c>
      <c r="F135" s="423">
        <f>Sizing!F149</f>
        <v>7.4761749352439946</v>
      </c>
      <c r="G135" s="423">
        <f>Sizing!G149</f>
        <v>74.761749352439949</v>
      </c>
      <c r="H135" s="423">
        <f>Sizing!H149</f>
        <v>40.916677004968221</v>
      </c>
      <c r="I135" s="423">
        <f>Sizing!I149</f>
        <v>-37.676199732695018</v>
      </c>
      <c r="J135" s="189">
        <f>Sizing!J149</f>
        <v>4.0916677004968216</v>
      </c>
      <c r="K135" s="128">
        <v>89</v>
      </c>
      <c r="L135" s="12">
        <f t="shared" si="45"/>
        <v>105.11811360000002</v>
      </c>
      <c r="M135" s="11">
        <f t="shared" si="45"/>
        <v>15.078740639999999</v>
      </c>
      <c r="N135" s="11">
        <f t="shared" si="45"/>
        <v>1.1811024000000145</v>
      </c>
      <c r="O135" s="152">
        <f t="shared" si="46"/>
        <v>17.87928690284604</v>
      </c>
      <c r="P135" s="8">
        <f t="shared" si="81"/>
        <v>2.7141733151999996</v>
      </c>
      <c r="Q135" s="12">
        <f t="shared" si="70"/>
        <v>3.2182716425122875</v>
      </c>
      <c r="R135" s="8">
        <f t="shared" si="82"/>
        <v>1.3570866575999998</v>
      </c>
      <c r="S135" s="12">
        <f t="shared" si="71"/>
        <v>1.6091358212561437</v>
      </c>
      <c r="T135" s="17">
        <f>Sizing!CN149</f>
        <v>0.25</v>
      </c>
      <c r="U135" s="17">
        <f>Sizing!CO149</f>
        <v>2.3622047244094495E-2</v>
      </c>
      <c r="V135" s="17">
        <f>Sizing!CP149</f>
        <v>1.5748031496062995E-2</v>
      </c>
      <c r="W135" s="128">
        <f t="shared" si="47"/>
        <v>3.0224609670856709E-3</v>
      </c>
      <c r="X135" s="2">
        <f t="shared" si="48"/>
        <v>7.2254596295506844E-4</v>
      </c>
      <c r="Y135" s="2">
        <f t="shared" si="49"/>
        <v>3.7450069300407392E-3</v>
      </c>
      <c r="Z135" s="216">
        <f t="shared" si="72"/>
        <v>5.5797213403817866E-2</v>
      </c>
      <c r="AA135" s="138">
        <f t="shared" si="73"/>
        <v>1.3338816192536219E-2</v>
      </c>
      <c r="AB135" s="17">
        <f t="shared" si="74"/>
        <v>6.9136029596354079E-2</v>
      </c>
      <c r="AC135" s="311">
        <f t="shared" si="75"/>
        <v>5.4835192483062387E-2</v>
      </c>
      <c r="AD135" s="316">
        <f t="shared" si="76"/>
        <v>1.3108836603009735E-2</v>
      </c>
      <c r="AE135" s="21">
        <f t="shared" si="77"/>
        <v>6.7944029086072125E-2</v>
      </c>
      <c r="AF135" s="170">
        <f>Sizing!DU149</f>
        <v>1.6272075519057922E-2</v>
      </c>
      <c r="AG135" s="170">
        <f>Sizing!DV149</f>
        <v>0.12756204576227964</v>
      </c>
      <c r="AH135" s="170">
        <f>Sizing!DW149</f>
        <v>1.6272075519057922E-2</v>
      </c>
      <c r="AI135" s="272">
        <f>Sizing!DX149</f>
        <v>0.12756204576227964</v>
      </c>
      <c r="AJ135" s="216">
        <f>Sizing!GJ149</f>
        <v>0.25</v>
      </c>
      <c r="AK135" s="216">
        <f>Sizing!GK149</f>
        <v>1.5748031496062995E-2</v>
      </c>
      <c r="AL135" s="17">
        <f>Sizing!GL149</f>
        <v>1.5748031496062995E-2</v>
      </c>
      <c r="AM135" s="216">
        <f t="shared" si="50"/>
        <v>2.4179687736685367E-3</v>
      </c>
      <c r="AN135" s="138">
        <f t="shared" si="51"/>
        <v>7.2254596295506844E-4</v>
      </c>
      <c r="AO135" s="138">
        <f t="shared" si="52"/>
        <v>3.1405147366236051E-3</v>
      </c>
      <c r="AP135" s="311">
        <f t="shared" si="78"/>
        <v>7.7816803367776631E-3</v>
      </c>
      <c r="AQ135" s="11">
        <f t="shared" si="79"/>
        <v>2.3253491829900307E-3</v>
      </c>
      <c r="AR135" s="21">
        <f t="shared" si="80"/>
        <v>1.0107029519767694E-2</v>
      </c>
      <c r="AS135" s="11">
        <f t="shared" si="53"/>
        <v>1.180361152407319E-3</v>
      </c>
      <c r="AT135" s="21">
        <f t="shared" si="54"/>
        <v>1.180361152407319E-3</v>
      </c>
      <c r="AU135" s="170">
        <f>Sizing!JC149</f>
        <v>2.8003815318914239E-4</v>
      </c>
      <c r="AV135" s="272">
        <f>Sizing!JD149</f>
        <v>1.6734340536428149E-2</v>
      </c>
      <c r="AW135" s="170">
        <f>Sizing!JC149</f>
        <v>2.8003815318914239E-4</v>
      </c>
      <c r="AX135" s="272">
        <f>Sizing!JD149</f>
        <v>1.6734340536428149E-2</v>
      </c>
      <c r="AY135" s="216">
        <f>Sizing!IT149</f>
        <v>0.25</v>
      </c>
      <c r="AZ135" s="216">
        <f>Sizing!IU149</f>
        <v>1.5748031496062995E-2</v>
      </c>
      <c r="BA135" s="17">
        <f>Sizing!IV149</f>
        <v>1.5748031496062995E-2</v>
      </c>
      <c r="BB135" s="216">
        <f t="shared" si="55"/>
        <v>2.4179687736685367E-3</v>
      </c>
      <c r="BC135" s="138">
        <f t="shared" si="56"/>
        <v>7.2254596295506844E-4</v>
      </c>
      <c r="BD135" s="138">
        <f t="shared" si="57"/>
        <v>3.1405147366236051E-3</v>
      </c>
      <c r="BE135" s="311">
        <f t="shared" si="58"/>
        <v>3.8908401683888315E-3</v>
      </c>
      <c r="BF135" s="11">
        <f t="shared" si="59"/>
        <v>1.1626745914950153E-3</v>
      </c>
      <c r="BG135" s="21">
        <f t="shared" si="60"/>
        <v>5.0535147598838471E-3</v>
      </c>
      <c r="BH135" s="21">
        <f t="shared" si="61"/>
        <v>2.031370594545339E-5</v>
      </c>
      <c r="BI135" s="21">
        <f t="shared" si="62"/>
        <v>2.031370594545339E-5</v>
      </c>
      <c r="BJ135" s="561"/>
      <c r="BK135">
        <f t="shared" si="63"/>
        <v>0.62828085999999994</v>
      </c>
      <c r="BL135">
        <f t="shared" si="64"/>
        <v>0.62828085999999994</v>
      </c>
      <c r="BM135">
        <f>C135*'Inputs-Imperial'!$E$12</f>
        <v>0.31414042999999997</v>
      </c>
      <c r="BN135">
        <f>C135*'Inputs-Imperial'!$E$12</f>
        <v>0.31414042999999997</v>
      </c>
      <c r="BO135">
        <f>C135*'Inputs-Imperial'!$E$12</f>
        <v>0.31414042999999997</v>
      </c>
      <c r="BP135">
        <f>C135*'Weight '!$E$15</f>
        <v>0.62828085999999994</v>
      </c>
      <c r="BQ135">
        <f>C135*'Weight '!$E$15</f>
        <v>0.62828085999999994</v>
      </c>
      <c r="BR135">
        <f>C135*'Weight '!$E$15</f>
        <v>0.62828085999999994</v>
      </c>
      <c r="BS135">
        <f t="shared" si="65"/>
        <v>9.3241954101797669E-2</v>
      </c>
      <c r="BT135" s="564">
        <f t="shared" si="66"/>
        <v>0.15464195267878333</v>
      </c>
      <c r="BU135">
        <f t="shared" si="67"/>
        <v>0.60295380707896573</v>
      </c>
    </row>
    <row r="136" spans="1:73" x14ac:dyDescent="0.25">
      <c r="A136" s="186">
        <v>90</v>
      </c>
      <c r="B136" s="187">
        <f>A136/100*'Inputs-Imperial'!$E$5</f>
        <v>8.8582680000000007</v>
      </c>
      <c r="C136" s="188">
        <f>'Inputs-Imperial'!$E$10+('Inputs-Imperial'!$E$9-'Inputs-Imperial'!$E$10)*(100-A136)/100</f>
        <v>1.2467192</v>
      </c>
      <c r="D136" s="187">
        <f t="shared" si="68"/>
        <v>9.8425199999999435E-2</v>
      </c>
      <c r="E136" s="188">
        <f t="shared" si="69"/>
        <v>0.12319296260359129</v>
      </c>
      <c r="F136" s="423">
        <f>Sizing!F150</f>
        <v>6.6695470390419782</v>
      </c>
      <c r="G136" s="423">
        <f>Sizing!G150</f>
        <v>66.695470390419786</v>
      </c>
      <c r="H136" s="423">
        <f>Sizing!H150</f>
        <v>33.558236872604489</v>
      </c>
      <c r="I136" s="423">
        <f>Sizing!I150</f>
        <v>-32.891175072015713</v>
      </c>
      <c r="J136" s="189">
        <f>Sizing!J150</f>
        <v>3.355823687260449</v>
      </c>
      <c r="K136" s="128">
        <v>90</v>
      </c>
      <c r="L136" s="12">
        <f t="shared" si="45"/>
        <v>106.299216</v>
      </c>
      <c r="M136" s="11">
        <f t="shared" si="45"/>
        <v>14.960630399999999</v>
      </c>
      <c r="N136" s="11">
        <f t="shared" si="45"/>
        <v>1.1811023999999932</v>
      </c>
      <c r="O136" s="152">
        <f t="shared" si="46"/>
        <v>17.739786614917143</v>
      </c>
      <c r="P136" s="8">
        <f t="shared" si="81"/>
        <v>2.6929134719999999</v>
      </c>
      <c r="Q136" s="12">
        <f t="shared" si="70"/>
        <v>3.1931615906850856</v>
      </c>
      <c r="R136" s="8">
        <f t="shared" si="82"/>
        <v>1.3464567359999999</v>
      </c>
      <c r="S136" s="12">
        <f t="shared" si="71"/>
        <v>1.5965807953425428</v>
      </c>
      <c r="T136" s="17">
        <f>Sizing!CN150</f>
        <v>0.25</v>
      </c>
      <c r="U136" s="17">
        <f>Sizing!CO150</f>
        <v>2.3622047244094495E-2</v>
      </c>
      <c r="V136" s="17">
        <f>Sizing!CP150</f>
        <v>1.5748031496062995E-2</v>
      </c>
      <c r="W136" s="128">
        <f t="shared" si="47"/>
        <v>3.0224609670856709E-3</v>
      </c>
      <c r="X136" s="2">
        <f t="shared" si="48"/>
        <v>7.2254596295506844E-4</v>
      </c>
      <c r="Y136" s="2">
        <f t="shared" si="49"/>
        <v>3.7450069300407392E-3</v>
      </c>
      <c r="Z136" s="216">
        <f t="shared" si="72"/>
        <v>5.5361864534606328E-2</v>
      </c>
      <c r="AA136" s="138">
        <f t="shared" si="73"/>
        <v>1.3234742204037652E-2</v>
      </c>
      <c r="AB136" s="17">
        <f t="shared" si="74"/>
        <v>6.8596606738643984E-2</v>
      </c>
      <c r="AC136" s="311">
        <f t="shared" si="75"/>
        <v>5.4407349628837247E-2</v>
      </c>
      <c r="AD136" s="316">
        <f t="shared" si="76"/>
        <v>1.3006556993623207E-2</v>
      </c>
      <c r="AE136" s="21">
        <f t="shared" si="77"/>
        <v>6.7413906622460454E-2</v>
      </c>
      <c r="AF136" s="170">
        <f>Sizing!DU150</f>
        <v>3.9589056222337476E-3</v>
      </c>
      <c r="AG136" s="170">
        <f>Sizing!DV150</f>
        <v>6.2919834887209827E-2</v>
      </c>
      <c r="AH136" s="170">
        <f>Sizing!DW150</f>
        <v>3.9589056222337476E-3</v>
      </c>
      <c r="AI136" s="272">
        <f>Sizing!DX150</f>
        <v>6.2919834887209827E-2</v>
      </c>
      <c r="AJ136" s="216">
        <f>Sizing!GJ150</f>
        <v>0.25</v>
      </c>
      <c r="AK136" s="216">
        <f>Sizing!GK150</f>
        <v>1.5748031496062995E-2</v>
      </c>
      <c r="AL136" s="17">
        <f>Sizing!GL150</f>
        <v>1.5748031496062995E-2</v>
      </c>
      <c r="AM136" s="216">
        <f t="shared" si="50"/>
        <v>2.4179687736685367E-3</v>
      </c>
      <c r="AN136" s="138">
        <f t="shared" si="51"/>
        <v>7.2254596295506844E-4</v>
      </c>
      <c r="AO136" s="138">
        <f t="shared" si="52"/>
        <v>3.1405147366236051E-3</v>
      </c>
      <c r="AP136" s="311">
        <f t="shared" si="78"/>
        <v>7.7209650155542903E-3</v>
      </c>
      <c r="AQ136" s="11">
        <f t="shared" si="79"/>
        <v>2.3072060164126933E-3</v>
      </c>
      <c r="AR136" s="21">
        <f t="shared" si="80"/>
        <v>1.0028171031966984E-2</v>
      </c>
      <c r="AS136" s="11">
        <f t="shared" si="53"/>
        <v>2.8717531436346834E-4</v>
      </c>
      <c r="AT136" s="21">
        <f t="shared" si="54"/>
        <v>2.8717531436346834E-4</v>
      </c>
      <c r="AU136" s="170">
        <f>Sizing!JC150</f>
        <v>6.9595306634633145E-5</v>
      </c>
      <c r="AV136" s="272">
        <f>Sizing!JD150</f>
        <v>8.3423801540467545E-3</v>
      </c>
      <c r="AW136" s="170">
        <f>Sizing!JC150</f>
        <v>6.9595306634633145E-5</v>
      </c>
      <c r="AX136" s="272">
        <f>Sizing!JD150</f>
        <v>8.3423801540467545E-3</v>
      </c>
      <c r="AY136" s="216">
        <f>Sizing!IT150</f>
        <v>0.25</v>
      </c>
      <c r="AZ136" s="216">
        <f>Sizing!IU150</f>
        <v>1.5748031496062995E-2</v>
      </c>
      <c r="BA136" s="17">
        <f>Sizing!IV150</f>
        <v>1.5748031496062995E-2</v>
      </c>
      <c r="BB136" s="216">
        <f t="shared" si="55"/>
        <v>2.4179687736685367E-3</v>
      </c>
      <c r="BC136" s="138">
        <f t="shared" si="56"/>
        <v>7.2254596295506844E-4</v>
      </c>
      <c r="BD136" s="138">
        <f t="shared" si="57"/>
        <v>3.1405147366236051E-3</v>
      </c>
      <c r="BE136" s="311">
        <f t="shared" si="58"/>
        <v>3.8604825077771451E-3</v>
      </c>
      <c r="BF136" s="11">
        <f t="shared" si="59"/>
        <v>1.1536030082063466E-3</v>
      </c>
      <c r="BG136" s="21">
        <f t="shared" si="60"/>
        <v>5.0140855159834918E-3</v>
      </c>
      <c r="BH136" s="21">
        <f t="shared" si="61"/>
        <v>5.0483785086409678E-6</v>
      </c>
      <c r="BI136" s="21">
        <f t="shared" si="62"/>
        <v>5.0483785086409678E-6</v>
      </c>
      <c r="BJ136" s="561"/>
      <c r="BK136">
        <f t="shared" si="63"/>
        <v>0.62335960000000001</v>
      </c>
      <c r="BL136">
        <f t="shared" si="64"/>
        <v>0.62335960000000001</v>
      </c>
      <c r="BM136">
        <f>C136*'Inputs-Imperial'!$E$12</f>
        <v>0.31167980000000001</v>
      </c>
      <c r="BN136">
        <f>C136*'Inputs-Imperial'!$E$12</f>
        <v>0.31167980000000001</v>
      </c>
      <c r="BO136">
        <f>C136*'Inputs-Imperial'!$E$12</f>
        <v>0.31167980000000001</v>
      </c>
      <c r="BP136">
        <f>C136*'Weight '!$E$15</f>
        <v>0.62335960000000001</v>
      </c>
      <c r="BQ136">
        <f>C136*'Weight '!$E$15</f>
        <v>0.62335960000000001</v>
      </c>
      <c r="BR136">
        <f>C136*'Weight '!$E$15</f>
        <v>0.62335960000000001</v>
      </c>
      <c r="BS136">
        <f t="shared" si="65"/>
        <v>9.1219923287298332E-2</v>
      </c>
      <c r="BT136" s="564">
        <f t="shared" si="66"/>
        <v>0.15163721729479915</v>
      </c>
      <c r="BU136">
        <f t="shared" si="67"/>
        <v>0.60156685090017803</v>
      </c>
    </row>
    <row r="137" spans="1:73" x14ac:dyDescent="0.25">
      <c r="A137" s="186">
        <v>91</v>
      </c>
      <c r="B137" s="187">
        <f>A137/100*'Inputs-Imperial'!$E$5</f>
        <v>8.9566932000000001</v>
      </c>
      <c r="C137" s="188">
        <f>'Inputs-Imperial'!$E$10+('Inputs-Imperial'!$E$9-'Inputs-Imperial'!$E$10)*(100-A137)/100</f>
        <v>1.23687668</v>
      </c>
      <c r="D137" s="187">
        <f t="shared" si="68"/>
        <v>9.8425199999999435E-2</v>
      </c>
      <c r="E137" s="188">
        <f t="shared" si="69"/>
        <v>0.12222421060408731</v>
      </c>
      <c r="F137" s="423">
        <f>Sizing!F151</f>
        <v>5.8825129118367974</v>
      </c>
      <c r="G137" s="423">
        <f>Sizing!G151</f>
        <v>58.825129118367968</v>
      </c>
      <c r="H137" s="423">
        <f>Sizing!H151</f>
        <v>26.99372186033338</v>
      </c>
      <c r="I137" s="423">
        <f>Sizing!I151</f>
        <v>-28.33989064669283</v>
      </c>
      <c r="J137" s="189">
        <f>Sizing!J151</f>
        <v>2.6993721860333384</v>
      </c>
      <c r="K137" s="128">
        <v>91</v>
      </c>
      <c r="L137" s="12">
        <f t="shared" si="45"/>
        <v>107.4803184</v>
      </c>
      <c r="M137" s="11">
        <f t="shared" si="45"/>
        <v>14.842520159999999</v>
      </c>
      <c r="N137" s="11">
        <f t="shared" si="45"/>
        <v>1.1811023999999932</v>
      </c>
      <c r="O137" s="152">
        <f t="shared" si="46"/>
        <v>17.600286326988574</v>
      </c>
      <c r="P137" s="8">
        <f t="shared" si="81"/>
        <v>2.6716536287999997</v>
      </c>
      <c r="Q137" s="12">
        <f t="shared" si="70"/>
        <v>3.1680515388579424</v>
      </c>
      <c r="R137" s="8">
        <f t="shared" si="82"/>
        <v>1.3358268143999998</v>
      </c>
      <c r="S137" s="12">
        <f t="shared" si="71"/>
        <v>1.5840257694289712</v>
      </c>
      <c r="T137" s="17">
        <f>Sizing!CN151</f>
        <v>0.25</v>
      </c>
      <c r="U137" s="17">
        <f>Sizing!CO151</f>
        <v>2.3622047244094495E-2</v>
      </c>
      <c r="V137" s="17">
        <f>Sizing!CP151</f>
        <v>1.5748031496062995E-2</v>
      </c>
      <c r="W137" s="128">
        <f t="shared" si="47"/>
        <v>3.0224609670856709E-3</v>
      </c>
      <c r="X137" s="2">
        <f t="shared" si="48"/>
        <v>7.2254596295506844E-4</v>
      </c>
      <c r="Y137" s="2">
        <f t="shared" si="49"/>
        <v>3.7450069300407392E-3</v>
      </c>
      <c r="Z137" s="216">
        <f t="shared" si="72"/>
        <v>5.492651566539581E-2</v>
      </c>
      <c r="AA137" s="138">
        <f t="shared" si="73"/>
        <v>1.3130668215539324E-2</v>
      </c>
      <c r="AB137" s="17">
        <f t="shared" si="74"/>
        <v>6.8057183880935124E-2</v>
      </c>
      <c r="AC137" s="311">
        <f t="shared" si="75"/>
        <v>5.397950677461312E-2</v>
      </c>
      <c r="AD137" s="316">
        <f t="shared" si="76"/>
        <v>1.2904277384236922E-2</v>
      </c>
      <c r="AE137" s="21">
        <f t="shared" si="77"/>
        <v>6.6883784158850046E-2</v>
      </c>
      <c r="AF137" s="170">
        <f>Sizing!DU151</f>
        <v>3.9589056222337476E-3</v>
      </c>
      <c r="AG137" s="170">
        <f>Sizing!DV151</f>
        <v>6.2919834887209827E-2</v>
      </c>
      <c r="AH137" s="170">
        <f>Sizing!DW151</f>
        <v>3.9589056222337476E-3</v>
      </c>
      <c r="AI137" s="272">
        <f>Sizing!DX151</f>
        <v>6.2919834887209827E-2</v>
      </c>
      <c r="AJ137" s="216">
        <f>Sizing!GJ151</f>
        <v>0.25</v>
      </c>
      <c r="AK137" s="216">
        <f>Sizing!GK151</f>
        <v>1.5748031496062995E-2</v>
      </c>
      <c r="AL137" s="17">
        <f>Sizing!GL151</f>
        <v>1.5748031496062995E-2</v>
      </c>
      <c r="AM137" s="216">
        <f t="shared" si="50"/>
        <v>2.4179687736685367E-3</v>
      </c>
      <c r="AN137" s="138">
        <f t="shared" si="51"/>
        <v>7.2254596295506844E-4</v>
      </c>
      <c r="AO137" s="138">
        <f t="shared" si="52"/>
        <v>3.1405147366236051E-3</v>
      </c>
      <c r="AP137" s="311">
        <f t="shared" si="78"/>
        <v>7.6602496943310597E-3</v>
      </c>
      <c r="AQ137" s="11">
        <f t="shared" si="79"/>
        <v>2.2890628498353984E-3</v>
      </c>
      <c r="AR137" s="21">
        <f t="shared" si="80"/>
        <v>9.9493125441664585E-3</v>
      </c>
      <c r="AS137" s="11">
        <f t="shared" si="53"/>
        <v>2.8717531436346834E-4</v>
      </c>
      <c r="AT137" s="21">
        <f t="shared" si="54"/>
        <v>2.8717531436346834E-4</v>
      </c>
      <c r="AU137" s="170">
        <f>Sizing!JC151</f>
        <v>6.9595306634633145E-5</v>
      </c>
      <c r="AV137" s="272">
        <f>Sizing!JD151</f>
        <v>8.3423801540467545E-3</v>
      </c>
      <c r="AW137" s="170">
        <f>Sizing!JC151</f>
        <v>6.9595306634633145E-5</v>
      </c>
      <c r="AX137" s="272">
        <f>Sizing!JD151</f>
        <v>8.3423801540467545E-3</v>
      </c>
      <c r="AY137" s="216">
        <f>Sizing!IT151</f>
        <v>0.25</v>
      </c>
      <c r="AZ137" s="216">
        <f>Sizing!IU151</f>
        <v>1.5748031496062995E-2</v>
      </c>
      <c r="BA137" s="17">
        <f>Sizing!IV151</f>
        <v>1.5748031496062995E-2</v>
      </c>
      <c r="BB137" s="216">
        <f t="shared" si="55"/>
        <v>2.4179687736685367E-3</v>
      </c>
      <c r="BC137" s="138">
        <f t="shared" si="56"/>
        <v>7.2254596295506844E-4</v>
      </c>
      <c r="BD137" s="138">
        <f t="shared" si="57"/>
        <v>3.1405147366236051E-3</v>
      </c>
      <c r="BE137" s="311">
        <f t="shared" si="58"/>
        <v>3.8301248471655299E-3</v>
      </c>
      <c r="BF137" s="11">
        <f t="shared" si="59"/>
        <v>1.1445314249176992E-3</v>
      </c>
      <c r="BG137" s="21">
        <f t="shared" si="60"/>
        <v>4.9746562720832293E-3</v>
      </c>
      <c r="BH137" s="21">
        <f t="shared" si="61"/>
        <v>5.0483785086409678E-6</v>
      </c>
      <c r="BI137" s="21">
        <f t="shared" si="62"/>
        <v>5.0483785086409678E-6</v>
      </c>
      <c r="BJ137" s="561"/>
      <c r="BK137">
        <f t="shared" si="63"/>
        <v>0.61843833999999998</v>
      </c>
      <c r="BL137">
        <f t="shared" si="64"/>
        <v>0.61843833999999998</v>
      </c>
      <c r="BM137">
        <f>C137*'Inputs-Imperial'!$E$12</f>
        <v>0.30921916999999999</v>
      </c>
      <c r="BN137">
        <f>C137*'Inputs-Imperial'!$E$12</f>
        <v>0.30921916999999999</v>
      </c>
      <c r="BO137">
        <f>C137*'Inputs-Imperial'!$E$12</f>
        <v>0.30921916999999999</v>
      </c>
      <c r="BP137">
        <f>C137*'Weight '!$E$15</f>
        <v>0.61843833999999998</v>
      </c>
      <c r="BQ137">
        <f>C137*'Weight '!$E$15</f>
        <v>0.61843833999999998</v>
      </c>
      <c r="BR137">
        <f>C137*'Weight '!$E$15</f>
        <v>0.61843833999999998</v>
      </c>
      <c r="BS137">
        <f t="shared" si="65"/>
        <v>8.9789549052826351E-2</v>
      </c>
      <c r="BT137" s="564">
        <f t="shared" si="66"/>
        <v>0.15044938424177912</v>
      </c>
      <c r="BU137">
        <f t="shared" si="67"/>
        <v>0.59680901656952212</v>
      </c>
    </row>
    <row r="138" spans="1:73" x14ac:dyDescent="0.25">
      <c r="A138" s="186">
        <v>92</v>
      </c>
      <c r="B138" s="187">
        <f>A138/100*'Inputs-Imperial'!$E$5</f>
        <v>9.0551184000000013</v>
      </c>
      <c r="C138" s="188">
        <f>'Inputs-Imperial'!$E$10+('Inputs-Imperial'!$E$9-'Inputs-Imperial'!$E$10)*(100-A138)/100</f>
        <v>1.2270341599999999</v>
      </c>
      <c r="D138" s="187">
        <f t="shared" si="68"/>
        <v>9.8425200000001212E-2</v>
      </c>
      <c r="E138" s="188">
        <f t="shared" si="69"/>
        <v>0.12125545860458548</v>
      </c>
      <c r="F138" s="423">
        <f>Sizing!F152</f>
        <v>5.11608326942227</v>
      </c>
      <c r="G138" s="423">
        <f>Sizing!G152</f>
        <v>51.160832694222698</v>
      </c>
      <c r="H138" s="423">
        <f>Sizing!H152</f>
        <v>21.203846761832118</v>
      </c>
      <c r="I138" s="423">
        <f>Sizing!I152</f>
        <v>-24.028388871857111</v>
      </c>
      <c r="J138" s="189">
        <f>Sizing!J152</f>
        <v>2.1203846761832121</v>
      </c>
      <c r="K138" s="128">
        <v>92</v>
      </c>
      <c r="L138" s="12">
        <f t="shared" si="45"/>
        <v>108.66142080000002</v>
      </c>
      <c r="M138" s="11">
        <f t="shared" si="45"/>
        <v>14.724409919999999</v>
      </c>
      <c r="N138" s="11">
        <f t="shared" si="45"/>
        <v>1.1811024000000145</v>
      </c>
      <c r="O138" s="152">
        <f t="shared" si="46"/>
        <v>17.460786039060309</v>
      </c>
      <c r="P138" s="8">
        <f t="shared" si="81"/>
        <v>2.6503937855999999</v>
      </c>
      <c r="Q138" s="12">
        <f t="shared" si="70"/>
        <v>3.1429414870308561</v>
      </c>
      <c r="R138" s="8">
        <f t="shared" si="82"/>
        <v>1.3251968928</v>
      </c>
      <c r="S138" s="12">
        <f t="shared" si="71"/>
        <v>1.571470743515428</v>
      </c>
      <c r="T138" s="17">
        <f>Sizing!CN152</f>
        <v>0.25</v>
      </c>
      <c r="U138" s="17">
        <f>Sizing!CO152</f>
        <v>2.3622047244094495E-2</v>
      </c>
      <c r="V138" s="17">
        <f>Sizing!CP152</f>
        <v>1.5748031496062995E-2</v>
      </c>
      <c r="W138" s="128">
        <f t="shared" si="47"/>
        <v>3.0224609670856709E-3</v>
      </c>
      <c r="X138" s="2">
        <f t="shared" si="48"/>
        <v>7.2254596295506844E-4</v>
      </c>
      <c r="Y138" s="2">
        <f t="shared" si="49"/>
        <v>3.7450069300407392E-3</v>
      </c>
      <c r="Z138" s="216">
        <f t="shared" si="72"/>
        <v>5.4491166796186243E-2</v>
      </c>
      <c r="AA138" s="138">
        <f t="shared" si="73"/>
        <v>1.3026594227041225E-2</v>
      </c>
      <c r="AB138" s="17">
        <f t="shared" si="74"/>
        <v>6.7517761023227457E-2</v>
      </c>
      <c r="AC138" s="311">
        <f t="shared" si="75"/>
        <v>5.3551663920389923E-2</v>
      </c>
      <c r="AD138" s="316">
        <f t="shared" si="76"/>
        <v>1.280199777485086E-2</v>
      </c>
      <c r="AE138" s="21">
        <f t="shared" si="77"/>
        <v>6.6353661695240776E-2</v>
      </c>
      <c r="AF138" s="170">
        <f>Sizing!DU152</f>
        <v>3.9589056222337476E-3</v>
      </c>
      <c r="AG138" s="170">
        <f>Sizing!DV152</f>
        <v>6.2919834887209827E-2</v>
      </c>
      <c r="AH138" s="170">
        <f>Sizing!DW152</f>
        <v>3.9589056222337476E-3</v>
      </c>
      <c r="AI138" s="272">
        <f>Sizing!DX152</f>
        <v>6.2919834887209827E-2</v>
      </c>
      <c r="AJ138" s="216">
        <f>Sizing!GJ152</f>
        <v>0.25</v>
      </c>
      <c r="AK138" s="216">
        <f>Sizing!GK152</f>
        <v>1.5748031496062995E-2</v>
      </c>
      <c r="AL138" s="17">
        <f>Sizing!GL152</f>
        <v>1.5748031496062995E-2</v>
      </c>
      <c r="AM138" s="216">
        <f t="shared" si="50"/>
        <v>2.4179687736685367E-3</v>
      </c>
      <c r="AN138" s="138">
        <f t="shared" si="51"/>
        <v>7.2254596295506844E-4</v>
      </c>
      <c r="AO138" s="138">
        <f t="shared" si="52"/>
        <v>3.1405147366236051E-3</v>
      </c>
      <c r="AP138" s="311">
        <f t="shared" si="78"/>
        <v>7.5995343731079662E-3</v>
      </c>
      <c r="AQ138" s="11">
        <f t="shared" si="79"/>
        <v>2.2709196832581447E-3</v>
      </c>
      <c r="AR138" s="21">
        <f t="shared" si="80"/>
        <v>9.8704540563661104E-3</v>
      </c>
      <c r="AS138" s="11">
        <f t="shared" si="53"/>
        <v>2.8717531436347354E-4</v>
      </c>
      <c r="AT138" s="21">
        <f t="shared" si="54"/>
        <v>2.8717531436347354E-4</v>
      </c>
      <c r="AU138" s="170">
        <f>Sizing!JC152</f>
        <v>6.9595306634633145E-5</v>
      </c>
      <c r="AV138" s="272">
        <f>Sizing!JD152</f>
        <v>8.3423801540467545E-3</v>
      </c>
      <c r="AW138" s="170">
        <f>Sizing!JC152</f>
        <v>6.9595306634633145E-5</v>
      </c>
      <c r="AX138" s="272">
        <f>Sizing!JD152</f>
        <v>8.3423801540467545E-3</v>
      </c>
      <c r="AY138" s="216">
        <f>Sizing!IT152</f>
        <v>0.25</v>
      </c>
      <c r="AZ138" s="216">
        <f>Sizing!IU152</f>
        <v>1.5748031496062995E-2</v>
      </c>
      <c r="BA138" s="17">
        <f>Sizing!IV152</f>
        <v>1.5748031496062995E-2</v>
      </c>
      <c r="BB138" s="216">
        <f t="shared" si="55"/>
        <v>2.4179687736685367E-3</v>
      </c>
      <c r="BC138" s="138">
        <f t="shared" si="56"/>
        <v>7.2254596295506844E-4</v>
      </c>
      <c r="BD138" s="138">
        <f t="shared" si="57"/>
        <v>3.1405147366236051E-3</v>
      </c>
      <c r="BE138" s="311">
        <f t="shared" si="58"/>
        <v>3.7997671865539831E-3</v>
      </c>
      <c r="BF138" s="11">
        <f t="shared" si="59"/>
        <v>1.1354598416290723E-3</v>
      </c>
      <c r="BG138" s="21">
        <f t="shared" si="60"/>
        <v>4.9352270281830552E-3</v>
      </c>
      <c r="BH138" s="21">
        <f t="shared" si="61"/>
        <v>5.0483785086410593E-6</v>
      </c>
      <c r="BI138" s="21">
        <f t="shared" si="62"/>
        <v>5.0483785086410593E-6</v>
      </c>
      <c r="BJ138" s="561"/>
      <c r="BK138">
        <f t="shared" si="63"/>
        <v>0.61351707999999994</v>
      </c>
      <c r="BL138">
        <f t="shared" si="64"/>
        <v>0.61351707999999994</v>
      </c>
      <c r="BM138">
        <f>C138*'Inputs-Imperial'!$E$12</f>
        <v>0.30675853999999997</v>
      </c>
      <c r="BN138">
        <f>C138*'Inputs-Imperial'!$E$12</f>
        <v>0.30675853999999997</v>
      </c>
      <c r="BO138">
        <f>C138*'Inputs-Imperial'!$E$12</f>
        <v>0.30675853999999997</v>
      </c>
      <c r="BP138">
        <f>C138*'Weight '!$E$15</f>
        <v>0.61351707999999994</v>
      </c>
      <c r="BQ138">
        <f>C138*'Weight '!$E$15</f>
        <v>0.61351707999999994</v>
      </c>
      <c r="BR138">
        <f>C138*'Weight '!$E$15</f>
        <v>0.61351707999999994</v>
      </c>
      <c r="BS138">
        <f t="shared" si="65"/>
        <v>8.8370478005815267E-2</v>
      </c>
      <c r="BT138" s="564">
        <f t="shared" si="66"/>
        <v>0.14926155118876167</v>
      </c>
      <c r="BU138">
        <f t="shared" si="67"/>
        <v>0.59205118332221207</v>
      </c>
    </row>
    <row r="139" spans="1:73" x14ac:dyDescent="0.25">
      <c r="A139" s="186">
        <v>93</v>
      </c>
      <c r="B139" s="187">
        <f>A139/100*'Inputs-Imperial'!$E$5</f>
        <v>9.1535436000000008</v>
      </c>
      <c r="C139" s="188">
        <f>'Inputs-Imperial'!$E$10+('Inputs-Imperial'!$E$9-'Inputs-Imperial'!$E$10)*(100-A139)/100</f>
        <v>1.21719164</v>
      </c>
      <c r="D139" s="187">
        <f t="shared" si="68"/>
        <v>9.8425199999999435E-2</v>
      </c>
      <c r="E139" s="188">
        <f t="shared" si="69"/>
        <v>0.1202867066050793</v>
      </c>
      <c r="F139" s="423">
        <f>Sizing!F153</f>
        <v>4.3714455346696566</v>
      </c>
      <c r="G139" s="423">
        <f>Sizing!G153</f>
        <v>43.71445534669656</v>
      </c>
      <c r="H139" s="423">
        <f>Sizing!H153</f>
        <v>16.16833157173674</v>
      </c>
      <c r="I139" s="423">
        <f>Sizing!I153</f>
        <v>-19.963814796789094</v>
      </c>
      <c r="J139" s="189">
        <f>Sizing!J153</f>
        <v>1.6168331571736743</v>
      </c>
      <c r="K139" s="128">
        <v>93</v>
      </c>
      <c r="L139" s="12">
        <f t="shared" si="45"/>
        <v>109.84252320000002</v>
      </c>
      <c r="M139" s="11">
        <f t="shared" si="45"/>
        <v>14.606299679999999</v>
      </c>
      <c r="N139" s="11">
        <f t="shared" si="45"/>
        <v>1.1811023999999932</v>
      </c>
      <c r="O139" s="152">
        <f t="shared" si="46"/>
        <v>17.32128575113142</v>
      </c>
      <c r="P139" s="8">
        <f t="shared" si="81"/>
        <v>2.6291339423999998</v>
      </c>
      <c r="Q139" s="12">
        <f t="shared" si="70"/>
        <v>3.1178314352036556</v>
      </c>
      <c r="R139" s="8">
        <f t="shared" si="82"/>
        <v>1.3145669711999999</v>
      </c>
      <c r="S139" s="12">
        <f t="shared" si="71"/>
        <v>1.5589157176018278</v>
      </c>
      <c r="T139" s="17">
        <f>Sizing!CN153</f>
        <v>0.25</v>
      </c>
      <c r="U139" s="17">
        <f>Sizing!CO153</f>
        <v>2.3622047244094495E-2</v>
      </c>
      <c r="V139" s="17">
        <f>Sizing!CP153</f>
        <v>1.5748031496062995E-2</v>
      </c>
      <c r="W139" s="128">
        <f t="shared" si="47"/>
        <v>3.0224609670856709E-3</v>
      </c>
      <c r="X139" s="2">
        <f t="shared" si="48"/>
        <v>7.2254596295506844E-4</v>
      </c>
      <c r="Y139" s="2">
        <f t="shared" si="49"/>
        <v>3.7450069300407392E-3</v>
      </c>
      <c r="Z139" s="216">
        <f t="shared" si="72"/>
        <v>5.4055817926974732E-2</v>
      </c>
      <c r="AA139" s="138">
        <f t="shared" si="73"/>
        <v>1.2922520238542661E-2</v>
      </c>
      <c r="AB139" s="17">
        <f t="shared" si="74"/>
        <v>6.697833816551739E-2</v>
      </c>
      <c r="AC139" s="311">
        <f t="shared" si="75"/>
        <v>5.3123821066164818E-2</v>
      </c>
      <c r="AD139" s="316">
        <f t="shared" si="76"/>
        <v>1.2699718165464339E-2</v>
      </c>
      <c r="AE139" s="21">
        <f t="shared" si="77"/>
        <v>6.5823539231629147E-2</v>
      </c>
      <c r="AF139" s="170">
        <f>Sizing!DU153</f>
        <v>3.9589056222337476E-3</v>
      </c>
      <c r="AG139" s="170">
        <f>Sizing!DV153</f>
        <v>6.2919834887209827E-2</v>
      </c>
      <c r="AH139" s="170">
        <f>Sizing!DW153</f>
        <v>3.9589056222337476E-3</v>
      </c>
      <c r="AI139" s="272">
        <f>Sizing!DX153</f>
        <v>6.2919834887209827E-2</v>
      </c>
      <c r="AJ139" s="216">
        <f>Sizing!GJ153</f>
        <v>0.25</v>
      </c>
      <c r="AK139" s="216">
        <f>Sizing!GK153</f>
        <v>1.5748031496062995E-2</v>
      </c>
      <c r="AL139" s="17">
        <f>Sizing!GL153</f>
        <v>1.5748031496062995E-2</v>
      </c>
      <c r="AM139" s="216">
        <f t="shared" si="50"/>
        <v>2.4179687736685367E-3</v>
      </c>
      <c r="AN139" s="138">
        <f t="shared" si="51"/>
        <v>7.2254596295506844E-4</v>
      </c>
      <c r="AO139" s="138">
        <f t="shared" si="52"/>
        <v>3.1405147366236051E-3</v>
      </c>
      <c r="AP139" s="311">
        <f t="shared" si="78"/>
        <v>7.5388190518845969E-3</v>
      </c>
      <c r="AQ139" s="11">
        <f t="shared" si="79"/>
        <v>2.2527765166808086E-3</v>
      </c>
      <c r="AR139" s="21">
        <f t="shared" si="80"/>
        <v>9.791595568565405E-3</v>
      </c>
      <c r="AS139" s="11">
        <f t="shared" si="53"/>
        <v>2.8717531436346834E-4</v>
      </c>
      <c r="AT139" s="21">
        <f t="shared" si="54"/>
        <v>2.8717531436346834E-4</v>
      </c>
      <c r="AU139" s="170">
        <f>Sizing!JC153</f>
        <v>6.9595306634633145E-5</v>
      </c>
      <c r="AV139" s="272">
        <f>Sizing!JD153</f>
        <v>8.3423801540467545E-3</v>
      </c>
      <c r="AW139" s="170">
        <f>Sizing!JC153</f>
        <v>6.9595306634633145E-5</v>
      </c>
      <c r="AX139" s="272">
        <f>Sizing!JD153</f>
        <v>8.3423801540467545E-3</v>
      </c>
      <c r="AY139" s="216">
        <f>Sizing!IT153</f>
        <v>0.25</v>
      </c>
      <c r="AZ139" s="216">
        <f>Sizing!IU153</f>
        <v>1.5748031496062995E-2</v>
      </c>
      <c r="BA139" s="17">
        <f>Sizing!IV153</f>
        <v>1.5748031496062995E-2</v>
      </c>
      <c r="BB139" s="216">
        <f t="shared" si="55"/>
        <v>2.4179687736685367E-3</v>
      </c>
      <c r="BC139" s="138">
        <f t="shared" si="56"/>
        <v>7.2254596295506844E-4</v>
      </c>
      <c r="BD139" s="138">
        <f t="shared" si="57"/>
        <v>3.1405147366236051E-3</v>
      </c>
      <c r="BE139" s="311">
        <f t="shared" si="58"/>
        <v>3.7694095259422984E-3</v>
      </c>
      <c r="BF139" s="11">
        <f t="shared" si="59"/>
        <v>1.1263882583404043E-3</v>
      </c>
      <c r="BG139" s="21">
        <f t="shared" si="60"/>
        <v>4.8957977842827025E-3</v>
      </c>
      <c r="BH139" s="21">
        <f t="shared" si="61"/>
        <v>5.0483785086409678E-6</v>
      </c>
      <c r="BI139" s="21">
        <f t="shared" si="62"/>
        <v>5.0483785086409678E-6</v>
      </c>
      <c r="BJ139" s="561"/>
      <c r="BK139">
        <f t="shared" si="63"/>
        <v>0.60859582000000001</v>
      </c>
      <c r="BL139">
        <f t="shared" si="64"/>
        <v>0.60859582000000001</v>
      </c>
      <c r="BM139">
        <f>C139*'Inputs-Imperial'!$E$12</f>
        <v>0.30429791</v>
      </c>
      <c r="BN139">
        <f>C139*'Inputs-Imperial'!$E$12</f>
        <v>0.30429791</v>
      </c>
      <c r="BO139">
        <f>C139*'Inputs-Imperial'!$E$12</f>
        <v>0.30429791</v>
      </c>
      <c r="BP139">
        <f>C139*'Weight '!$E$15</f>
        <v>0.60859582000000001</v>
      </c>
      <c r="BQ139">
        <f>C139*'Weight '!$E$15</f>
        <v>0.60859582000000001</v>
      </c>
      <c r="BR139">
        <f>C139*'Weight '!$E$15</f>
        <v>0.60859582000000001</v>
      </c>
      <c r="BS139">
        <f t="shared" si="65"/>
        <v>8.696271014626035E-2</v>
      </c>
      <c r="BT139" s="564">
        <f t="shared" si="66"/>
        <v>0.14807371813573891</v>
      </c>
      <c r="BU139">
        <f t="shared" si="67"/>
        <v>0.5872933511843188</v>
      </c>
    </row>
    <row r="140" spans="1:73" x14ac:dyDescent="0.25">
      <c r="A140" s="186">
        <v>94</v>
      </c>
      <c r="B140" s="187">
        <f>A140/100*'Inputs-Imperial'!$E$5</f>
        <v>9.2519688000000002</v>
      </c>
      <c r="C140" s="188">
        <f>'Inputs-Imperial'!$E$10+('Inputs-Imperial'!$E$9-'Inputs-Imperial'!$E$10)*(100-A140)/100</f>
        <v>1.2073491199999999</v>
      </c>
      <c r="D140" s="187">
        <f t="shared" si="68"/>
        <v>9.8425199999999435E-2</v>
      </c>
      <c r="E140" s="188">
        <f t="shared" si="69"/>
        <v>0.11931795460557533</v>
      </c>
      <c r="F140" s="423">
        <f>Sizing!F154</f>
        <v>3.6500256004101281</v>
      </c>
      <c r="G140" s="423">
        <f>Sizing!G154</f>
        <v>36.500256004101274</v>
      </c>
      <c r="H140" s="423">
        <f>Sizing!H154</f>
        <v>11.865727561347086</v>
      </c>
      <c r="I140" s="423">
        <f>Sizing!I154</f>
        <v>-16.154832006045154</v>
      </c>
      <c r="J140" s="189">
        <f>Sizing!J154</f>
        <v>1.1865727561347088</v>
      </c>
      <c r="K140" s="128">
        <v>94</v>
      </c>
      <c r="L140" s="12">
        <f t="shared" si="45"/>
        <v>111.0236256</v>
      </c>
      <c r="M140" s="11">
        <f t="shared" si="45"/>
        <v>14.488189439999999</v>
      </c>
      <c r="N140" s="11">
        <f t="shared" si="45"/>
        <v>1.1811023999999932</v>
      </c>
      <c r="O140" s="152">
        <f t="shared" si="46"/>
        <v>17.18178546320285</v>
      </c>
      <c r="P140" s="8">
        <f t="shared" si="81"/>
        <v>2.6078740991999996</v>
      </c>
      <c r="Q140" s="12">
        <f t="shared" si="70"/>
        <v>3.0927213833765119</v>
      </c>
      <c r="R140" s="8">
        <f t="shared" si="82"/>
        <v>1.3039370495999998</v>
      </c>
      <c r="S140" s="12">
        <f t="shared" si="71"/>
        <v>1.546360691688256</v>
      </c>
      <c r="T140" s="17">
        <f>Sizing!CN154</f>
        <v>0.25</v>
      </c>
      <c r="U140" s="17">
        <f>Sizing!CO154</f>
        <v>2.3622047244094495E-2</v>
      </c>
      <c r="V140" s="17">
        <f>Sizing!CP154</f>
        <v>1.5748031496062995E-2</v>
      </c>
      <c r="W140" s="128">
        <f t="shared" si="47"/>
        <v>3.0224609670856709E-3</v>
      </c>
      <c r="X140" s="2">
        <f t="shared" si="48"/>
        <v>7.2254596295506844E-4</v>
      </c>
      <c r="Y140" s="2">
        <f t="shared" si="49"/>
        <v>3.7450069300407392E-3</v>
      </c>
      <c r="Z140" s="216">
        <f t="shared" si="72"/>
        <v>5.3620469057764207E-2</v>
      </c>
      <c r="AA140" s="138">
        <f t="shared" si="73"/>
        <v>1.2818446250044335E-2</v>
      </c>
      <c r="AB140" s="17">
        <f t="shared" si="74"/>
        <v>6.6438915307808544E-2</v>
      </c>
      <c r="AC140" s="311">
        <f t="shared" si="75"/>
        <v>5.2695978211940685E-2</v>
      </c>
      <c r="AD140" s="316">
        <f t="shared" si="76"/>
        <v>1.2597438556078052E-2</v>
      </c>
      <c r="AE140" s="21">
        <f t="shared" si="77"/>
        <v>6.5293416768018739E-2</v>
      </c>
      <c r="AF140" s="170">
        <f>Sizing!DU154</f>
        <v>3.9589056222337476E-3</v>
      </c>
      <c r="AG140" s="170">
        <f>Sizing!DV154</f>
        <v>6.2919834887209827E-2</v>
      </c>
      <c r="AH140" s="170">
        <f>Sizing!DW154</f>
        <v>3.9589056222337476E-3</v>
      </c>
      <c r="AI140" s="272">
        <f>Sizing!DX154</f>
        <v>6.2919834887209827E-2</v>
      </c>
      <c r="AJ140" s="216">
        <f>Sizing!GJ154</f>
        <v>0.25</v>
      </c>
      <c r="AK140" s="216">
        <f>Sizing!GK154</f>
        <v>1.5748031496062995E-2</v>
      </c>
      <c r="AL140" s="17">
        <f>Sizing!GL154</f>
        <v>1.5748031496062995E-2</v>
      </c>
      <c r="AM140" s="216">
        <f t="shared" si="50"/>
        <v>2.4179687736685367E-3</v>
      </c>
      <c r="AN140" s="138">
        <f t="shared" si="51"/>
        <v>7.2254596295506844E-4</v>
      </c>
      <c r="AO140" s="138">
        <f t="shared" si="52"/>
        <v>3.1405147366236051E-3</v>
      </c>
      <c r="AP140" s="311">
        <f t="shared" si="78"/>
        <v>7.4781037306613646E-3</v>
      </c>
      <c r="AQ140" s="11">
        <f t="shared" si="79"/>
        <v>2.2346333501035132E-3</v>
      </c>
      <c r="AR140" s="21">
        <f t="shared" si="80"/>
        <v>9.7127370807648782E-3</v>
      </c>
      <c r="AS140" s="11">
        <f t="shared" si="53"/>
        <v>2.8717531436346834E-4</v>
      </c>
      <c r="AT140" s="21">
        <f t="shared" si="54"/>
        <v>2.8717531436346834E-4</v>
      </c>
      <c r="AU140" s="170">
        <f>Sizing!JC154</f>
        <v>6.9595306634633145E-5</v>
      </c>
      <c r="AV140" s="272">
        <f>Sizing!JD154</f>
        <v>8.3423801540467545E-3</v>
      </c>
      <c r="AW140" s="170">
        <f>Sizing!JC154</f>
        <v>6.9595306634633145E-5</v>
      </c>
      <c r="AX140" s="272">
        <f>Sizing!JD154</f>
        <v>8.3423801540467545E-3</v>
      </c>
      <c r="AY140" s="216">
        <f>Sizing!IT154</f>
        <v>0.25</v>
      </c>
      <c r="AZ140" s="216">
        <f>Sizing!IU154</f>
        <v>1.5748031496062995E-2</v>
      </c>
      <c r="BA140" s="17">
        <f>Sizing!IV154</f>
        <v>1.5748031496062995E-2</v>
      </c>
      <c r="BB140" s="216">
        <f t="shared" si="55"/>
        <v>2.4179687736685367E-3</v>
      </c>
      <c r="BC140" s="138">
        <f t="shared" si="56"/>
        <v>7.2254596295506844E-4</v>
      </c>
      <c r="BD140" s="138">
        <f t="shared" si="57"/>
        <v>3.1405147366236051E-3</v>
      </c>
      <c r="BE140" s="311">
        <f t="shared" si="58"/>
        <v>3.7390518653306823E-3</v>
      </c>
      <c r="BF140" s="11">
        <f t="shared" si="59"/>
        <v>1.1173166750517566E-3</v>
      </c>
      <c r="BG140" s="21">
        <f t="shared" si="60"/>
        <v>4.8563685403824391E-3</v>
      </c>
      <c r="BH140" s="21">
        <f t="shared" si="61"/>
        <v>5.0483785086409678E-6</v>
      </c>
      <c r="BI140" s="21">
        <f t="shared" si="62"/>
        <v>5.0483785086409678E-6</v>
      </c>
      <c r="BJ140" s="561"/>
      <c r="BK140">
        <f t="shared" si="63"/>
        <v>0.60367455999999997</v>
      </c>
      <c r="BL140">
        <f t="shared" si="64"/>
        <v>0.60367455999999997</v>
      </c>
      <c r="BM140">
        <f>C140*'Inputs-Imperial'!$E$12</f>
        <v>0.30183727999999999</v>
      </c>
      <c r="BN140">
        <f>C140*'Inputs-Imperial'!$E$12</f>
        <v>0.30183727999999999</v>
      </c>
      <c r="BO140">
        <f>C140*'Inputs-Imperial'!$E$12</f>
        <v>0.30183727999999999</v>
      </c>
      <c r="BP140">
        <f>C140*'Weight '!$E$15</f>
        <v>0.60367455999999997</v>
      </c>
      <c r="BQ140">
        <f>C140*'Weight '!$E$15</f>
        <v>0.60367455999999997</v>
      </c>
      <c r="BR140">
        <f>C140*'Weight '!$E$15</f>
        <v>0.60367455999999997</v>
      </c>
      <c r="BS140">
        <f t="shared" si="65"/>
        <v>8.55662454741664E-2</v>
      </c>
      <c r="BT140" s="564">
        <f t="shared" si="66"/>
        <v>0.14688588508271885</v>
      </c>
      <c r="BU140">
        <f t="shared" si="67"/>
        <v>0.58253552018275767</v>
      </c>
    </row>
    <row r="141" spans="1:73" x14ac:dyDescent="0.25">
      <c r="A141" s="186">
        <v>95</v>
      </c>
      <c r="B141" s="187">
        <f>A141/100*'Inputs-Imperial'!$E$5</f>
        <v>9.3503939999999997</v>
      </c>
      <c r="C141" s="188">
        <f>'Inputs-Imperial'!$E$10+('Inputs-Imperial'!$E$9-'Inputs-Imperial'!$E$10)*(100-A141)/100</f>
        <v>1.1975065999999999</v>
      </c>
      <c r="D141" s="187">
        <f t="shared" si="68"/>
        <v>9.8425199999999435E-2</v>
      </c>
      <c r="E141" s="188">
        <f t="shared" si="69"/>
        <v>0.1183492026060713</v>
      </c>
      <c r="F141" s="423">
        <f>Sizing!F155</f>
        <v>2.9535852726511846</v>
      </c>
      <c r="G141" s="423">
        <f>Sizing!G155</f>
        <v>29.535852726511841</v>
      </c>
      <c r="H141" s="423">
        <f>Sizing!H155</f>
        <v>8.2731825640922381</v>
      </c>
      <c r="I141" s="423">
        <f>Sizing!I155</f>
        <v>-12.612292049519903</v>
      </c>
      <c r="J141" s="189">
        <f>Sizing!J155</f>
        <v>0.82731825640922396</v>
      </c>
      <c r="K141" s="128">
        <v>95</v>
      </c>
      <c r="L141" s="12">
        <f t="shared" si="45"/>
        <v>112.20472799999999</v>
      </c>
      <c r="M141" s="11">
        <f t="shared" si="45"/>
        <v>14.370079199999999</v>
      </c>
      <c r="N141" s="11">
        <f t="shared" si="45"/>
        <v>1.1811023999999932</v>
      </c>
      <c r="O141" s="152">
        <f t="shared" si="46"/>
        <v>17.042285175274269</v>
      </c>
      <c r="P141" s="8">
        <f t="shared" si="81"/>
        <v>2.5866142559999998</v>
      </c>
      <c r="Q141" s="12">
        <f t="shared" si="70"/>
        <v>3.0676113315493678</v>
      </c>
      <c r="R141" s="8">
        <f t="shared" si="82"/>
        <v>1.2933071279999999</v>
      </c>
      <c r="S141" s="12">
        <f t="shared" si="71"/>
        <v>1.5338056657746839</v>
      </c>
      <c r="T141" s="17">
        <f>Sizing!CN155</f>
        <v>0.25</v>
      </c>
      <c r="U141" s="17">
        <f>Sizing!CO155</f>
        <v>2.3622047244094495E-2</v>
      </c>
      <c r="V141" s="17">
        <f>Sizing!CP155</f>
        <v>1.5748031496062995E-2</v>
      </c>
      <c r="W141" s="128">
        <f t="shared" si="47"/>
        <v>3.0224609670856709E-3</v>
      </c>
      <c r="X141" s="2">
        <f t="shared" si="48"/>
        <v>7.2254596295506844E-4</v>
      </c>
      <c r="Y141" s="2">
        <f t="shared" si="49"/>
        <v>3.7450069300407392E-3</v>
      </c>
      <c r="Z141" s="216">
        <f t="shared" si="72"/>
        <v>5.3185120188553661E-2</v>
      </c>
      <c r="AA141" s="138">
        <f t="shared" si="73"/>
        <v>1.2714372261546002E-2</v>
      </c>
      <c r="AB141" s="17">
        <f t="shared" si="74"/>
        <v>6.5899492450099656E-2</v>
      </c>
      <c r="AC141" s="311">
        <f t="shared" si="75"/>
        <v>5.226813535771653E-2</v>
      </c>
      <c r="AD141" s="316">
        <f t="shared" si="76"/>
        <v>1.2495158946691761E-2</v>
      </c>
      <c r="AE141" s="21">
        <f t="shared" si="77"/>
        <v>6.4763294304408289E-2</v>
      </c>
      <c r="AF141" s="170">
        <f>Sizing!DU155</f>
        <v>3.9589056222337476E-3</v>
      </c>
      <c r="AG141" s="170">
        <f>Sizing!DV155</f>
        <v>6.2919834887209827E-2</v>
      </c>
      <c r="AH141" s="170">
        <f>Sizing!DW155</f>
        <v>3.9589056222337476E-3</v>
      </c>
      <c r="AI141" s="272">
        <f>Sizing!DX155</f>
        <v>6.2919834887209827E-2</v>
      </c>
      <c r="AJ141" s="216">
        <f>Sizing!GJ155</f>
        <v>0.25</v>
      </c>
      <c r="AK141" s="216">
        <f>Sizing!GK155</f>
        <v>1.5748031496062995E-2</v>
      </c>
      <c r="AL141" s="17">
        <f>Sizing!GL155</f>
        <v>1.5748031496062995E-2</v>
      </c>
      <c r="AM141" s="216">
        <f t="shared" si="50"/>
        <v>2.4179687736685367E-3</v>
      </c>
      <c r="AN141" s="138">
        <f t="shared" si="51"/>
        <v>7.2254596295506844E-4</v>
      </c>
      <c r="AO141" s="138">
        <f t="shared" si="52"/>
        <v>3.1405147366236051E-3</v>
      </c>
      <c r="AP141" s="311">
        <f t="shared" si="78"/>
        <v>7.4173884094381323E-3</v>
      </c>
      <c r="AQ141" s="11">
        <f t="shared" si="79"/>
        <v>2.2164901835262179E-3</v>
      </c>
      <c r="AR141" s="21">
        <f t="shared" si="80"/>
        <v>9.6338785929643497E-3</v>
      </c>
      <c r="AS141" s="11">
        <f t="shared" si="53"/>
        <v>2.8717531436346834E-4</v>
      </c>
      <c r="AT141" s="21">
        <f t="shared" si="54"/>
        <v>2.8717531436346834E-4</v>
      </c>
      <c r="AU141" s="170">
        <f>Sizing!JC155</f>
        <v>6.9595306634633145E-5</v>
      </c>
      <c r="AV141" s="272">
        <f>Sizing!JD155</f>
        <v>8.3423801540467545E-3</v>
      </c>
      <c r="AW141" s="170">
        <f>Sizing!JC155</f>
        <v>6.9595306634633145E-5</v>
      </c>
      <c r="AX141" s="272">
        <f>Sizing!JD155</f>
        <v>8.3423801540467545E-3</v>
      </c>
      <c r="AY141" s="216">
        <f>Sizing!IT155</f>
        <v>0.25</v>
      </c>
      <c r="AZ141" s="216">
        <f>Sizing!IU155</f>
        <v>1.5748031496062995E-2</v>
      </c>
      <c r="BA141" s="17">
        <f>Sizing!IV155</f>
        <v>1.5748031496062995E-2</v>
      </c>
      <c r="BB141" s="216">
        <f t="shared" si="55"/>
        <v>2.4179687736685367E-3</v>
      </c>
      <c r="BC141" s="138">
        <f t="shared" si="56"/>
        <v>7.2254596295506844E-4</v>
      </c>
      <c r="BD141" s="138">
        <f t="shared" si="57"/>
        <v>3.1405147366236051E-3</v>
      </c>
      <c r="BE141" s="311">
        <f t="shared" si="58"/>
        <v>3.7086942047190661E-3</v>
      </c>
      <c r="BF141" s="11">
        <f t="shared" si="59"/>
        <v>1.1082450917631089E-3</v>
      </c>
      <c r="BG141" s="21">
        <f t="shared" si="60"/>
        <v>4.8169392964821749E-3</v>
      </c>
      <c r="BH141" s="21">
        <f t="shared" si="61"/>
        <v>5.0483785086409678E-6</v>
      </c>
      <c r="BI141" s="21">
        <f t="shared" si="62"/>
        <v>5.0483785086409678E-6</v>
      </c>
      <c r="BJ141" s="561"/>
      <c r="BK141">
        <f t="shared" si="63"/>
        <v>0.59875329999999993</v>
      </c>
      <c r="BL141">
        <f t="shared" si="64"/>
        <v>0.59875329999999993</v>
      </c>
      <c r="BM141">
        <f>C141*'Inputs-Imperial'!$E$12</f>
        <v>0.29937664999999997</v>
      </c>
      <c r="BN141">
        <f>C141*'Inputs-Imperial'!$E$12</f>
        <v>0.29937664999999997</v>
      </c>
      <c r="BO141">
        <f>C141*'Inputs-Imperial'!$E$12</f>
        <v>0.29937664999999997</v>
      </c>
      <c r="BP141">
        <f>C141*'Weight '!$E$15</f>
        <v>0.59875329999999993</v>
      </c>
      <c r="BQ141">
        <f>C141*'Weight '!$E$15</f>
        <v>0.59875329999999993</v>
      </c>
      <c r="BR141">
        <f>C141*'Weight '!$E$15</f>
        <v>0.59875329999999993</v>
      </c>
      <c r="BS141">
        <f t="shared" si="65"/>
        <v>8.4181083989531724E-2</v>
      </c>
      <c r="BT141" s="564">
        <f t="shared" si="66"/>
        <v>0.14569805202969871</v>
      </c>
      <c r="BU141">
        <f t="shared" si="67"/>
        <v>0.577777690345321</v>
      </c>
    </row>
    <row r="142" spans="1:73" x14ac:dyDescent="0.25">
      <c r="A142" s="186">
        <v>96</v>
      </c>
      <c r="B142" s="187">
        <f>A142/100*'Inputs-Imperial'!$E$5</f>
        <v>9.4488192000000009</v>
      </c>
      <c r="C142" s="188">
        <f>'Inputs-Imperial'!$E$10+('Inputs-Imperial'!$E$9-'Inputs-Imperial'!$E$10)*(100-A142)/100</f>
        <v>1.18766408</v>
      </c>
      <c r="D142" s="187">
        <f t="shared" si="68"/>
        <v>9.8425200000001212E-2</v>
      </c>
      <c r="E142" s="188">
        <f t="shared" si="69"/>
        <v>0.11738045060656944</v>
      </c>
      <c r="F142" s="423">
        <f>Sizing!F156</f>
        <v>2.2843876600386448</v>
      </c>
      <c r="G142" s="423">
        <f>Sizing!G156</f>
        <v>22.843876600386444</v>
      </c>
      <c r="H142" s="423">
        <f>Sizing!H156</f>
        <v>5.3661103523147293</v>
      </c>
      <c r="I142" s="423">
        <f>Sizing!I156</f>
        <v>-9.3503987829026656</v>
      </c>
      <c r="J142" s="189">
        <f>Sizing!J156</f>
        <v>0.53661103523147302</v>
      </c>
      <c r="K142" s="128">
        <v>96</v>
      </c>
      <c r="L142" s="12">
        <f t="shared" si="45"/>
        <v>113.3858304</v>
      </c>
      <c r="M142" s="11">
        <f t="shared" si="45"/>
        <v>14.251968959999999</v>
      </c>
      <c r="N142" s="11">
        <f t="shared" si="45"/>
        <v>1.1811024000000145</v>
      </c>
      <c r="O142" s="152">
        <f t="shared" si="46"/>
        <v>16.902784887346002</v>
      </c>
      <c r="P142" s="8">
        <f t="shared" si="81"/>
        <v>2.5653544127999997</v>
      </c>
      <c r="Q142" s="12">
        <f t="shared" si="70"/>
        <v>3.0425012797222797</v>
      </c>
      <c r="R142" s="8">
        <f t="shared" si="82"/>
        <v>1.2826772063999998</v>
      </c>
      <c r="S142" s="12">
        <f t="shared" si="71"/>
        <v>1.5212506398611398</v>
      </c>
      <c r="T142" s="17">
        <f>Sizing!CN156</f>
        <v>0.25</v>
      </c>
      <c r="U142" s="17">
        <f>Sizing!CO156</f>
        <v>2.3622047244094495E-2</v>
      </c>
      <c r="V142" s="17">
        <f>Sizing!CP156</f>
        <v>1.5748031496062995E-2</v>
      </c>
      <c r="W142" s="128">
        <f t="shared" si="47"/>
        <v>3.0224609670856709E-3</v>
      </c>
      <c r="X142" s="2">
        <f t="shared" si="48"/>
        <v>7.2254596295506844E-4</v>
      </c>
      <c r="Y142" s="2">
        <f t="shared" si="49"/>
        <v>3.7450069300407392E-3</v>
      </c>
      <c r="Z142" s="216">
        <f t="shared" si="72"/>
        <v>5.2749771319344087E-2</v>
      </c>
      <c r="AA142" s="138">
        <f t="shared" si="73"/>
        <v>1.2610298273047901E-2</v>
      </c>
      <c r="AB142" s="17">
        <f t="shared" si="74"/>
        <v>6.5360069592391989E-2</v>
      </c>
      <c r="AC142" s="311">
        <f t="shared" si="75"/>
        <v>5.184029250349332E-2</v>
      </c>
      <c r="AD142" s="316">
        <f t="shared" si="76"/>
        <v>1.2392879337305695E-2</v>
      </c>
      <c r="AE142" s="21">
        <f t="shared" si="77"/>
        <v>6.4233171840799019E-2</v>
      </c>
      <c r="AF142" s="170">
        <f>Sizing!DU156</f>
        <v>3.9589056222337476E-3</v>
      </c>
      <c r="AG142" s="170">
        <f>Sizing!DV156</f>
        <v>6.2919834887209827E-2</v>
      </c>
      <c r="AH142" s="170">
        <f>Sizing!DW156</f>
        <v>3.9589056222337476E-3</v>
      </c>
      <c r="AI142" s="272">
        <f>Sizing!DX156</f>
        <v>6.2919834887209827E-2</v>
      </c>
      <c r="AJ142" s="216">
        <f>Sizing!GJ156</f>
        <v>0.25</v>
      </c>
      <c r="AK142" s="216">
        <f>Sizing!GK156</f>
        <v>1.5748031496062995E-2</v>
      </c>
      <c r="AL142" s="17">
        <f>Sizing!GL156</f>
        <v>1.5748031496062995E-2</v>
      </c>
      <c r="AM142" s="216">
        <f t="shared" si="50"/>
        <v>2.4179687736685367E-3</v>
      </c>
      <c r="AN142" s="138">
        <f t="shared" si="51"/>
        <v>7.2254596295506844E-4</v>
      </c>
      <c r="AO142" s="138">
        <f t="shared" si="52"/>
        <v>3.1405147366236051E-3</v>
      </c>
      <c r="AP142" s="311">
        <f t="shared" si="78"/>
        <v>7.3566730882150344E-3</v>
      </c>
      <c r="AQ142" s="11">
        <f t="shared" si="79"/>
        <v>2.1983470169489624E-3</v>
      </c>
      <c r="AR142" s="21">
        <f t="shared" si="80"/>
        <v>9.5550201051639964E-3</v>
      </c>
      <c r="AS142" s="11">
        <f t="shared" si="53"/>
        <v>2.8717531436347354E-4</v>
      </c>
      <c r="AT142" s="21">
        <f t="shared" si="54"/>
        <v>2.8717531436347354E-4</v>
      </c>
      <c r="AU142" s="170">
        <f>Sizing!JC156</f>
        <v>6.9595306634633145E-5</v>
      </c>
      <c r="AV142" s="272">
        <f>Sizing!JD156</f>
        <v>8.3423801540467545E-3</v>
      </c>
      <c r="AW142" s="170">
        <f>Sizing!JC156</f>
        <v>6.9595306634633145E-5</v>
      </c>
      <c r="AX142" s="272">
        <f>Sizing!JD156</f>
        <v>8.3423801540467545E-3</v>
      </c>
      <c r="AY142" s="216">
        <f>Sizing!IT156</f>
        <v>0.25</v>
      </c>
      <c r="AZ142" s="216">
        <f>Sizing!IU156</f>
        <v>1.5748031496062995E-2</v>
      </c>
      <c r="BA142" s="17">
        <f>Sizing!IV156</f>
        <v>1.5748031496062995E-2</v>
      </c>
      <c r="BB142" s="216">
        <f t="shared" si="55"/>
        <v>2.4179687736685367E-3</v>
      </c>
      <c r="BC142" s="138">
        <f t="shared" si="56"/>
        <v>7.2254596295506844E-4</v>
      </c>
      <c r="BD142" s="138">
        <f t="shared" si="57"/>
        <v>3.1405147366236051E-3</v>
      </c>
      <c r="BE142" s="311">
        <f t="shared" si="58"/>
        <v>3.6783365441075172E-3</v>
      </c>
      <c r="BF142" s="11">
        <f t="shared" si="59"/>
        <v>1.0991735084744812E-3</v>
      </c>
      <c r="BG142" s="21">
        <f t="shared" si="60"/>
        <v>4.7775100525819982E-3</v>
      </c>
      <c r="BH142" s="21">
        <f t="shared" si="61"/>
        <v>5.0483785086410593E-6</v>
      </c>
      <c r="BI142" s="21">
        <f t="shared" si="62"/>
        <v>5.0483785086410593E-6</v>
      </c>
      <c r="BJ142" s="561"/>
      <c r="BK142">
        <f t="shared" si="63"/>
        <v>0.59383204000000001</v>
      </c>
      <c r="BL142">
        <f t="shared" si="64"/>
        <v>0.59383204000000001</v>
      </c>
      <c r="BM142">
        <f>C142*'Inputs-Imperial'!$E$12</f>
        <v>0.29691602</v>
      </c>
      <c r="BN142">
        <f>C142*'Inputs-Imperial'!$E$12</f>
        <v>0.29691602</v>
      </c>
      <c r="BO142">
        <f>C142*'Inputs-Imperial'!$E$12</f>
        <v>0.29691602</v>
      </c>
      <c r="BP142">
        <f>C142*'Weight '!$E$15</f>
        <v>0.59383204000000001</v>
      </c>
      <c r="BQ142">
        <f>C142*'Weight '!$E$15</f>
        <v>0.59383204000000001</v>
      </c>
      <c r="BR142">
        <f>C142*'Weight '!$E$15</f>
        <v>0.59383204000000001</v>
      </c>
      <c r="BS142">
        <f t="shared" si="65"/>
        <v>8.2807225692357961E-2</v>
      </c>
      <c r="BT142" s="564">
        <f t="shared" si="66"/>
        <v>0.14451021897668126</v>
      </c>
      <c r="BU142">
        <f t="shared" si="67"/>
        <v>0.57301986170071517</v>
      </c>
    </row>
    <row r="143" spans="1:73" x14ac:dyDescent="0.25">
      <c r="A143" s="186">
        <v>97</v>
      </c>
      <c r="B143" s="187">
        <f>A143/100*'Inputs-Imperial'!$E$5</f>
        <v>9.5472444000000003</v>
      </c>
      <c r="C143" s="188">
        <f>'Inputs-Imperial'!$E$10+('Inputs-Imperial'!$E$9-'Inputs-Imperial'!$E$10)*(100-A143)/100</f>
        <v>1.1778215599999999</v>
      </c>
      <c r="D143" s="187">
        <f t="shared" si="68"/>
        <v>9.8425199999999435E-2</v>
      </c>
      <c r="E143" s="188">
        <f t="shared" si="69"/>
        <v>0.11641169860706334</v>
      </c>
      <c r="F143" s="423">
        <f>Sizing!F157</f>
        <v>1.6455084227269059</v>
      </c>
      <c r="G143" s="423">
        <f>Sizing!G157</f>
        <v>16.455084227269058</v>
      </c>
      <c r="H143" s="423">
        <f>Sizing!H157</f>
        <v>3.117697229146386</v>
      </c>
      <c r="I143" s="423">
        <f>Sizing!I157</f>
        <v>-6.3889694819294114</v>
      </c>
      <c r="J143" s="189">
        <f>Sizing!J157</f>
        <v>0.31176972291463867</v>
      </c>
      <c r="K143" s="128">
        <v>97</v>
      </c>
      <c r="L143" s="12">
        <f t="shared" si="45"/>
        <v>114.5669328</v>
      </c>
      <c r="M143" s="11">
        <f t="shared" si="45"/>
        <v>14.133858719999999</v>
      </c>
      <c r="N143" s="11">
        <f t="shared" si="45"/>
        <v>1.1811023999999932</v>
      </c>
      <c r="O143" s="152">
        <f t="shared" si="46"/>
        <v>16.763284599417119</v>
      </c>
      <c r="P143" s="8">
        <f t="shared" si="81"/>
        <v>2.5440945695999999</v>
      </c>
      <c r="Q143" s="12">
        <f t="shared" si="70"/>
        <v>3.0173912278950814</v>
      </c>
      <c r="R143" s="8">
        <f t="shared" si="82"/>
        <v>1.2720472848</v>
      </c>
      <c r="S143" s="12">
        <f t="shared" si="71"/>
        <v>1.5086956139475407</v>
      </c>
      <c r="T143" s="17">
        <f>Sizing!CN157</f>
        <v>0.25</v>
      </c>
      <c r="U143" s="17">
        <f>Sizing!CO157</f>
        <v>2.3622047244094495E-2</v>
      </c>
      <c r="V143" s="17">
        <f>Sizing!CP157</f>
        <v>1.5748031496062995E-2</v>
      </c>
      <c r="W143" s="128">
        <f t="shared" si="47"/>
        <v>3.0224609670856709E-3</v>
      </c>
      <c r="X143" s="2">
        <f t="shared" si="48"/>
        <v>7.2254596295506844E-4</v>
      </c>
      <c r="Y143" s="2">
        <f t="shared" si="49"/>
        <v>3.7450069300407392E-3</v>
      </c>
      <c r="Z143" s="216">
        <f t="shared" si="72"/>
        <v>5.2314422450132583E-2</v>
      </c>
      <c r="AA143" s="138">
        <f t="shared" si="73"/>
        <v>1.2506224284549339E-2</v>
      </c>
      <c r="AB143" s="17">
        <f t="shared" si="74"/>
        <v>6.4820646734681922E-2</v>
      </c>
      <c r="AC143" s="311">
        <f t="shared" si="75"/>
        <v>5.1412449649268235E-2</v>
      </c>
      <c r="AD143" s="316">
        <f t="shared" si="76"/>
        <v>1.2290599727919179E-2</v>
      </c>
      <c r="AE143" s="21">
        <f t="shared" si="77"/>
        <v>6.3703049377187418E-2</v>
      </c>
      <c r="AF143" s="170">
        <f>Sizing!DU157</f>
        <v>3.9589056222337476E-3</v>
      </c>
      <c r="AG143" s="170">
        <f>Sizing!DV157</f>
        <v>6.2919834887209827E-2</v>
      </c>
      <c r="AH143" s="170">
        <f>Sizing!DW157</f>
        <v>3.9589056222337476E-3</v>
      </c>
      <c r="AI143" s="272">
        <f>Sizing!DX157</f>
        <v>6.2919834887209827E-2</v>
      </c>
      <c r="AJ143" s="216">
        <f>Sizing!GJ157</f>
        <v>0.25</v>
      </c>
      <c r="AK143" s="216">
        <f>Sizing!GK157</f>
        <v>1.5748031496062995E-2</v>
      </c>
      <c r="AL143" s="17">
        <f>Sizing!GL157</f>
        <v>1.5748031496062995E-2</v>
      </c>
      <c r="AM143" s="216">
        <f t="shared" si="50"/>
        <v>2.4179687736685367E-3</v>
      </c>
      <c r="AN143" s="138">
        <f t="shared" si="51"/>
        <v>7.2254596295506844E-4</v>
      </c>
      <c r="AO143" s="138">
        <f t="shared" si="52"/>
        <v>3.1405147366236051E-3</v>
      </c>
      <c r="AP143" s="311">
        <f t="shared" si="78"/>
        <v>7.2959577669916703E-3</v>
      </c>
      <c r="AQ143" s="11">
        <f t="shared" si="79"/>
        <v>2.1802038503716281E-3</v>
      </c>
      <c r="AR143" s="21">
        <f t="shared" si="80"/>
        <v>9.4761616173632979E-3</v>
      </c>
      <c r="AS143" s="11">
        <f t="shared" si="53"/>
        <v>2.8717531436346834E-4</v>
      </c>
      <c r="AT143" s="21">
        <f t="shared" si="54"/>
        <v>2.8717531436346834E-4</v>
      </c>
      <c r="AU143" s="170">
        <f>Sizing!JC157</f>
        <v>6.9595306634633145E-5</v>
      </c>
      <c r="AV143" s="272">
        <f>Sizing!JD157</f>
        <v>8.3423801540467545E-3</v>
      </c>
      <c r="AW143" s="170">
        <f>Sizing!JC157</f>
        <v>6.9595306634633145E-5</v>
      </c>
      <c r="AX143" s="272">
        <f>Sizing!JD157</f>
        <v>8.3423801540467545E-3</v>
      </c>
      <c r="AY143" s="216">
        <f>Sizing!IT157</f>
        <v>0.25</v>
      </c>
      <c r="AZ143" s="216">
        <f>Sizing!IU157</f>
        <v>1.5748031496062995E-2</v>
      </c>
      <c r="BA143" s="17">
        <f>Sizing!IV157</f>
        <v>1.5748031496062995E-2</v>
      </c>
      <c r="BB143" s="216">
        <f t="shared" si="55"/>
        <v>2.4179687736685367E-3</v>
      </c>
      <c r="BC143" s="138">
        <f t="shared" si="56"/>
        <v>7.2254596295506844E-4</v>
      </c>
      <c r="BD143" s="138">
        <f t="shared" si="57"/>
        <v>3.1405147366236051E-3</v>
      </c>
      <c r="BE143" s="311">
        <f t="shared" si="58"/>
        <v>3.6479788834958352E-3</v>
      </c>
      <c r="BF143" s="11">
        <f t="shared" si="59"/>
        <v>1.090101925185814E-3</v>
      </c>
      <c r="BG143" s="21">
        <f t="shared" si="60"/>
        <v>4.738080808681649E-3</v>
      </c>
      <c r="BH143" s="21">
        <f t="shared" si="61"/>
        <v>5.0483785086409678E-6</v>
      </c>
      <c r="BI143" s="21">
        <f t="shared" si="62"/>
        <v>5.0483785086409678E-6</v>
      </c>
      <c r="BJ143" s="561"/>
      <c r="BK143">
        <f t="shared" si="63"/>
        <v>0.58891077999999997</v>
      </c>
      <c r="BL143">
        <f t="shared" si="64"/>
        <v>0.58891077999999997</v>
      </c>
      <c r="BM143">
        <f>C143*'Inputs-Imperial'!$E$12</f>
        <v>0.29445538999999998</v>
      </c>
      <c r="BN143">
        <f>C143*'Inputs-Imperial'!$E$12</f>
        <v>0.29445538999999998</v>
      </c>
      <c r="BO143">
        <f>C143*'Inputs-Imperial'!$E$12</f>
        <v>0.29445538999999998</v>
      </c>
      <c r="BP143">
        <f>C143*'Weight '!$E$15</f>
        <v>0.58891077999999997</v>
      </c>
      <c r="BQ143">
        <f>C143*'Weight '!$E$15</f>
        <v>0.58891077999999997</v>
      </c>
      <c r="BR143">
        <f>C143*'Weight '!$E$15</f>
        <v>0.58891077999999997</v>
      </c>
      <c r="BS143">
        <f t="shared" si="65"/>
        <v>8.1444670582640488E-2</v>
      </c>
      <c r="BT143" s="564">
        <f t="shared" si="66"/>
        <v>0.14332238592365856</v>
      </c>
      <c r="BU143">
        <f t="shared" si="67"/>
        <v>0.56826203427859778</v>
      </c>
    </row>
    <row r="144" spans="1:73" x14ac:dyDescent="0.25">
      <c r="A144" s="186">
        <v>98</v>
      </c>
      <c r="B144" s="187">
        <f>A144/100*'Inputs-Imperial'!$E$5</f>
        <v>9.6456695999999997</v>
      </c>
      <c r="C144" s="188">
        <f>'Inputs-Imperial'!$E$10+('Inputs-Imperial'!$E$9-'Inputs-Imperial'!$E$10)*(100-A144)/100</f>
        <v>1.1679790399999999</v>
      </c>
      <c r="D144" s="187">
        <f t="shared" si="68"/>
        <v>9.8425199999999435E-2</v>
      </c>
      <c r="E144" s="188">
        <f t="shared" si="69"/>
        <v>0.11544294660755931</v>
      </c>
      <c r="F144" s="423">
        <f>Sizing!F158</f>
        <v>1.0415231249311334</v>
      </c>
      <c r="G144" s="423">
        <f>Sizing!G158</f>
        <v>10.415231249311335</v>
      </c>
      <c r="H144" s="423">
        <f>Sizing!H158</f>
        <v>1.4981022730605928</v>
      </c>
      <c r="I144" s="423">
        <f>Sizing!I158</f>
        <v>-3.7586495467838223</v>
      </c>
      <c r="J144" s="189">
        <f>Sizing!J158</f>
        <v>0.14981022730605931</v>
      </c>
      <c r="K144" s="128">
        <v>98</v>
      </c>
      <c r="L144" s="12">
        <f t="shared" si="45"/>
        <v>115.7480352</v>
      </c>
      <c r="M144" s="11">
        <f t="shared" si="45"/>
        <v>14.015748479999999</v>
      </c>
      <c r="N144" s="11">
        <f t="shared" si="45"/>
        <v>1.1811023999999932</v>
      </c>
      <c r="O144" s="152">
        <f t="shared" si="46"/>
        <v>16.623784311488542</v>
      </c>
      <c r="P144" s="8">
        <f t="shared" si="81"/>
        <v>2.5228347263999997</v>
      </c>
      <c r="Q144" s="12">
        <f t="shared" si="70"/>
        <v>2.9922811760679378</v>
      </c>
      <c r="R144" s="8">
        <f t="shared" si="82"/>
        <v>1.2614173631999999</v>
      </c>
      <c r="S144" s="12">
        <f t="shared" si="71"/>
        <v>1.4961405880339689</v>
      </c>
      <c r="T144" s="17">
        <f>Sizing!CN158</f>
        <v>0.25</v>
      </c>
      <c r="U144" s="17">
        <f>Sizing!CO158</f>
        <v>2.3622047244094495E-2</v>
      </c>
      <c r="V144" s="17">
        <f>Sizing!CP158</f>
        <v>1.5748031496062995E-2</v>
      </c>
      <c r="W144" s="128">
        <f t="shared" si="47"/>
        <v>3.0224609670856709E-3</v>
      </c>
      <c r="X144" s="2">
        <f t="shared" si="48"/>
        <v>7.2254596295506844E-4</v>
      </c>
      <c r="Y144" s="2">
        <f t="shared" si="49"/>
        <v>3.7450069300407392E-3</v>
      </c>
      <c r="Z144" s="216">
        <f t="shared" si="72"/>
        <v>5.1879073580922051E-2</v>
      </c>
      <c r="AA144" s="138">
        <f t="shared" si="73"/>
        <v>1.2402150296051009E-2</v>
      </c>
      <c r="AB144" s="17">
        <f t="shared" si="74"/>
        <v>6.4281223876973062E-2</v>
      </c>
      <c r="AC144" s="311">
        <f t="shared" si="75"/>
        <v>5.0984606795044081E-2</v>
      </c>
      <c r="AD144" s="316">
        <f t="shared" si="76"/>
        <v>1.2188320118532887E-2</v>
      </c>
      <c r="AE144" s="21">
        <f t="shared" si="77"/>
        <v>6.3172926913576968E-2</v>
      </c>
      <c r="AF144" s="170">
        <f>Sizing!DU158</f>
        <v>3.9589056222337476E-3</v>
      </c>
      <c r="AG144" s="170">
        <f>Sizing!DV158</f>
        <v>6.2919834887209827E-2</v>
      </c>
      <c r="AH144" s="170">
        <f>Sizing!DW158</f>
        <v>3.9589056222337476E-3</v>
      </c>
      <c r="AI144" s="272">
        <f>Sizing!DX158</f>
        <v>6.2919834887209827E-2</v>
      </c>
      <c r="AJ144" s="216">
        <f>Sizing!GJ158</f>
        <v>0.25</v>
      </c>
      <c r="AK144" s="216">
        <f>Sizing!GK158</f>
        <v>1.5748031496062995E-2</v>
      </c>
      <c r="AL144" s="17">
        <f>Sizing!GL158</f>
        <v>1.5748031496062995E-2</v>
      </c>
      <c r="AM144" s="216">
        <f t="shared" si="50"/>
        <v>2.4179687736685367E-3</v>
      </c>
      <c r="AN144" s="138">
        <f t="shared" si="51"/>
        <v>7.2254596295506844E-4</v>
      </c>
      <c r="AO144" s="138">
        <f t="shared" si="52"/>
        <v>3.1405147366236051E-3</v>
      </c>
      <c r="AP144" s="311">
        <f t="shared" si="78"/>
        <v>7.235242445768438E-3</v>
      </c>
      <c r="AQ144" s="11">
        <f t="shared" si="79"/>
        <v>2.1620606837943327E-3</v>
      </c>
      <c r="AR144" s="21">
        <f t="shared" si="80"/>
        <v>9.3973031295627712E-3</v>
      </c>
      <c r="AS144" s="11">
        <f t="shared" si="53"/>
        <v>2.8717531436346834E-4</v>
      </c>
      <c r="AT144" s="21">
        <f t="shared" si="54"/>
        <v>2.8717531436346834E-4</v>
      </c>
      <c r="AU144" s="170">
        <f>Sizing!JC158</f>
        <v>6.9595306634633145E-5</v>
      </c>
      <c r="AV144" s="272">
        <f>Sizing!JD158</f>
        <v>8.3423801540467545E-3</v>
      </c>
      <c r="AW144" s="170">
        <f>Sizing!JC158</f>
        <v>6.9595306634633145E-5</v>
      </c>
      <c r="AX144" s="272">
        <f>Sizing!JD158</f>
        <v>8.3423801540467545E-3</v>
      </c>
      <c r="AY144" s="216">
        <f>Sizing!IT158</f>
        <v>0.25</v>
      </c>
      <c r="AZ144" s="216">
        <f>Sizing!IU158</f>
        <v>1.5748031496062995E-2</v>
      </c>
      <c r="BA144" s="17">
        <f>Sizing!IV158</f>
        <v>1.5748031496062995E-2</v>
      </c>
      <c r="BB144" s="216">
        <f t="shared" si="55"/>
        <v>2.4179687736685367E-3</v>
      </c>
      <c r="BC144" s="138">
        <f t="shared" si="56"/>
        <v>7.2254596295506844E-4</v>
      </c>
      <c r="BD144" s="138">
        <f t="shared" si="57"/>
        <v>3.1405147366236051E-3</v>
      </c>
      <c r="BE144" s="311">
        <f t="shared" si="58"/>
        <v>3.617621222884219E-3</v>
      </c>
      <c r="BF144" s="11">
        <f t="shared" si="59"/>
        <v>1.0810303418971664E-3</v>
      </c>
      <c r="BG144" s="21">
        <f t="shared" si="60"/>
        <v>4.6986515647813856E-3</v>
      </c>
      <c r="BH144" s="21">
        <f t="shared" si="61"/>
        <v>5.0483785086409678E-6</v>
      </c>
      <c r="BI144" s="21">
        <f t="shared" si="62"/>
        <v>5.0483785086409678E-6</v>
      </c>
      <c r="BJ144" s="561"/>
      <c r="BK144">
        <f t="shared" si="63"/>
        <v>0.58398951999999993</v>
      </c>
      <c r="BL144">
        <f t="shared" si="64"/>
        <v>0.58398951999999993</v>
      </c>
      <c r="BM144">
        <f>C144*'Inputs-Imperial'!$E$12</f>
        <v>0.29199475999999996</v>
      </c>
      <c r="BN144">
        <f>C144*'Inputs-Imperial'!$E$12</f>
        <v>0.29199475999999996</v>
      </c>
      <c r="BO144">
        <f>C144*'Inputs-Imperial'!$E$12</f>
        <v>0.29199475999999996</v>
      </c>
      <c r="BP144">
        <f>C144*'Weight '!$E$15</f>
        <v>0.58398951999999993</v>
      </c>
      <c r="BQ144">
        <f>C144*'Weight '!$E$15</f>
        <v>0.58398951999999993</v>
      </c>
      <c r="BR144">
        <f>C144*'Weight '!$E$15</f>
        <v>0.58398951999999993</v>
      </c>
      <c r="BS144">
        <f t="shared" si="65"/>
        <v>8.0093418660383831E-2</v>
      </c>
      <c r="BT144" s="564">
        <f t="shared" si="66"/>
        <v>0.14213455287063845</v>
      </c>
      <c r="BU144">
        <f t="shared" si="67"/>
        <v>0.56350420810961854</v>
      </c>
    </row>
    <row r="145" spans="1:73" x14ac:dyDescent="0.25">
      <c r="A145" s="186">
        <v>99</v>
      </c>
      <c r="B145" s="187">
        <f>A145/100*'Inputs-Imperial'!$E$5</f>
        <v>9.7440948000000009</v>
      </c>
      <c r="C145" s="188">
        <f>'Inputs-Imperial'!$E$10+('Inputs-Imperial'!$E$9-'Inputs-Imperial'!$E$10)*(100-A145)/100</f>
        <v>1.15813652</v>
      </c>
      <c r="D145" s="187">
        <f t="shared" si="68"/>
        <v>9.8425200000001212E-2</v>
      </c>
      <c r="E145" s="188">
        <f t="shared" si="69"/>
        <v>0.1144741946080574</v>
      </c>
      <c r="F145" s="423">
        <f>Sizing!F159</f>
        <v>0.48054873579211943</v>
      </c>
      <c r="G145" s="423">
        <f>Sizing!G159</f>
        <v>4.8054873579211943</v>
      </c>
      <c r="H145" s="423">
        <f>Sizing!H159</f>
        <v>0.4729810543008624</v>
      </c>
      <c r="I145" s="423">
        <f>Sizing!I159</f>
        <v>-1.5174808825486088</v>
      </c>
      <c r="J145" s="189">
        <f>Sizing!J159</f>
        <v>4.7298105430086244E-2</v>
      </c>
      <c r="K145" s="128">
        <v>99</v>
      </c>
      <c r="L145" s="12">
        <f t="shared" si="45"/>
        <v>116.92913760000002</v>
      </c>
      <c r="M145" s="11">
        <f t="shared" si="45"/>
        <v>13.897638239999999</v>
      </c>
      <c r="N145" s="11">
        <f t="shared" si="45"/>
        <v>1.1811024000000145</v>
      </c>
      <c r="O145" s="152">
        <f t="shared" si="46"/>
        <v>16.484284023560264</v>
      </c>
      <c r="P145" s="8">
        <f t="shared" si="81"/>
        <v>2.5015748831999995</v>
      </c>
      <c r="Q145" s="12">
        <f t="shared" si="70"/>
        <v>2.9671711242408478</v>
      </c>
      <c r="R145" s="8">
        <f t="shared" si="82"/>
        <v>1.2507874415999998</v>
      </c>
      <c r="S145" s="12">
        <f t="shared" si="71"/>
        <v>1.4835855621204239</v>
      </c>
      <c r="T145" s="17">
        <f>Sizing!CN159</f>
        <v>0.25</v>
      </c>
      <c r="U145" s="17">
        <f>Sizing!CO159</f>
        <v>2.3622047244094495E-2</v>
      </c>
      <c r="V145" s="17">
        <f>Sizing!CP159</f>
        <v>1.5748031496062995E-2</v>
      </c>
      <c r="W145" s="128">
        <f t="shared" si="47"/>
        <v>3.0224609670856709E-3</v>
      </c>
      <c r="X145" s="2">
        <f t="shared" si="48"/>
        <v>7.2254596295506844E-4</v>
      </c>
      <c r="Y145" s="2">
        <f t="shared" si="49"/>
        <v>3.7450069300407392E-3</v>
      </c>
      <c r="Z145" s="216">
        <f t="shared" si="72"/>
        <v>5.1443724711712442E-2</v>
      </c>
      <c r="AA145" s="138">
        <f t="shared" si="73"/>
        <v>1.22980763075529E-2</v>
      </c>
      <c r="AB145" s="17">
        <f t="shared" si="74"/>
        <v>6.374180101926534E-2</v>
      </c>
      <c r="AC145" s="311">
        <f t="shared" si="75"/>
        <v>5.0556763940820849E-2</v>
      </c>
      <c r="AD145" s="316">
        <f t="shared" si="76"/>
        <v>1.2086040509146816E-2</v>
      </c>
      <c r="AE145" s="21">
        <f t="shared" si="77"/>
        <v>6.2642804449967671E-2</v>
      </c>
      <c r="AF145" s="170">
        <f>Sizing!DU159</f>
        <v>3.9589056222337476E-3</v>
      </c>
      <c r="AG145" s="170">
        <f>Sizing!DV159</f>
        <v>6.2919834887209827E-2</v>
      </c>
      <c r="AH145" s="170">
        <f>Sizing!DW159</f>
        <v>3.9589056222337476E-3</v>
      </c>
      <c r="AI145" s="272">
        <f>Sizing!DX159</f>
        <v>6.2919834887209827E-2</v>
      </c>
      <c r="AJ145" s="216">
        <f>Sizing!GJ159</f>
        <v>0.25</v>
      </c>
      <c r="AK145" s="216">
        <f>Sizing!GK159</f>
        <v>1.5748031496062995E-2</v>
      </c>
      <c r="AL145" s="17">
        <f>Sizing!GL159</f>
        <v>1.5748031496062995E-2</v>
      </c>
      <c r="AM145" s="216">
        <f t="shared" si="50"/>
        <v>2.4179687736685367E-3</v>
      </c>
      <c r="AN145" s="138">
        <f t="shared" si="51"/>
        <v>7.2254596295506844E-4</v>
      </c>
      <c r="AO145" s="138">
        <f t="shared" si="52"/>
        <v>3.1405147366236051E-3</v>
      </c>
      <c r="AP145" s="311">
        <f t="shared" si="78"/>
        <v>7.1745271245453358E-3</v>
      </c>
      <c r="AQ145" s="11">
        <f t="shared" si="79"/>
        <v>2.1439175172170764E-3</v>
      </c>
      <c r="AR145" s="21">
        <f t="shared" si="80"/>
        <v>9.3184446417624127E-3</v>
      </c>
      <c r="AS145" s="11">
        <f t="shared" si="53"/>
        <v>2.8717531436347354E-4</v>
      </c>
      <c r="AT145" s="21">
        <f t="shared" si="54"/>
        <v>2.8717531436347354E-4</v>
      </c>
      <c r="AU145" s="170">
        <f>Sizing!JC159</f>
        <v>6.9595306634633145E-5</v>
      </c>
      <c r="AV145" s="272">
        <f>Sizing!JD159</f>
        <v>8.3423801540467545E-3</v>
      </c>
      <c r="AW145" s="170">
        <f>Sizing!JC159</f>
        <v>6.9595306634633145E-5</v>
      </c>
      <c r="AX145" s="272">
        <f>Sizing!JD159</f>
        <v>8.3423801540467545E-3</v>
      </c>
      <c r="AY145" s="216">
        <f>Sizing!IT159</f>
        <v>0.25</v>
      </c>
      <c r="AZ145" s="216">
        <f>Sizing!IU159</f>
        <v>1.5748031496062995E-2</v>
      </c>
      <c r="BA145" s="17">
        <f>Sizing!IV159</f>
        <v>1.5748031496062995E-2</v>
      </c>
      <c r="BB145" s="216">
        <f t="shared" si="55"/>
        <v>2.4179687736685367E-3</v>
      </c>
      <c r="BC145" s="138">
        <f t="shared" si="56"/>
        <v>7.2254596295506844E-4</v>
      </c>
      <c r="BD145" s="138">
        <f t="shared" si="57"/>
        <v>3.1405147366236051E-3</v>
      </c>
      <c r="BE145" s="311">
        <f t="shared" si="58"/>
        <v>3.5872635622726679E-3</v>
      </c>
      <c r="BF145" s="11">
        <f t="shared" si="59"/>
        <v>1.0719587586085382E-3</v>
      </c>
      <c r="BG145" s="21">
        <f t="shared" si="60"/>
        <v>4.6592223208812063E-3</v>
      </c>
      <c r="BH145" s="21">
        <f t="shared" si="61"/>
        <v>5.0483785086410593E-6</v>
      </c>
      <c r="BI145" s="21">
        <f t="shared" si="62"/>
        <v>5.0483785086410593E-6</v>
      </c>
      <c r="BJ145" s="561"/>
      <c r="BK145">
        <f t="shared" si="63"/>
        <v>0.57906826</v>
      </c>
      <c r="BL145">
        <f t="shared" si="64"/>
        <v>0.57906826</v>
      </c>
      <c r="BM145">
        <f>C145*'Inputs-Imperial'!$E$12</f>
        <v>0.28953413</v>
      </c>
      <c r="BN145">
        <f>C145*'Inputs-Imperial'!$E$12</f>
        <v>0.28953413</v>
      </c>
      <c r="BO145">
        <f>C145*'Inputs-Imperial'!$E$12</f>
        <v>0.28953413</v>
      </c>
      <c r="BP145">
        <f>C145*'Weight '!$E$15</f>
        <v>0.57906826</v>
      </c>
      <c r="BQ145">
        <f>C145*'Weight '!$E$15</f>
        <v>0.57906826</v>
      </c>
      <c r="BR145">
        <f>C145*'Weight '!$E$15</f>
        <v>0.57906826</v>
      </c>
      <c r="BS145">
        <f t="shared" si="65"/>
        <v>7.8753469925588016E-2</v>
      </c>
      <c r="BT145" s="564">
        <f t="shared" si="66"/>
        <v>0.14094671981762089</v>
      </c>
      <c r="BU145">
        <f t="shared" si="67"/>
        <v>0.55874638322546055</v>
      </c>
    </row>
    <row r="146" spans="1:73" ht="15.75" thickBot="1" x14ac:dyDescent="0.3">
      <c r="A146" s="190">
        <v>100</v>
      </c>
      <c r="B146" s="191">
        <f>A146/100*'Inputs-Imperial'!$E$5</f>
        <v>9.8425200000000004</v>
      </c>
      <c r="C146" s="192">
        <f>'Inputs-Imperial'!$E$10+('Inputs-Imperial'!$E$9-'Inputs-Imperial'!$E$10)*(100-A146)/100</f>
        <v>1.1482939999999999</v>
      </c>
      <c r="D146" s="191">
        <f t="shared" si="68"/>
        <v>9.8425199999999435E-2</v>
      </c>
      <c r="E146" s="192">
        <f t="shared" si="69"/>
        <v>0.11350544260855136</v>
      </c>
      <c r="F146" s="193">
        <f>Sizing!F160</f>
        <v>0</v>
      </c>
      <c r="G146" s="193">
        <f>Sizing!G160</f>
        <v>0</v>
      </c>
      <c r="H146" s="193">
        <f>Sizing!H160</f>
        <v>0</v>
      </c>
      <c r="I146" s="193">
        <f>Sizing!I160</f>
        <v>0</v>
      </c>
      <c r="J146" s="194">
        <f>Sizing!J160</f>
        <v>0</v>
      </c>
      <c r="K146" s="131">
        <v>100</v>
      </c>
      <c r="L146" s="168">
        <f t="shared" si="45"/>
        <v>118.11024</v>
      </c>
      <c r="M146" s="172">
        <f t="shared" si="45"/>
        <v>13.779527999999999</v>
      </c>
      <c r="N146" s="172">
        <f t="shared" si="45"/>
        <v>1.1811023999999932</v>
      </c>
      <c r="O146" s="137">
        <f t="shared" si="46"/>
        <v>16.344783735631395</v>
      </c>
      <c r="P146" s="8">
        <f t="shared" si="81"/>
        <v>2.4803150399999998</v>
      </c>
      <c r="Q146" s="12">
        <f t="shared" si="70"/>
        <v>2.9420610724136504</v>
      </c>
      <c r="R146" s="8">
        <f t="shared" si="82"/>
        <v>1.2401575199999999</v>
      </c>
      <c r="S146" s="12">
        <f t="shared" si="71"/>
        <v>1.4710305362068252</v>
      </c>
      <c r="T146" s="206">
        <f>Sizing!CN160</f>
        <v>0.25</v>
      </c>
      <c r="U146" s="206">
        <f>Sizing!CO160</f>
        <v>2.3622047244094495E-2</v>
      </c>
      <c r="V146" s="206">
        <f>Sizing!CP160</f>
        <v>1.5748031496062995E-2</v>
      </c>
      <c r="W146" s="131">
        <f t="shared" si="47"/>
        <v>3.0224609670856709E-3</v>
      </c>
      <c r="X146" s="29">
        <f t="shared" si="48"/>
        <v>7.2254596295506844E-4</v>
      </c>
      <c r="Y146" s="29">
        <f t="shared" si="49"/>
        <v>3.7450069300407392E-3</v>
      </c>
      <c r="Z146" s="218">
        <f t="shared" si="72"/>
        <v>5.1008375842500994E-2</v>
      </c>
      <c r="AA146" s="220">
        <f t="shared" si="73"/>
        <v>1.2194002319054353E-2</v>
      </c>
      <c r="AB146" s="206">
        <f t="shared" si="74"/>
        <v>6.3202378161555342E-2</v>
      </c>
      <c r="AC146" s="317">
        <f t="shared" si="75"/>
        <v>5.0128921086595807E-2</v>
      </c>
      <c r="AD146" s="318">
        <f t="shared" si="76"/>
        <v>1.1983760899760311E-2</v>
      </c>
      <c r="AE146" s="319">
        <f t="shared" si="77"/>
        <v>6.2112681986356118E-2</v>
      </c>
      <c r="AF146" s="171">
        <f>Sizing!DU160</f>
        <v>3.9589056222337476E-3</v>
      </c>
      <c r="AG146" s="171">
        <f>Sizing!DV160</f>
        <v>6.2919834887209827E-2</v>
      </c>
      <c r="AH146" s="171">
        <f>Sizing!DW160</f>
        <v>3.9589056222337476E-3</v>
      </c>
      <c r="AI146" s="303">
        <f>Sizing!DX160</f>
        <v>6.2919834887209827E-2</v>
      </c>
      <c r="AJ146" s="218">
        <f>Sizing!GJ160</f>
        <v>0.25</v>
      </c>
      <c r="AK146" s="218">
        <f>Sizing!GK160</f>
        <v>1.5748031496062995E-2</v>
      </c>
      <c r="AL146" s="206">
        <f>Sizing!GL160</f>
        <v>1.5748031496062995E-2</v>
      </c>
      <c r="AM146" s="218">
        <f t="shared" si="50"/>
        <v>2.4179687736685367E-3</v>
      </c>
      <c r="AN146" s="220">
        <f t="shared" si="51"/>
        <v>7.2254596295506844E-4</v>
      </c>
      <c r="AO146" s="220">
        <f t="shared" si="52"/>
        <v>3.1405147366236051E-3</v>
      </c>
      <c r="AP146" s="317">
        <f t="shared" si="78"/>
        <v>7.1138118033219743E-3</v>
      </c>
      <c r="AQ146" s="172">
        <f t="shared" si="79"/>
        <v>2.1257743506397425E-3</v>
      </c>
      <c r="AR146" s="319">
        <f t="shared" si="80"/>
        <v>9.2395861539617159E-3</v>
      </c>
      <c r="AS146" s="172">
        <f t="shared" si="53"/>
        <v>2.8717531436346834E-4</v>
      </c>
      <c r="AT146" s="319">
        <f t="shared" si="54"/>
        <v>2.8717531436346834E-4</v>
      </c>
      <c r="AU146" s="171">
        <f>Sizing!JC160</f>
        <v>6.9595306634633145E-5</v>
      </c>
      <c r="AV146" s="303">
        <f>Sizing!JD160</f>
        <v>8.3423801540467545E-3</v>
      </c>
      <c r="AW146" s="171">
        <f>Sizing!JC160</f>
        <v>6.9595306634633145E-5</v>
      </c>
      <c r="AX146" s="303">
        <f>Sizing!JD160</f>
        <v>8.3423801540467545E-3</v>
      </c>
      <c r="AY146" s="218">
        <f>Sizing!IT160</f>
        <v>0.25</v>
      </c>
      <c r="AZ146" s="218">
        <f>Sizing!IU160</f>
        <v>1.5748031496062995E-2</v>
      </c>
      <c r="BA146" s="206">
        <f>Sizing!IV160</f>
        <v>1.5748031496062995E-2</v>
      </c>
      <c r="BB146" s="218">
        <f t="shared" si="55"/>
        <v>2.4179687736685367E-3</v>
      </c>
      <c r="BC146" s="220">
        <f t="shared" si="56"/>
        <v>7.2254596295506844E-4</v>
      </c>
      <c r="BD146" s="220">
        <f t="shared" si="57"/>
        <v>3.1405147366236051E-3</v>
      </c>
      <c r="BE146" s="311">
        <f t="shared" si="58"/>
        <v>3.5569059016609872E-3</v>
      </c>
      <c r="BF146" s="11">
        <f t="shared" si="59"/>
        <v>1.0628871753198712E-3</v>
      </c>
      <c r="BG146" s="319">
        <f t="shared" si="60"/>
        <v>4.619793076980858E-3</v>
      </c>
      <c r="BH146" s="21">
        <f t="shared" si="61"/>
        <v>5.0483785086409678E-6</v>
      </c>
      <c r="BI146" s="21">
        <f t="shared" si="62"/>
        <v>5.0483785086409678E-6</v>
      </c>
      <c r="BJ146" s="561"/>
      <c r="BK146">
        <f t="shared" si="63"/>
        <v>0.57414699999999996</v>
      </c>
      <c r="BL146">
        <f t="shared" si="64"/>
        <v>0.57414699999999996</v>
      </c>
      <c r="BM146">
        <f>C146*'Inputs-Imperial'!$E$12</f>
        <v>0.28707349999999998</v>
      </c>
      <c r="BN146">
        <f>C146*'Inputs-Imperial'!$E$12</f>
        <v>0.28707349999999998</v>
      </c>
      <c r="BO146">
        <f>C146*'Inputs-Imperial'!$E$12</f>
        <v>0.28707349999999998</v>
      </c>
      <c r="BP146">
        <f>C146*'Weight '!$E$15</f>
        <v>0.57414699999999996</v>
      </c>
      <c r="BQ146">
        <f>C146*'Weight '!$E$15</f>
        <v>0.57414699999999996</v>
      </c>
      <c r="BR146">
        <f>C146*'Weight '!$E$15</f>
        <v>0.57414699999999996</v>
      </c>
      <c r="BS146">
        <f t="shared" si="65"/>
        <v>7.742482437824863E-2</v>
      </c>
      <c r="BT146" s="564">
        <f t="shared" si="66"/>
        <v>0.1397588867645983</v>
      </c>
      <c r="BU146">
        <f t="shared" si="67"/>
        <v>0.55398855965888227</v>
      </c>
    </row>
    <row r="148" spans="1:73" x14ac:dyDescent="0.25">
      <c r="BT148" s="564">
        <f>SUM(BT46:BT146)</f>
        <v>22.259077213395987</v>
      </c>
    </row>
  </sheetData>
  <sheetProtection sheet="1" objects="1" scenarios="1"/>
  <mergeCells count="8">
    <mergeCell ref="H10:P10"/>
    <mergeCell ref="H11:M11"/>
    <mergeCell ref="H18:M18"/>
    <mergeCell ref="AU44:BI44"/>
    <mergeCell ref="A44:J44"/>
    <mergeCell ref="K44:O44"/>
    <mergeCell ref="T44:AE44"/>
    <mergeCell ref="AF44:AT44"/>
  </mergeCells>
  <conditionalFormatting sqref="T46:V146">
    <cfRule type="colorScale" priority="14">
      <colorScale>
        <cfvo type="min"/>
        <cfvo type="max"/>
        <color rgb="FFFCFCFF"/>
        <color rgb="FFF8696B"/>
      </colorScale>
    </cfRule>
  </conditionalFormatting>
  <conditionalFormatting sqref="U46:V146">
    <cfRule type="colorScale" priority="13">
      <colorScale>
        <cfvo type="min"/>
        <cfvo type="max"/>
        <color rgb="FFFCFCFF"/>
        <color rgb="FF63BE7B"/>
      </colorScale>
    </cfRule>
  </conditionalFormatting>
  <conditionalFormatting sqref="AF46:AF146">
    <cfRule type="colorScale" priority="12">
      <colorScale>
        <cfvo type="min"/>
        <cfvo type="max"/>
        <color rgb="FFFCFCFF"/>
        <color rgb="FFF8696B"/>
      </colorScale>
    </cfRule>
  </conditionalFormatting>
  <conditionalFormatting sqref="AH46:AH146">
    <cfRule type="colorScale" priority="11">
      <colorScale>
        <cfvo type="min"/>
        <cfvo type="max"/>
        <color rgb="FFFCFCFF"/>
        <color rgb="FF63BE7B"/>
      </colorScale>
    </cfRule>
  </conditionalFormatting>
  <conditionalFormatting sqref="AJ46:AL146">
    <cfRule type="colorScale" priority="10">
      <colorScale>
        <cfvo type="min"/>
        <cfvo type="max"/>
        <color rgb="FFFCFCFF"/>
        <color rgb="FFF8696B"/>
      </colorScale>
    </cfRule>
  </conditionalFormatting>
  <conditionalFormatting sqref="AK46:AL146">
    <cfRule type="colorScale" priority="9">
      <colorScale>
        <cfvo type="min"/>
        <cfvo type="max"/>
        <color rgb="FFFCFCFF"/>
        <color rgb="FF63BE7B"/>
      </colorScale>
    </cfRule>
  </conditionalFormatting>
  <conditionalFormatting sqref="AU46:AU146">
    <cfRule type="colorScale" priority="4">
      <colorScale>
        <cfvo type="min"/>
        <cfvo type="max"/>
        <color rgb="FFFCFCFF"/>
        <color rgb="FFF8696B"/>
      </colorScale>
    </cfRule>
  </conditionalFormatting>
  <conditionalFormatting sqref="AW46:AW146">
    <cfRule type="colorScale" priority="1">
      <colorScale>
        <cfvo type="min"/>
        <cfvo type="max"/>
        <color rgb="FFFCFCFF"/>
        <color rgb="FFF8696B"/>
      </colorScale>
    </cfRule>
  </conditionalFormatting>
  <conditionalFormatting sqref="AY46:BA146">
    <cfRule type="colorScale" priority="3">
      <colorScale>
        <cfvo type="min"/>
        <cfvo type="max"/>
        <color rgb="FFFCFCFF"/>
        <color rgb="FFF8696B"/>
      </colorScale>
    </cfRule>
  </conditionalFormatting>
  <conditionalFormatting sqref="AZ46:BA146">
    <cfRule type="colorScale" priority="2">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E4AD3-1823-4F38-8753-F7034AC764E7}">
  <dimension ref="A1:CX144"/>
  <sheetViews>
    <sheetView zoomScale="85" zoomScaleNormal="85" workbookViewId="0">
      <selection activeCell="N26" sqref="N26"/>
    </sheetView>
  </sheetViews>
  <sheetFormatPr defaultRowHeight="15" outlineLevelCol="1" x14ac:dyDescent="0.25"/>
  <cols>
    <col min="1" max="1" width="39.140625" customWidth="1"/>
    <col min="2" max="2" width="47.140625" customWidth="1"/>
    <col min="3" max="3" width="16" customWidth="1"/>
    <col min="4" max="4" width="9.140625" bestFit="1" customWidth="1"/>
    <col min="5" max="5" width="11" customWidth="1"/>
    <col min="6" max="6" width="13.28515625" customWidth="1"/>
    <col min="7" max="7" width="12" customWidth="1"/>
    <col min="8" max="8" width="6.7109375" customWidth="1"/>
    <col min="9" max="9" width="7.5703125" customWidth="1"/>
    <col min="10" max="10" width="9.85546875" customWidth="1"/>
    <col min="11" max="11" width="8.140625" bestFit="1" customWidth="1"/>
    <col min="12" max="12" width="5.42578125" customWidth="1"/>
    <col min="13" max="13" width="5.85546875" bestFit="1" customWidth="1"/>
    <col min="14" max="14" width="11.85546875" customWidth="1"/>
    <col min="15" max="15" width="11" customWidth="1"/>
    <col min="16" max="16" width="12" customWidth="1"/>
    <col min="17" max="17" width="16.42578125" bestFit="1" customWidth="1"/>
    <col min="18" max="20" width="9.140625" customWidth="1"/>
    <col min="21" max="21" width="9.5703125" bestFit="1" customWidth="1"/>
    <col min="22" max="22" width="9.5703125" customWidth="1"/>
    <col min="23" max="23" width="12.42578125" customWidth="1"/>
    <col min="24" max="24" width="11.140625" customWidth="1"/>
    <col min="25" max="25" width="10.85546875" customWidth="1"/>
    <col min="27" max="27" width="14.140625" customWidth="1"/>
    <col min="28" max="28" width="11.42578125" bestFit="1" customWidth="1"/>
    <col min="31" max="31" width="10.5703125" customWidth="1"/>
    <col min="36" max="36" width="10.5703125" customWidth="1"/>
    <col min="37" max="37" width="11.7109375" customWidth="1"/>
    <col min="38" max="38" width="10.28515625" customWidth="1"/>
    <col min="39" max="39" width="15.140625" customWidth="1"/>
    <col min="40" max="40" width="15.28515625" customWidth="1"/>
    <col min="41" max="41" width="12.85546875" customWidth="1"/>
    <col min="42" max="42" width="13.28515625" customWidth="1"/>
    <col min="43" max="43" width="14.7109375" customWidth="1"/>
    <col min="44" max="44" width="18.42578125" customWidth="1"/>
    <col min="45" max="45" width="15.140625" customWidth="1"/>
    <col min="46" max="46" width="14.85546875" customWidth="1"/>
    <col min="47" max="47" width="11.28515625" customWidth="1"/>
    <col min="48" max="48" width="14.42578125" customWidth="1"/>
    <col min="49" max="49" width="11.140625" customWidth="1"/>
    <col min="53" max="53" width="10.42578125" customWidth="1"/>
    <col min="55" max="55" width="11.5703125" bestFit="1" customWidth="1"/>
    <col min="77" max="99" width="9.140625" hidden="1" customWidth="1" outlineLevel="1"/>
    <col min="100" max="100" width="8.7109375" collapsed="1"/>
    <col min="101" max="101" width="13.42578125" bestFit="1" customWidth="1"/>
    <col min="102" max="102" width="12.85546875" bestFit="1" customWidth="1"/>
  </cols>
  <sheetData>
    <row r="1" spans="1:17" x14ac:dyDescent="0.25">
      <c r="A1" s="4" t="s">
        <v>129</v>
      </c>
    </row>
    <row r="2" spans="1:17" x14ac:dyDescent="0.25">
      <c r="A2" t="s">
        <v>1060</v>
      </c>
    </row>
    <row r="3" spans="1:17" x14ac:dyDescent="0.25">
      <c r="A3" t="s">
        <v>1059</v>
      </c>
    </row>
    <row r="8" spans="1:17" x14ac:dyDescent="0.25">
      <c r="Q8" s="41"/>
    </row>
    <row r="10" spans="1:17" ht="15.75" thickBot="1" x14ac:dyDescent="0.3"/>
    <row r="11" spans="1:17" ht="15.75" thickBot="1" x14ac:dyDescent="0.3">
      <c r="A11" s="197" t="s">
        <v>152</v>
      </c>
      <c r="B11" s="124" t="str">
        <f>'Inputs-Imperial'!B1</f>
        <v>Description</v>
      </c>
      <c r="C11" s="125" t="str">
        <f>'Inputs-Imperial'!C1</f>
        <v>Symbol</v>
      </c>
      <c r="D11" s="125" t="str">
        <f>'Inputs-Imperial'!D1</f>
        <v>Unit</v>
      </c>
      <c r="E11" s="120" t="s">
        <v>152</v>
      </c>
      <c r="F11" s="174"/>
    </row>
    <row r="12" spans="1:17" x14ac:dyDescent="0.25">
      <c r="A12" s="273" t="str">
        <f>'Inputs-Imperial'!A5</f>
        <v>Planform</v>
      </c>
      <c r="B12" s="203"/>
      <c r="C12" s="203"/>
      <c r="D12" s="203"/>
      <c r="E12" s="271"/>
      <c r="F12" s="174"/>
    </row>
    <row r="13" spans="1:17" x14ac:dyDescent="0.25">
      <c r="A13" s="306"/>
      <c r="B13" s="2" t="str">
        <f>'Inputs-Imperial'!B5</f>
        <v>Half-Span</v>
      </c>
      <c r="C13" s="2" t="str">
        <f>'Inputs-Imperial'!C5</f>
        <v>b/2</v>
      </c>
      <c r="D13" s="2" t="str">
        <f>'Inputs-Imperial'!D5</f>
        <v>ft</v>
      </c>
      <c r="E13" s="272">
        <f>'Inputs-Imperial'!E5</f>
        <v>9.8425200000000004</v>
      </c>
      <c r="F13" s="174"/>
    </row>
    <row r="14" spans="1:17" x14ac:dyDescent="0.25">
      <c r="A14" s="306"/>
      <c r="B14" s="425" t="str">
        <f>'Inputs-Imperial'!B6</f>
        <v>Core Zone Split (% Half-Span)</v>
      </c>
      <c r="C14" s="425" t="str">
        <f>'Inputs-Imperial'!C6</f>
        <v>Core_Split1</v>
      </c>
      <c r="D14" s="425" t="str">
        <f>'Inputs-Imperial'!D6</f>
        <v>-</v>
      </c>
      <c r="E14" s="426">
        <f>'Inputs-Imperial'!E6</f>
        <v>0.25</v>
      </c>
      <c r="F14" s="174"/>
    </row>
    <row r="15" spans="1:17" x14ac:dyDescent="0.25">
      <c r="A15" s="306"/>
      <c r="B15" s="425" t="str">
        <f>'Inputs-Imperial'!B7</f>
        <v>Core Zone Split (% Half-Span)</v>
      </c>
      <c r="C15" s="425" t="str">
        <f>'Inputs-Imperial'!C7</f>
        <v>Core_Split2</v>
      </c>
      <c r="D15" s="425" t="str">
        <f>'Inputs-Imperial'!D7</f>
        <v>-</v>
      </c>
      <c r="E15" s="426">
        <f>'Inputs-Imperial'!E7</f>
        <v>0.5</v>
      </c>
      <c r="F15" s="174"/>
    </row>
    <row r="16" spans="1:17" ht="15.75" thickBot="1" x14ac:dyDescent="0.3">
      <c r="A16" s="306"/>
      <c r="B16" s="425" t="str">
        <f>'Inputs-Imperial'!B8</f>
        <v>Core Zone Split (% Half-Span)</v>
      </c>
      <c r="C16" s="425" t="str">
        <f>'Inputs-Imperial'!C8</f>
        <v>Core_Split3</v>
      </c>
      <c r="D16" s="425" t="str">
        <f>'Inputs-Imperial'!D8</f>
        <v>-</v>
      </c>
      <c r="E16" s="426">
        <f>'Inputs-Imperial'!E8</f>
        <v>0.75</v>
      </c>
      <c r="F16" s="174"/>
    </row>
    <row r="17" spans="1:49" x14ac:dyDescent="0.25">
      <c r="A17" s="273" t="str">
        <f>'Inputs-Imperial'!A11</f>
        <v>Main Spar</v>
      </c>
      <c r="B17" s="24" t="str">
        <f>'Inputs-Imperial'!B11</f>
        <v>Spar Height/Chord</v>
      </c>
      <c r="C17" s="347" t="str">
        <f>'Inputs-Imperial'!C11</f>
        <v>Spar_t/c</v>
      </c>
      <c r="D17" s="347" t="str">
        <f>'Inputs-Imperial'!D11</f>
        <v>-</v>
      </c>
      <c r="E17" s="427">
        <f>'Inputs-Imperial'!E11</f>
        <v>0.18</v>
      </c>
      <c r="F17" s="175"/>
    </row>
    <row r="18" spans="1:49" ht="15.75" thickBot="1" x14ac:dyDescent="0.3">
      <c r="A18" s="275"/>
      <c r="B18" s="276" t="str">
        <f>'Inputs-Imperial'!B12</f>
        <v>Spar Location % Chord</v>
      </c>
      <c r="C18" s="29" t="str">
        <f>'Inputs-Imperial'!C12</f>
        <v>Spar_x/c</v>
      </c>
      <c r="D18" s="277" t="str">
        <f>'Inputs-Imperial'!D12</f>
        <v>-</v>
      </c>
      <c r="E18" s="206">
        <f>'Inputs-Imperial'!E12</f>
        <v>0.25</v>
      </c>
      <c r="F18" s="138"/>
    </row>
    <row r="19" spans="1:49" x14ac:dyDescent="0.25">
      <c r="A19" s="156" t="str">
        <f>'Inputs-Imperial'!A14</f>
        <v>Aft Shear Web</v>
      </c>
      <c r="B19" s="2" t="str">
        <f>'Inputs-Imperial'!B14</f>
        <v>Aft Web Height/Chord</v>
      </c>
      <c r="C19" s="2" t="str">
        <f>'Inputs-Imperial'!C14</f>
        <v>AW_t/c</v>
      </c>
      <c r="D19" s="6" t="str">
        <f>'Inputs-Imperial'!D14</f>
        <v>-</v>
      </c>
      <c r="E19" s="17">
        <f>'Inputs-Imperial'!E14</f>
        <v>0.09</v>
      </c>
      <c r="F19" s="138"/>
    </row>
    <row r="20" spans="1:49" x14ac:dyDescent="0.25">
      <c r="A20" s="26"/>
      <c r="B20" s="13" t="str">
        <f>'Inputs-Imperial'!B15</f>
        <v>Aft Web Location % Chord</v>
      </c>
      <c r="C20" s="1" t="str">
        <f>'Inputs-Imperial'!C15</f>
        <v>AW_x/c_tip</v>
      </c>
      <c r="D20" s="10" t="str">
        <f>'Inputs-Imperial'!D15</f>
        <v>-</v>
      </c>
      <c r="E20" s="16">
        <f>'Inputs-Imperial'!E15</f>
        <v>0.75</v>
      </c>
      <c r="F20" s="138"/>
    </row>
    <row r="21" spans="1:49" x14ac:dyDescent="0.25">
      <c r="A21" s="157" t="str">
        <f>'Inputs-Imperial'!A16</f>
        <v>Structural Factors</v>
      </c>
      <c r="B21" s="3" t="str">
        <f>'Inputs-Imperial'!B16</f>
        <v>Factor of Safety, Stress</v>
      </c>
      <c r="C21" s="3" t="str">
        <f>'Inputs-Imperial'!C16</f>
        <v>FS_stress</v>
      </c>
      <c r="D21" s="3" t="str">
        <f>'Inputs-Imperial'!D16</f>
        <v>-</v>
      </c>
      <c r="E21" s="15">
        <f>'Inputs-Imperial'!E16</f>
        <v>1.5</v>
      </c>
      <c r="F21" s="2"/>
    </row>
    <row r="22" spans="1:49" x14ac:dyDescent="0.25">
      <c r="A22" s="26"/>
      <c r="B22" s="1" t="str">
        <f>'Inputs-Imperial'!B17</f>
        <v>Factor of Safety, Buckling/Wrinkling/Crimp</v>
      </c>
      <c r="C22" s="1" t="str">
        <f>'Inputs-Imperial'!C17</f>
        <v>FS_buckling</v>
      </c>
      <c r="D22" s="1" t="str">
        <f>'Inputs-Imperial'!D17</f>
        <v>-</v>
      </c>
      <c r="E22" s="19">
        <f>'Inputs-Imperial'!E17</f>
        <v>1.8</v>
      </c>
      <c r="F22" s="11"/>
    </row>
    <row r="23" spans="1:49" x14ac:dyDescent="0.25">
      <c r="A23" s="157" t="str">
        <f>'Inputs-Imperial'!A18</f>
        <v>Materials - Spar Caps</v>
      </c>
      <c r="B23" s="2" t="str">
        <f>'Inputs-Imperial'!B20</f>
        <v>Spar Cap Modulus</v>
      </c>
      <c r="C23" s="2" t="str">
        <f>'Inputs-Imperial'!C20</f>
        <v>E11_Cap</v>
      </c>
      <c r="D23" s="2" t="str">
        <f>'Inputs-Imperial'!D20</f>
        <v>psi</v>
      </c>
      <c r="E23" s="74">
        <f>'Inputs-Imperial'!E20</f>
        <v>15954180</v>
      </c>
      <c r="F23" s="116"/>
    </row>
    <row r="24" spans="1:49" x14ac:dyDescent="0.25">
      <c r="A24" s="26"/>
      <c r="B24" s="1" t="str">
        <f>'Inputs-Imperial'!B22</f>
        <v>Spar Cap Density</v>
      </c>
      <c r="C24" s="1" t="str">
        <f>'Inputs-Imperial'!C22</f>
        <v>rho_Cap</v>
      </c>
      <c r="D24" s="1" t="str">
        <f>'Inputs-Imperial'!D22</f>
        <v>lb/in^3</v>
      </c>
      <c r="E24" s="16">
        <f>'Inputs-Imperial'!E22</f>
        <v>6.141640685118082E-2</v>
      </c>
      <c r="F24" s="138"/>
    </row>
    <row r="25" spans="1:49" x14ac:dyDescent="0.25">
      <c r="A25" s="157" t="str">
        <f>'Inputs-Imperial'!A23</f>
        <v>Material - Skins and Webs</v>
      </c>
      <c r="B25" s="2" t="str">
        <f>'Inputs-Imperial'!B24</f>
        <v>Bias Shear Modulus</v>
      </c>
      <c r="C25" s="2" t="str">
        <f>'Inputs-Imperial'!C24</f>
        <v>G12_Bias</v>
      </c>
      <c r="D25" s="2" t="str">
        <f>'Inputs-Imperial'!D24</f>
        <v>psi</v>
      </c>
      <c r="E25" s="74">
        <f>'Inputs-Imperial'!E24</f>
        <v>3770988.0000000005</v>
      </c>
      <c r="F25" s="116"/>
    </row>
    <row r="26" spans="1:49" x14ac:dyDescent="0.25">
      <c r="A26" s="25"/>
      <c r="B26" s="2" t="str">
        <f>'Inputs-Imperial'!B25</f>
        <v>Bias Skin Compression Modulus</v>
      </c>
      <c r="C26" s="2" t="str">
        <f>'Inputs-Imperial'!C25</f>
        <v>E11_Bias</v>
      </c>
      <c r="D26" s="2" t="str">
        <f>'Inputs-Imperial'!D25</f>
        <v>psi</v>
      </c>
      <c r="E26" s="74">
        <f>'Inputs-Imperial'!E25</f>
        <v>2175570</v>
      </c>
      <c r="F26" s="116"/>
      <c r="G26" s="116"/>
      <c r="AL26" t="s">
        <v>766</v>
      </c>
    </row>
    <row r="27" spans="1:49" x14ac:dyDescent="0.25">
      <c r="A27" s="25"/>
      <c r="B27" s="2" t="str">
        <f>'Inputs-Imperial'!B26</f>
        <v>Warp Fabric Modulus</v>
      </c>
      <c r="C27" s="2" t="str">
        <f>'Inputs-Imperial'!C26</f>
        <v>E11=E22</v>
      </c>
      <c r="D27" s="2" t="str">
        <f>'Inputs-Imperial'!D26</f>
        <v>psi</v>
      </c>
      <c r="E27" s="74">
        <f>'Inputs-Imperial'!E26</f>
        <v>7687014.0000000009</v>
      </c>
      <c r="F27" s="116"/>
      <c r="G27" s="116"/>
    </row>
    <row r="28" spans="1:49" x14ac:dyDescent="0.25">
      <c r="A28" s="25"/>
      <c r="B28" s="2" t="str">
        <f>'Inputs-Imperial'!B27</f>
        <v>Skin Density</v>
      </c>
      <c r="C28" s="2" t="str">
        <f>'Inputs-Imperial'!C27</f>
        <v>rho_Bias</v>
      </c>
      <c r="D28" s="2" t="str">
        <f>'Inputs-Imperial'!D27</f>
        <v>lb/in^3</v>
      </c>
      <c r="E28" s="17">
        <f>'Inputs-Imperial'!E27</f>
        <v>6.141640685118082E-2</v>
      </c>
      <c r="F28" s="138"/>
      <c r="G28" s="138"/>
    </row>
    <row r="29" spans="1:49" x14ac:dyDescent="0.25">
      <c r="A29" s="26"/>
      <c r="B29" s="1" t="str">
        <f>'Inputs-Imperial'!B28</f>
        <v>Skin Cured Ply Thickness</v>
      </c>
      <c r="C29" s="1" t="str">
        <f>'Inputs-Imperial'!C28</f>
        <v>CPT_Bias</v>
      </c>
      <c r="D29" s="1" t="str">
        <f>'Inputs-Imperial'!D28</f>
        <v>in</v>
      </c>
      <c r="E29" s="20">
        <f>'Inputs-Imperial'!E28</f>
        <v>7.8740157480314977E-3</v>
      </c>
      <c r="F29" s="2"/>
      <c r="G29" s="2"/>
    </row>
    <row r="30" spans="1:49" x14ac:dyDescent="0.25">
      <c r="A30" s="157" t="str">
        <f>'Inputs-Imperial'!A29</f>
        <v>Material - Skin and Web Core</v>
      </c>
      <c r="B30" s="3" t="str">
        <f>'Inputs-Imperial'!B29</f>
        <v>Core Modulus (E11=E22=E33)</v>
      </c>
      <c r="C30" s="3" t="str">
        <f>'Inputs-Imperial'!C29</f>
        <v>E_Core</v>
      </c>
      <c r="D30" s="3" t="str">
        <f>'Inputs-Imperial'!D29</f>
        <v>psi</v>
      </c>
      <c r="E30" s="73">
        <f>'Inputs-Imperial'!E29</f>
        <v>8267.1660000000011</v>
      </c>
      <c r="F30" s="116"/>
      <c r="G30" s="116"/>
    </row>
    <row r="31" spans="1:49" x14ac:dyDescent="0.25">
      <c r="A31" s="225"/>
      <c r="B31" s="2" t="str">
        <f>'Inputs-Imperial'!B30</f>
        <v>Core Shear Modulus (G12=G13)</v>
      </c>
      <c r="C31" s="2" t="str">
        <f>'Inputs-Imperial'!C30</f>
        <v>G_Core</v>
      </c>
      <c r="D31" s="2" t="str">
        <f>'Inputs-Imperial'!D30</f>
        <v>psi</v>
      </c>
      <c r="E31" s="74">
        <f>'Inputs-Imperial'!E30</f>
        <v>2610.6840000000002</v>
      </c>
      <c r="F31" s="116"/>
      <c r="AL31" s="553" t="s">
        <v>767</v>
      </c>
      <c r="AW31" t="s">
        <v>781</v>
      </c>
    </row>
    <row r="32" spans="1:49" ht="15.75" thickBot="1" x14ac:dyDescent="0.3">
      <c r="A32" s="26"/>
      <c r="B32" s="1" t="str">
        <f>'Inputs-Imperial'!B33</f>
        <v>Core Density</v>
      </c>
      <c r="C32" s="1" t="str">
        <f>'Inputs-Imperial'!C33</f>
        <v>rho_Core</v>
      </c>
      <c r="D32" s="1" t="str">
        <f>'Inputs-Imperial'!D33</f>
        <v>lb/in^3</v>
      </c>
      <c r="E32" s="18">
        <f>'Inputs-Imperial'!E33</f>
        <v>2.312147081456219E-3</v>
      </c>
      <c r="F32" s="2"/>
    </row>
    <row r="33" spans="1:102" x14ac:dyDescent="0.25">
      <c r="A33" s="157" t="str">
        <f>'Inputs-Imperial'!A34</f>
        <v>Manufacturing Weight Factors</v>
      </c>
      <c r="B33" s="3" t="str">
        <f>'Inputs-Imperial'!B34</f>
        <v>As-Built Sandwich Weight Factor  (W_built/W_laminate)</v>
      </c>
      <c r="C33" s="3" t="str">
        <f>'Inputs-Imperial'!C34</f>
        <v>K_Fab</v>
      </c>
      <c r="D33" s="3" t="str">
        <f>'Inputs-Imperial'!D34</f>
        <v>-</v>
      </c>
      <c r="E33" s="195">
        <f>'Inputs-Imperial'!E34</f>
        <v>1.25</v>
      </c>
      <c r="F33" s="8"/>
    </row>
    <row r="34" spans="1:102" ht="15.75" thickBot="1" x14ac:dyDescent="0.3">
      <c r="A34" s="28"/>
      <c r="B34" s="29" t="str">
        <f>'Inputs-Imperial'!B35</f>
        <v>Bonded Joint Weight  (W_joints/W_laminate)</v>
      </c>
      <c r="C34" s="29" t="str">
        <f>'Inputs-Imperial'!C35</f>
        <v>K_Fab</v>
      </c>
      <c r="D34" s="29" t="str">
        <f>'Inputs-Imperial'!D35</f>
        <v>-</v>
      </c>
      <c r="E34" s="30">
        <f>'Inputs-Imperial'!E35</f>
        <v>1.05</v>
      </c>
      <c r="F34" s="2"/>
    </row>
    <row r="35" spans="1:102" ht="15.75" thickBot="1" x14ac:dyDescent="0.3">
      <c r="AM35" s="4" t="s">
        <v>129</v>
      </c>
      <c r="AR35" s="4" t="s">
        <v>129</v>
      </c>
      <c r="AW35" s="4" t="s">
        <v>129</v>
      </c>
      <c r="BF35" s="4" t="s">
        <v>129</v>
      </c>
    </row>
    <row r="36" spans="1:102" ht="15.75" thickBot="1" x14ac:dyDescent="0.3">
      <c r="A36" s="229" t="s">
        <v>358</v>
      </c>
      <c r="B36" s="208"/>
      <c r="C36" s="208"/>
      <c r="D36" s="208"/>
      <c r="E36" s="196"/>
      <c r="AM36" t="s">
        <v>769</v>
      </c>
      <c r="AR36" t="s">
        <v>773</v>
      </c>
      <c r="AW36" t="s">
        <v>783</v>
      </c>
      <c r="BF36" t="s">
        <v>926</v>
      </c>
    </row>
    <row r="37" spans="1:102" x14ac:dyDescent="0.25">
      <c r="A37" s="158"/>
      <c r="B37" s="24" t="s">
        <v>354</v>
      </c>
      <c r="C37" s="24" t="s">
        <v>357</v>
      </c>
      <c r="D37" s="24" t="s">
        <v>14</v>
      </c>
      <c r="E37" s="293">
        <f>1.044*('Inputs-Imperial'!E11/0.182)</f>
        <v>1.0325274725274727</v>
      </c>
      <c r="AM37" t="s">
        <v>774</v>
      </c>
      <c r="AR37" t="s">
        <v>774</v>
      </c>
      <c r="AW37" t="s">
        <v>784</v>
      </c>
      <c r="BF37" t="s">
        <v>931</v>
      </c>
      <c r="BQ37" t="s">
        <v>833</v>
      </c>
    </row>
    <row r="38" spans="1:102" ht="15.75" thickBot="1" x14ac:dyDescent="0.3">
      <c r="A38" s="227"/>
      <c r="B38" s="29" t="s">
        <v>355</v>
      </c>
      <c r="C38" s="29" t="s">
        <v>356</v>
      </c>
      <c r="D38" s="29" t="s">
        <v>14</v>
      </c>
      <c r="E38" s="206">
        <f>1.026*('Inputs-Imperial'!E11/0.182)</f>
        <v>1.0147252747252749</v>
      </c>
      <c r="AM38" t="s">
        <v>765</v>
      </c>
      <c r="AR38" t="s">
        <v>765</v>
      </c>
      <c r="AW38" t="s">
        <v>787</v>
      </c>
      <c r="BQ38">
        <v>1000</v>
      </c>
      <c r="BZ38">
        <f>BV44*(BX44-$BG44/3)</f>
        <v>248.28542275436993</v>
      </c>
    </row>
    <row r="39" spans="1:102" x14ac:dyDescent="0.25">
      <c r="AM39" t="s">
        <v>768</v>
      </c>
      <c r="AR39" t="s">
        <v>768</v>
      </c>
      <c r="BZ39">
        <f>BW44*(-$BF44+BX44+$BG44/3)</f>
        <v>-105.25371687760905</v>
      </c>
    </row>
    <row r="40" spans="1:102" x14ac:dyDescent="0.25">
      <c r="AX40" t="s">
        <v>789</v>
      </c>
      <c r="BM40">
        <f>PI()/8*BF44*BI44</f>
        <v>0.25572119848369734</v>
      </c>
      <c r="BQ40" t="s">
        <v>834</v>
      </c>
      <c r="BZ40">
        <f>(BV44+BW44)*($BG44-BX44)</f>
        <v>-151.98608372448766</v>
      </c>
    </row>
    <row r="41" spans="1:102" ht="15.75" thickBot="1" x14ac:dyDescent="0.3">
      <c r="P41" s="80" t="s">
        <v>372</v>
      </c>
      <c r="R41" s="80" t="s">
        <v>775</v>
      </c>
      <c r="W41" s="80" t="s">
        <v>359</v>
      </c>
    </row>
    <row r="42" spans="1:102" ht="15" customHeight="1" thickBot="1" x14ac:dyDescent="0.3">
      <c r="A42" s="770" t="s">
        <v>155</v>
      </c>
      <c r="B42" s="771"/>
      <c r="C42" s="771"/>
      <c r="D42" s="771"/>
      <c r="E42" s="771"/>
      <c r="F42" s="771"/>
      <c r="G42" s="771"/>
      <c r="H42" s="771"/>
      <c r="I42" s="771"/>
      <c r="J42" s="772"/>
      <c r="K42" s="758" t="s">
        <v>13</v>
      </c>
      <c r="L42" s="759"/>
      <c r="M42" s="759"/>
      <c r="N42" s="759"/>
      <c r="O42" s="760"/>
      <c r="P42" s="459"/>
      <c r="Q42" s="544"/>
      <c r="R42" s="543"/>
      <c r="S42" s="544"/>
      <c r="T42" s="544"/>
      <c r="U42" s="558" t="s">
        <v>360</v>
      </c>
      <c r="V42" s="537"/>
      <c r="W42" s="557"/>
      <c r="X42" s="540" t="s">
        <v>371</v>
      </c>
      <c r="Y42" s="541"/>
      <c r="Z42" s="541"/>
      <c r="AA42" s="541"/>
      <c r="AB42" s="541"/>
      <c r="AC42" s="541"/>
      <c r="AD42" s="541"/>
      <c r="AE42" s="541"/>
      <c r="AF42" s="546" t="s">
        <v>387</v>
      </c>
      <c r="AG42" s="547"/>
      <c r="AH42" s="547"/>
      <c r="AI42" s="547"/>
      <c r="AJ42" s="547"/>
      <c r="AK42" s="547"/>
      <c r="AL42" s="548"/>
      <c r="AM42" s="540" t="s">
        <v>655</v>
      </c>
      <c r="AN42" s="541"/>
      <c r="AO42" s="541"/>
      <c r="AP42" s="541"/>
      <c r="AQ42" s="542"/>
      <c r="AR42" s="546" t="s">
        <v>659</v>
      </c>
      <c r="AS42" s="547"/>
      <c r="AT42" s="547"/>
      <c r="AU42" s="547"/>
      <c r="AV42" s="548"/>
      <c r="AW42" s="558" t="s">
        <v>667</v>
      </c>
      <c r="AX42" s="559"/>
      <c r="AY42" s="559"/>
      <c r="AZ42" s="559"/>
      <c r="BA42" s="559"/>
      <c r="BB42" s="559"/>
      <c r="BC42" s="559"/>
      <c r="BD42" s="596"/>
      <c r="BE42" s="597"/>
      <c r="BF42" s="597"/>
      <c r="BG42" s="597"/>
      <c r="BH42" s="597"/>
      <c r="BI42" s="597"/>
      <c r="BJ42" s="597"/>
      <c r="BK42" s="597"/>
      <c r="BL42" s="597"/>
      <c r="BM42" s="597"/>
      <c r="BN42" s="598" t="s">
        <v>835</v>
      </c>
      <c r="BO42" s="597"/>
      <c r="BP42" s="597"/>
      <c r="BQ42" s="597"/>
      <c r="BR42" s="597"/>
      <c r="BS42" s="597"/>
      <c r="BT42" s="597"/>
      <c r="BU42" s="597"/>
      <c r="BV42" s="597"/>
      <c r="BW42" s="597"/>
      <c r="BX42" s="599"/>
      <c r="BY42" s="598" t="s">
        <v>849</v>
      </c>
      <c r="BZ42" s="597"/>
      <c r="CA42" s="597"/>
      <c r="CB42" s="597"/>
      <c r="CC42" s="598" t="s">
        <v>850</v>
      </c>
      <c r="CD42" s="597"/>
      <c r="CE42" s="597"/>
      <c r="CF42" s="597"/>
      <c r="CG42" s="598" t="s">
        <v>851</v>
      </c>
      <c r="CH42" s="597"/>
      <c r="CI42" s="597"/>
      <c r="CJ42" s="597"/>
      <c r="CK42" s="598" t="s">
        <v>852</v>
      </c>
      <c r="CL42" s="597"/>
      <c r="CM42" s="597"/>
      <c r="CN42" s="597"/>
      <c r="CO42" s="598" t="s">
        <v>853</v>
      </c>
      <c r="CP42" s="597"/>
      <c r="CQ42" s="597"/>
      <c r="CR42" s="597"/>
      <c r="CS42" s="598" t="s">
        <v>854</v>
      </c>
      <c r="CT42" s="597"/>
      <c r="CU42" s="597"/>
      <c r="CV42" s="712"/>
      <c r="CW42" s="714" t="s">
        <v>925</v>
      </c>
      <c r="CX42" s="714"/>
    </row>
    <row r="43" spans="1:102" ht="87.6" customHeight="1" thickBot="1" x14ac:dyDescent="0.3">
      <c r="A43" s="176" t="s">
        <v>130</v>
      </c>
      <c r="B43" s="177" t="s">
        <v>132</v>
      </c>
      <c r="C43" s="177" t="s">
        <v>131</v>
      </c>
      <c r="D43" s="178" t="s">
        <v>145</v>
      </c>
      <c r="E43" s="178" t="s">
        <v>153</v>
      </c>
      <c r="F43" s="178" t="str">
        <f>Sizing!F59</f>
        <v>Lead-Lag Shear [lbs] -
 Vx</v>
      </c>
      <c r="G43" s="178" t="str">
        <f>Sizing!G59</f>
        <v>Shear [lbs] -
 OB Edge - Vz</v>
      </c>
      <c r="H43" s="178" t="str">
        <f>Sizing!H59</f>
        <v>Moment [ft-lbs] -
 OB Edge - Mx</v>
      </c>
      <c r="I43" s="178" t="str">
        <f>Sizing!I59</f>
        <v>Wing Torsion
[ft-lbs] -
 My</v>
      </c>
      <c r="J43" s="178" t="str">
        <f>Sizing!J59</f>
        <v>Lead-Lag Moment
[ft-lbs] -
Mz</v>
      </c>
      <c r="K43" s="163" t="s">
        <v>176</v>
      </c>
      <c r="L43" s="125" t="s">
        <v>173</v>
      </c>
      <c r="M43" s="125" t="s">
        <v>174</v>
      </c>
      <c r="N43" s="125" t="s">
        <v>175</v>
      </c>
      <c r="O43" s="154" t="s">
        <v>156</v>
      </c>
      <c r="P43" s="124" t="s">
        <v>373</v>
      </c>
      <c r="Q43" s="125" t="s">
        <v>163</v>
      </c>
      <c r="R43" s="124" t="str">
        <f>Sizing!X59</f>
        <v>Spar 
Offset 
from LE 
[in]</v>
      </c>
      <c r="S43" s="125" t="str">
        <f>Sizing!Y59</f>
        <v>Aft Web Offset 
from LE 
[in]</v>
      </c>
      <c r="T43" s="125" t="str">
        <f>Sizing!Z59</f>
        <v>Distance 
from Spar 
to 
Aft Web 
[in]</v>
      </c>
      <c r="U43" s="310" t="str">
        <f>Sizing!CN59</f>
        <v>Wing Skin As-Built Core Thickness
[in]</v>
      </c>
      <c r="V43" s="125" t="str">
        <f>Sizing!CO59</f>
        <v>As-built Skin Facesheet OML Thickness [in]</v>
      </c>
      <c r="W43" s="154" t="str">
        <f>Sizing!CP59</f>
        <v>As-built Skin Facesheet IML Thickness [in]</v>
      </c>
      <c r="X43" s="161" t="str">
        <f>Sizing!DU59</f>
        <v>As-built
Vert Spar
Comp.
Cap Area [in^2]</v>
      </c>
      <c r="Y43" s="252" t="str">
        <f>Sizing!DV59</f>
        <v>As-built 
Comp Cap Square
Side Length 
[in]</v>
      </c>
      <c r="Z43" s="252" t="str">
        <f>Sizing!DW59</f>
        <v>As-built
Vert Spar
Tension
Cap Area [in^2]</v>
      </c>
      <c r="AA43" s="162" t="str">
        <f>Sizing!DX59</f>
        <v>As-built
Tension
 Cap Square
Side Length 
[in]</v>
      </c>
      <c r="AB43" s="252" t="str">
        <f>Sizing!DO59</f>
        <v>Spar Cap Centroid Dist
[in]</v>
      </c>
      <c r="AC43" s="320" t="str">
        <f>Sizing!GJ59</f>
        <v>As-Built Spar Core Thickness
[in]</v>
      </c>
      <c r="AD43" s="321" t="str">
        <f>Sizing!GK59</f>
        <v>As-built Facesheet 1 Thickness [in]</v>
      </c>
      <c r="AE43" s="322" t="str">
        <f>Sizing!GL59</f>
        <v>As-built Facesheet 2 Thickness [in]</v>
      </c>
      <c r="AF43" s="124" t="str">
        <f>Sizing!JC59</f>
        <v>As-Built
Drag Spar
Cap Area 
[in^2]</v>
      </c>
      <c r="AG43" s="124" t="str">
        <f>Sizing!JD59</f>
        <v xml:space="preserve">
 As-Built
Cap Square
Side Length 
[in]</v>
      </c>
      <c r="AH43" s="124" t="str">
        <f>Sizing!JC59</f>
        <v>As-Built
Drag Spar
Cap Area 
[in^2]</v>
      </c>
      <c r="AI43" s="124" t="str">
        <f>Sizing!JD59</f>
        <v xml:space="preserve">
 As-Built
Cap Square
Side Length 
[in]</v>
      </c>
      <c r="AJ43" s="325" t="str">
        <f>Sizing!IT59</f>
        <v>As-Built Aft Web Core Thickness
[in]</v>
      </c>
      <c r="AK43" s="326" t="str">
        <f>Sizing!IU59</f>
        <v>As-built Skin Facesheet 1 Thickness [in]</v>
      </c>
      <c r="AL43" s="327" t="str">
        <f>Sizing!IV59</f>
        <v>As-built Skin Facesheet 2 Thickness [in]</v>
      </c>
      <c r="AM43" s="124" t="s">
        <v>776</v>
      </c>
      <c r="AN43" s="125" t="s">
        <v>770</v>
      </c>
      <c r="AO43" s="125" t="s">
        <v>771</v>
      </c>
      <c r="AP43" s="125" t="s">
        <v>772</v>
      </c>
      <c r="AQ43" s="119" t="s">
        <v>793</v>
      </c>
      <c r="AR43" s="124" t="s">
        <v>777</v>
      </c>
      <c r="AS43" s="544" t="s">
        <v>778</v>
      </c>
      <c r="AT43" s="544" t="s">
        <v>779</v>
      </c>
      <c r="AU43" s="544" t="s">
        <v>780</v>
      </c>
      <c r="AV43" s="119" t="s">
        <v>792</v>
      </c>
      <c r="AW43" s="161" t="s">
        <v>782</v>
      </c>
      <c r="AX43" s="252" t="s">
        <v>785</v>
      </c>
      <c r="AY43" s="252" t="s">
        <v>786</v>
      </c>
      <c r="AZ43" s="252" t="s">
        <v>788</v>
      </c>
      <c r="BA43" s="252" t="s">
        <v>790</v>
      </c>
      <c r="BB43" s="252" t="s">
        <v>791</v>
      </c>
      <c r="BC43" s="124" t="s">
        <v>794</v>
      </c>
      <c r="BD43" s="569" t="s">
        <v>176</v>
      </c>
      <c r="BE43" s="570" t="s">
        <v>613</v>
      </c>
      <c r="BF43" s="570" t="s">
        <v>827</v>
      </c>
      <c r="BG43" s="570" t="s">
        <v>825</v>
      </c>
      <c r="BH43" s="570" t="s">
        <v>826</v>
      </c>
      <c r="BI43" s="570" t="s">
        <v>829</v>
      </c>
      <c r="BJ43" s="570" t="s">
        <v>830</v>
      </c>
      <c r="BK43" s="570" t="s">
        <v>828</v>
      </c>
      <c r="BL43" s="570" t="s">
        <v>831</v>
      </c>
      <c r="BM43" s="570" t="s">
        <v>832</v>
      </c>
      <c r="BN43" s="570" t="s">
        <v>836</v>
      </c>
      <c r="BO43" s="570" t="s">
        <v>837</v>
      </c>
      <c r="BP43" s="570" t="s">
        <v>838</v>
      </c>
      <c r="BQ43" s="570" t="s">
        <v>839</v>
      </c>
      <c r="BR43" s="570" t="s">
        <v>840</v>
      </c>
      <c r="BS43" s="570" t="s">
        <v>844</v>
      </c>
      <c r="BT43" s="570" t="s">
        <v>843</v>
      </c>
      <c r="BU43" s="570" t="s">
        <v>846</v>
      </c>
      <c r="BV43" s="570" t="s">
        <v>841</v>
      </c>
      <c r="BW43" s="570" t="s">
        <v>842</v>
      </c>
      <c r="BX43" s="570" t="s">
        <v>845</v>
      </c>
      <c r="BY43" s="633" t="s">
        <v>847</v>
      </c>
      <c r="BZ43" s="634" t="s">
        <v>841</v>
      </c>
      <c r="CA43" s="634" t="s">
        <v>848</v>
      </c>
      <c r="CB43" s="634" t="s">
        <v>845</v>
      </c>
      <c r="CC43" s="634" t="s">
        <v>847</v>
      </c>
      <c r="CD43" s="634" t="s">
        <v>841</v>
      </c>
      <c r="CE43" s="634" t="s">
        <v>848</v>
      </c>
      <c r="CF43" s="634" t="s">
        <v>845</v>
      </c>
      <c r="CG43" s="634" t="s">
        <v>847</v>
      </c>
      <c r="CH43" s="634" t="s">
        <v>841</v>
      </c>
      <c r="CI43" s="634" t="s">
        <v>848</v>
      </c>
      <c r="CJ43" s="634" t="s">
        <v>845</v>
      </c>
      <c r="CK43" s="634" t="s">
        <v>847</v>
      </c>
      <c r="CL43" s="634" t="s">
        <v>841</v>
      </c>
      <c r="CM43" s="634" t="s">
        <v>848</v>
      </c>
      <c r="CN43" s="634" t="s">
        <v>845</v>
      </c>
      <c r="CO43" s="634" t="s">
        <v>847</v>
      </c>
      <c r="CP43" s="634" t="s">
        <v>841</v>
      </c>
      <c r="CQ43" s="634" t="s">
        <v>848</v>
      </c>
      <c r="CR43" s="634" t="s">
        <v>845</v>
      </c>
      <c r="CS43" s="634" t="s">
        <v>847</v>
      </c>
      <c r="CT43" s="634" t="s">
        <v>841</v>
      </c>
      <c r="CU43" s="634" t="s">
        <v>848</v>
      </c>
      <c r="CV43" s="600" t="s">
        <v>845</v>
      </c>
      <c r="CW43" s="713" t="s">
        <v>927</v>
      </c>
      <c r="CX43" s="715" t="s">
        <v>928</v>
      </c>
    </row>
    <row r="44" spans="1:102" x14ac:dyDescent="0.25">
      <c r="A44" s="180">
        <v>0</v>
      </c>
      <c r="B44" s="181">
        <f>A44/100*'Inputs-Imperial'!$E$5</f>
        <v>0</v>
      </c>
      <c r="C44" s="182">
        <f>'Inputs-Imperial'!$E$10+('Inputs-Imperial'!$E$9-'Inputs-Imperial'!$E$10)*(100-A44)/100</f>
        <v>2.1325460000000001</v>
      </c>
      <c r="D44" s="183">
        <v>0</v>
      </c>
      <c r="E44" s="183">
        <v>0</v>
      </c>
      <c r="F44" s="184">
        <f>Sizing!F60</f>
        <v>121.20459691555001</v>
      </c>
      <c r="G44" s="184">
        <f>Sizing!G60</f>
        <v>1212.0459691554993</v>
      </c>
      <c r="H44" s="184">
        <f>Sizing!H60</f>
        <v>5274.2445856614158</v>
      </c>
      <c r="I44" s="184">
        <f>Sizing!I60</f>
        <v>-1144.4473362741128</v>
      </c>
      <c r="J44" s="185">
        <f>Sizing!J60</f>
        <v>527.42445856614165</v>
      </c>
      <c r="K44" s="129">
        <v>0</v>
      </c>
      <c r="L44" s="166">
        <f>B44*12</f>
        <v>0</v>
      </c>
      <c r="M44" s="173">
        <f>C44*12</f>
        <v>25.590552000000002</v>
      </c>
      <c r="N44" s="173">
        <f>D44*12</f>
        <v>0</v>
      </c>
      <c r="O44" s="167">
        <f>E44*12*12</f>
        <v>0</v>
      </c>
      <c r="P44" s="202">
        <f t="shared" ref="P44:P75" si="0">M44*$E$17</f>
        <v>4.6062993600000004</v>
      </c>
      <c r="Q44" s="130">
        <f t="shared" ref="Q44:Q75" si="1">M44*$E$19</f>
        <v>2.3031496800000002</v>
      </c>
      <c r="R44" s="202">
        <f>Sizing!X60</f>
        <v>6.3976380000000006</v>
      </c>
      <c r="S44" s="130">
        <f>Sizing!Y60</f>
        <v>19.192914000000002</v>
      </c>
      <c r="T44" s="130">
        <f>Sizing!Z60</f>
        <v>12.795276000000001</v>
      </c>
      <c r="U44" s="293">
        <f>Sizing!CN60</f>
        <v>0.25</v>
      </c>
      <c r="V44" s="293">
        <f>Sizing!CO60</f>
        <v>2.3622047244094495E-2</v>
      </c>
      <c r="W44" s="293">
        <f>Sizing!CP60</f>
        <v>1.5748031496062995E-2</v>
      </c>
      <c r="X44" s="202">
        <f>Sizing!DU60</f>
        <v>0.41283788277202987</v>
      </c>
      <c r="Y44" s="202">
        <f>Sizing!DV60</f>
        <v>0.64252461647164139</v>
      </c>
      <c r="Z44" s="202">
        <f>Sizing!DW60</f>
        <v>0.41283788277202987</v>
      </c>
      <c r="AA44" s="195">
        <f>Sizing!DX60</f>
        <v>0.64252461647164139</v>
      </c>
      <c r="AB44" s="195">
        <f>P44-2*(U44+V44+W44)-Y44/2-AA44/2</f>
        <v>3.385034586048044</v>
      </c>
      <c r="AC44" s="240">
        <f>Sizing!GJ60</f>
        <v>0.25</v>
      </c>
      <c r="AD44" s="240">
        <f>Sizing!GK60</f>
        <v>2.3622047244094495E-2</v>
      </c>
      <c r="AE44" s="293">
        <f>Sizing!GL60</f>
        <v>2.3622047244094495E-2</v>
      </c>
      <c r="AF44" s="202">
        <f>Sizing!JC60</f>
        <v>6.3945696655626945E-3</v>
      </c>
      <c r="AG44" s="195">
        <f>Sizing!JD60</f>
        <v>7.9966053207362275E-2</v>
      </c>
      <c r="AH44" s="202">
        <f>Sizing!JC60</f>
        <v>6.3945696655626945E-3</v>
      </c>
      <c r="AI44" s="195">
        <f>Sizing!JD60</f>
        <v>7.9966053207362275E-2</v>
      </c>
      <c r="AJ44" s="240">
        <f>Sizing!IT60</f>
        <v>0.25</v>
      </c>
      <c r="AK44" s="240">
        <f>Sizing!IU60</f>
        <v>1.5748031496062995E-2</v>
      </c>
      <c r="AL44" s="293">
        <f>Sizing!IV60</f>
        <v>1.5748031496062995E-2</v>
      </c>
      <c r="AM44" s="170">
        <f>(X44*AB44/2-Z44*AB44/2)/(X44+Z44)</f>
        <v>0</v>
      </c>
      <c r="AN44" s="11">
        <f>X44*((AB44/2-AM44)^2)</f>
        <v>1.1826215036990542</v>
      </c>
      <c r="AO44" s="11">
        <f>Z44*((AB44/2+AM44)^2)</f>
        <v>1.1826215036990542</v>
      </c>
      <c r="AP44" s="11">
        <f>AN44+AO44</f>
        <v>2.3652430073981083</v>
      </c>
      <c r="AQ44" s="555">
        <f>AP44*$E$23</f>
        <v>37735512.683770753</v>
      </c>
      <c r="AR44" s="311">
        <f>((X44+Z44)*R44+(AF44+AH44)*S44)/(X44+Z44+AF44+AH44)</f>
        <v>6.5928048657718756</v>
      </c>
      <c r="AS44" s="11">
        <f>(X44+Z44)*(AR44-R44)^2</f>
        <v>3.145007701441737E-2</v>
      </c>
      <c r="AT44" s="11">
        <f>(AF44+AH44)*(S44-AR44)^2</f>
        <v>2.0304389328295915</v>
      </c>
      <c r="AU44" s="11">
        <f>AS44+AT44</f>
        <v>2.061889009844009</v>
      </c>
      <c r="AV44" s="555">
        <f>AU44*$E$23</f>
        <v>32895748.403073091</v>
      </c>
      <c r="AW44" s="138">
        <f>V44+W44</f>
        <v>3.9370078740157494E-2</v>
      </c>
      <c r="AX44" s="138">
        <f>AD44+AE44</f>
        <v>4.724409448818899E-2</v>
      </c>
      <c r="AY44" s="554">
        <f>AK44+AL44</f>
        <v>3.1496062992125991E-2</v>
      </c>
      <c r="AZ44" s="12">
        <f>PI()*S44*P44</f>
        <v>277.74288927893525</v>
      </c>
      <c r="BA44" s="11">
        <f>PI()*(3*(S44+P44)-SQRT((3*S44+P44)*(S44+3*P44)))</f>
        <v>81.962118978417962</v>
      </c>
      <c r="BB44">
        <f>4*(AZ44^2)*AW44/BA44</f>
        <v>148.2173332195151</v>
      </c>
      <c r="BC44" s="555">
        <f>BB44*$E$25</f>
        <v>558925784.96279287</v>
      </c>
      <c r="BD44">
        <f>K44</f>
        <v>0</v>
      </c>
      <c r="BE44" s="207">
        <f>C44</f>
        <v>2.1325460000000001</v>
      </c>
      <c r="BF44" s="207">
        <f>'Inputs-Imperial'!$E$15*BE44</f>
        <v>1.5994095000000002</v>
      </c>
      <c r="BG44" s="207">
        <f>'Inputs-Imperial'!$E$12*BE44</f>
        <v>0.53313650000000001</v>
      </c>
      <c r="BH44">
        <f>'Inputs-Imperial'!$E$11*BE44</f>
        <v>0.38385828</v>
      </c>
      <c r="BI44">
        <f>BH44 /SQRT(1 - ((BG44-BF44/2)/(BF44/2))^2)</f>
        <v>0.40714318920390674</v>
      </c>
      <c r="BJ44">
        <f>'Weight '!U46+'Weight '!V46 /12</f>
        <v>2.4934383202099744E-2</v>
      </c>
      <c r="BK44">
        <f>('Weight '!AK46+'Weight '!AL46)/12</f>
        <v>3.9370078740157488E-3</v>
      </c>
      <c r="BL44">
        <f>'Weight '!AG46/12</f>
        <v>5.3543718039303446E-2</v>
      </c>
      <c r="BM44">
        <f>'Weight '!AI46/12</f>
        <v>5.3543718039303446E-2</v>
      </c>
      <c r="BN44" s="554">
        <f>(SQRT(BH44^2/4+BG44^2/4)/SQRT(1+BF44^2/4+BI44^2/4))*PI()*(BF44/2+BI44/2)*(1+3*((BF44/2-BI44/2)^2)/((BF44/2+BI44/2)^2)/(10+SQRT(4-3*((BF44/2-BI44/2)^2)/((BF44/2+BI44/2)^2))))</f>
        <v>0.87072885737952033</v>
      </c>
      <c r="BO44" s="554">
        <f>PI()*(BF44/2+BI44/2)*(1+3*((BF44/2-BI44/2)^2)/((BF44/2+BI44/2)^2)/(10+SQRT(4-3*((BF44/2-BI44/2)^2)/((BF44/2+BI44/2)^2))))-BN44</f>
        <v>2.5661267158545016</v>
      </c>
      <c r="BP44">
        <f>BL44</f>
        <v>5.3543718039303446E-2</v>
      </c>
      <c r="BQ44">
        <f>BM44</f>
        <v>5.3543718039303446E-2</v>
      </c>
      <c r="BR44">
        <f>BH44-BP44-BQ44</f>
        <v>0.27677084392139306</v>
      </c>
      <c r="BS44">
        <f>3/4*BH44*BG44</f>
        <v>0.15348664492141498</v>
      </c>
      <c r="BT44">
        <f>PI()/4*BF44*BI44-BS44</f>
        <v>0.35795575204597974</v>
      </c>
      <c r="BU44">
        <f>PI()/4*(BF44/2)^3*(BI44/2)</f>
        <v>8.1770393313637391E-2</v>
      </c>
      <c r="BV44">
        <f>$BQ$38/(BP44+BR44+BQ44+BN44)/2</f>
        <v>398.53748305148366</v>
      </c>
      <c r="BW44" s="207">
        <f xml:space="preserve"> ($BQ$38-BV44*($BP44+$BR44+$BQ44+$BN44))/($BP44+$BR44+$BQ44+$BO44)</f>
        <v>169.49238748760772</v>
      </c>
      <c r="BX44">
        <f>2*(BV44*$BS44-BW44*$BT44 )/$BQ$38 + $BF44/2</f>
        <v>0.8007035622396047</v>
      </c>
      <c r="BY44" s="572">
        <f>BV44*(BX44-$BG44/3)+BW44*(-$BF44+BX44+$BG44/3)+(BV44+BW44)*($BG44-BX44)</f>
        <v>-8.9543778477267608</v>
      </c>
      <c r="BZ44" s="573">
        <f>BV44-BY44/3</f>
        <v>401.52227566739259</v>
      </c>
      <c r="CA44" s="602">
        <f xml:space="preserve"> ($BQ$38-BZ44*($BP44+$BR44+$BQ44+$BN44))/($BP44+$BR44+$BQ44+$BO44)</f>
        <v>168.22299715886808</v>
      </c>
      <c r="CB44" s="573">
        <f>2*(BZ44*$BS44-CA44*$BT44 )/$BQ$38 + $BF44/2</f>
        <v>0.80252858498793656</v>
      </c>
      <c r="CC44" s="573">
        <f>BZ44*(CB44-$BG44/3)+CA44*(-$BF44+CB44+$BG44/3)+(BZ44-CA44)*(CB44-$BG44)</f>
        <v>209.56826662853092</v>
      </c>
      <c r="CD44" s="573">
        <f>BZ44-CC44/3</f>
        <v>331.66618679121564</v>
      </c>
      <c r="CE44" s="602">
        <f xml:space="preserve"> ($BQ$38-CD44*($BP44+$BR44+$BQ44+$BN44))/($BP44+$BR44+$BQ44+$BO44)</f>
        <v>197.93180947311714</v>
      </c>
      <c r="CF44" s="573">
        <f>2*(CD44*$BS44-CE44*$BT44 )/$BQ$38 + $BF44/2</f>
        <v>0.75981575106138366</v>
      </c>
      <c r="CG44" s="573">
        <f>CD44*(CF44-$BG44/3)+CE44*(-$BF44+CF44+$BG44/3)+(CD44-CE44)*(CF44-$BG44)</f>
        <v>92.371465409304548</v>
      </c>
      <c r="CH44" s="573">
        <f t="shared" ref="CH44" si="2">CD44-CG44/3</f>
        <v>300.87569832144743</v>
      </c>
      <c r="CI44" s="602">
        <f t="shared" ref="CI44" si="3" xml:space="preserve"> ($BQ$38-CH44*($BP44+$BR44+$BQ44+$BN44))/($BP44+$BR44+$BQ44+$BO44)</f>
        <v>211.02657125735942</v>
      </c>
      <c r="CJ44" s="573">
        <f>2*(CH44*$BS44-CI44*$BT44 )/$BQ$38 + $BF44/2</f>
        <v>0.74098920291526837</v>
      </c>
      <c r="CK44" s="573">
        <f t="shared" ref="CK44" si="4">CH44*(CJ44-$BG44/3)+CI44*(-$BF44+CJ44+$BG44/3)+(CH44-CI44)*(CJ44-$BG44)</f>
        <v>44.50425275544967</v>
      </c>
      <c r="CL44" s="573">
        <f t="shared" ref="CL44" si="5">CH44-CK44/3</f>
        <v>286.04094740296421</v>
      </c>
      <c r="CM44" s="602">
        <f t="shared" ref="CM44" si="6" xml:space="preserve"> ($BQ$38-CL44*($BP44+$BR44+$BQ44+$BN44))/($BP44+$BR44+$BQ44+$BO44)</f>
        <v>217.33558222341929</v>
      </c>
      <c r="CN44" s="573">
        <f>2*(CL44*$BS44-CM44*$BT44 )/$BQ$38 + $BF44/2</f>
        <v>0.73191863709177807</v>
      </c>
      <c r="CO44" s="573">
        <f t="shared" ref="CO44" si="7">CL44*(CN44-$BG44/3)+CM44*(-$BF44+CN44+$BG44/3)+(CL44-CM44)*(CN44-$BG44)</f>
        <v>22.269688624343171</v>
      </c>
      <c r="CP44" s="573">
        <f t="shared" ref="CP44" si="8">CL44-CO44/3</f>
        <v>278.6177178615165</v>
      </c>
      <c r="CQ44" s="602">
        <f t="shared" ref="CQ44" si="9" xml:space="preserve"> ($BQ$38-CP44*($BP44+$BR44+$BQ44+$BN44))/($BP44+$BR44+$BQ44+$BO44)</f>
        <v>220.49257736529398</v>
      </c>
      <c r="CR44" s="573">
        <f>2*(CP44*$BS44-CQ44*$BT44 )/$BQ$38 + $BF44/2</f>
        <v>0.72737977475775084</v>
      </c>
      <c r="CS44" s="573">
        <f t="shared" ref="CS44" si="10">CP44*(CR44-$BG44/3)+CQ44*(-$BF44+CR44+$BG44/3)+(CP44-CQ44)*(CR44-$BG44)</f>
        <v>11.345684184168244</v>
      </c>
      <c r="CT44" s="573">
        <f>CP44-CS44/3</f>
        <v>274.83582313346039</v>
      </c>
      <c r="CU44" s="635">
        <f xml:space="preserve"> ($BQ$38-CT44*($BP44+$BR44+$BQ44+$BN44))/($BP44+$BR44+$BQ44+$BO44)</f>
        <v>222.1009640138397</v>
      </c>
      <c r="CV44" s="575">
        <f>2*(CT44*$BS44-CU44*$BT44 )/$BQ$38 + $BF44/2</f>
        <v>0.72506737158651835</v>
      </c>
      <c r="CW44">
        <f>CT44*(CV44-$BG44/3)+CU44*(-$BF44+CV44+$BG44/3)+(CT44-CU44)*(CV44-$BG44)</f>
        <v>5.8320796994604702</v>
      </c>
      <c r="CX44" s="576">
        <f>CV44/BE44</f>
        <v>0.34000081198085214</v>
      </c>
    </row>
    <row r="45" spans="1:102" x14ac:dyDescent="0.25">
      <c r="A45" s="186">
        <v>1</v>
      </c>
      <c r="B45" s="187">
        <f>A45/100*'Inputs-Imperial'!$E$5</f>
        <v>9.8425200000000004E-2</v>
      </c>
      <c r="C45" s="188">
        <f>'Inputs-Imperial'!$E$10+('Inputs-Imperial'!$E$9-'Inputs-Imperial'!$E$10)*(100-A45)/100</f>
        <v>2.1227034800000002</v>
      </c>
      <c r="D45" s="187">
        <f>B45-B44</f>
        <v>9.8425200000000004E-2</v>
      </c>
      <c r="E45" s="188">
        <f>D45*AVERAGE(C44:C45)</f>
        <v>0.20941189055944801</v>
      </c>
      <c r="F45" s="423">
        <f>Sizing!F61</f>
        <v>119.6467004745565</v>
      </c>
      <c r="G45" s="423">
        <f>Sizing!G61</f>
        <v>1196.4670047455641</v>
      </c>
      <c r="H45" s="423">
        <f>Sizing!H61</f>
        <v>5154.9487187380919</v>
      </c>
      <c r="I45" s="423">
        <f>Sizing!I61</f>
        <v>-1126.4054492731311</v>
      </c>
      <c r="J45" s="189">
        <f>Sizing!J61</f>
        <v>515.4948718738093</v>
      </c>
      <c r="K45" s="128">
        <v>1</v>
      </c>
      <c r="L45" s="12">
        <f t="shared" ref="L45:N108" si="11">B45*12</f>
        <v>1.1811024000000001</v>
      </c>
      <c r="M45" s="11">
        <f t="shared" si="11"/>
        <v>25.472441760000002</v>
      </c>
      <c r="N45" s="11">
        <f t="shared" si="11"/>
        <v>1.1811024000000001</v>
      </c>
      <c r="O45" s="152">
        <f>E45*12*12</f>
        <v>30.155312240560512</v>
      </c>
      <c r="P45" s="170">
        <f t="shared" si="0"/>
        <v>4.5850395168000002</v>
      </c>
      <c r="Q45" s="8">
        <f t="shared" si="1"/>
        <v>2.2925197584000001</v>
      </c>
      <c r="R45" s="170">
        <f>Sizing!X61</f>
        <v>6.3681104400000006</v>
      </c>
      <c r="S45" s="8">
        <f>Sizing!Y61</f>
        <v>19.10433132</v>
      </c>
      <c r="T45" s="8">
        <f>Sizing!Z61</f>
        <v>12.736220879999999</v>
      </c>
      <c r="U45" s="17">
        <f>Sizing!CN61</f>
        <v>0.25</v>
      </c>
      <c r="V45" s="17">
        <f>Sizing!CO61</f>
        <v>2.3622047244094495E-2</v>
      </c>
      <c r="W45" s="17">
        <f>Sizing!CP61</f>
        <v>1.5748031496062995E-2</v>
      </c>
      <c r="X45" s="170">
        <f>Sizing!DU61</f>
        <v>0.41283788277202987</v>
      </c>
      <c r="Y45" s="170">
        <f>Sizing!DV61</f>
        <v>0.64252461647164139</v>
      </c>
      <c r="Z45" s="170">
        <f>Sizing!DW61</f>
        <v>0.41283788277202987</v>
      </c>
      <c r="AA45" s="272">
        <f>Sizing!DX61</f>
        <v>0.64252461647164139</v>
      </c>
      <c r="AB45" s="272">
        <f t="shared" ref="AB45:AB108" si="12">P45-2*(U45+V45+W45)-Y45/2-AA45/2</f>
        <v>3.3637747428480438</v>
      </c>
      <c r="AC45" s="216">
        <f>Sizing!GJ61</f>
        <v>0.25</v>
      </c>
      <c r="AD45" s="216">
        <f>Sizing!GK61</f>
        <v>2.3622047244094495E-2</v>
      </c>
      <c r="AE45" s="17">
        <f>Sizing!GL61</f>
        <v>2.3622047244094495E-2</v>
      </c>
      <c r="AF45" s="170">
        <f>Sizing!JC61</f>
        <v>6.3945696655626945E-3</v>
      </c>
      <c r="AG45" s="272">
        <f>Sizing!JD61</f>
        <v>7.9966053207362275E-2</v>
      </c>
      <c r="AH45" s="170">
        <f>Sizing!JC61</f>
        <v>6.3945696655626945E-3</v>
      </c>
      <c r="AI45" s="272">
        <f>Sizing!JD61</f>
        <v>7.9966053207362275E-2</v>
      </c>
      <c r="AJ45" s="216">
        <f>Sizing!IT61</f>
        <v>0.25</v>
      </c>
      <c r="AK45" s="216">
        <f>Sizing!IU61</f>
        <v>1.5748031496062995E-2</v>
      </c>
      <c r="AL45" s="17">
        <f>Sizing!IV61</f>
        <v>1.5748031496062995E-2</v>
      </c>
      <c r="AM45" s="170">
        <f t="shared" ref="AM45:AM108" si="13">(X45*AB45/2-Z45*AB45/2)/(X45+Z45)</f>
        <v>0</v>
      </c>
      <c r="AN45" s="11">
        <f t="shared" ref="AN45:AN108" si="14">X45*((AB45/2-AM45)^2)</f>
        <v>1.1678131504351303</v>
      </c>
      <c r="AO45" s="11">
        <f t="shared" ref="AO45:AO108" si="15">Z45*((AB45/2+AM45)^2)</f>
        <v>1.1678131504351303</v>
      </c>
      <c r="AP45" s="11">
        <f t="shared" ref="AP45:AP108" si="16">AN45+AO45</f>
        <v>2.3356263008702607</v>
      </c>
      <c r="AQ45" s="555">
        <f t="shared" ref="AQ45:AQ108" si="17">AP45*$E$23</f>
        <v>37263002.416818298</v>
      </c>
      <c r="AR45" s="311">
        <f t="shared" ref="AR45:AR108" si="18">((X45+Z45)*R45+(AF45+AH45)*S45)/(X45+Z45+AF45+AH45)</f>
        <v>6.5623765356221604</v>
      </c>
      <c r="AS45" s="11">
        <f t="shared" ref="AS45:AS108" si="19">(X45+Z45)*(AR45-R45)^2</f>
        <v>3.1160438553676662E-2</v>
      </c>
      <c r="AT45" s="11">
        <f t="shared" ref="AT45:AT108" si="20">(AF45+AH45)*(S45-AR45)^2</f>
        <v>2.0117396715570699</v>
      </c>
      <c r="AU45" s="11">
        <f t="shared" ref="AU45:AU108" si="21">AS45+AT45</f>
        <v>2.0429001101107467</v>
      </c>
      <c r="AV45" s="555">
        <f t="shared" ref="AV45:AV108" si="22">AU45*$E$23</f>
        <v>32592796.078726672</v>
      </c>
      <c r="AW45" s="138">
        <f t="shared" ref="AW45:AW108" si="23">V45+W45</f>
        <v>3.9370078740157494E-2</v>
      </c>
      <c r="AX45" s="138">
        <f t="shared" ref="AX45:AX108" si="24">AD45+AE45</f>
        <v>4.724409448818899E-2</v>
      </c>
      <c r="AY45" s="554">
        <f t="shared" ref="AY45:AY108" si="25">AK45+AL45</f>
        <v>3.1496062992125991E-2</v>
      </c>
      <c r="AZ45" s="12">
        <f t="shared" ref="AZ45:AZ108" si="26">PI()*S45*P45</f>
        <v>275.18502517909059</v>
      </c>
      <c r="BA45" s="11">
        <f t="shared" ref="BA45:BA108" si="27">PI()*(3*(S45+P45)-SQRT((3*S45+P45)*(S45+3*P45)))</f>
        <v>81.583832275440628</v>
      </c>
      <c r="BB45">
        <f t="shared" ref="BB45:BB108" si="28">4*(AZ45^2)*AW45/BA45</f>
        <v>146.17455052588849</v>
      </c>
      <c r="BC45" s="555">
        <f t="shared" ref="BC45:BC108" si="29">BB45*$E$25</f>
        <v>551222475.93851924</v>
      </c>
      <c r="BD45">
        <f t="shared" ref="BD45:BD108" si="30">K45</f>
        <v>1</v>
      </c>
      <c r="BE45" s="207">
        <f t="shared" ref="BE45:BE108" si="31">C45</f>
        <v>2.1227034800000002</v>
      </c>
      <c r="BF45" s="207">
        <f>'Inputs-Imperial'!$E$15*BE45</f>
        <v>1.5920276100000001</v>
      </c>
      <c r="BG45" s="207">
        <f>'Inputs-Imperial'!$E$12*BE45</f>
        <v>0.53067587000000005</v>
      </c>
      <c r="BH45">
        <f>'Inputs-Imperial'!$E$11*BE45</f>
        <v>0.38208662640000002</v>
      </c>
      <c r="BI45">
        <f t="shared" ref="BI45:BI108" si="32">BH45 /SQRT(1 - ((BG45-BF45/2)/(BF45/2))^2)</f>
        <v>0.4052640667921964</v>
      </c>
      <c r="BJ45">
        <f>'Weight '!U47+'Weight '!V47 /12</f>
        <v>2.4934383202099744E-2</v>
      </c>
      <c r="BK45">
        <f>('Weight '!AK47+'Weight '!AL47)/12</f>
        <v>3.9370078740157488E-3</v>
      </c>
      <c r="BL45">
        <f>'Weight '!AG47/12</f>
        <v>5.3543718039303446E-2</v>
      </c>
      <c r="BM45">
        <f>'Weight '!AI47/12</f>
        <v>5.3543718039303446E-2</v>
      </c>
      <c r="BN45" s="554">
        <f t="shared" ref="BN45:BN108" si="33">(SQRT(BH45^2/4+BG45^2/4)/SQRT(1+BF45^2/4+BI45^2/4))*PI()*(BF45/2+BI45/2)*(1+3*((BF45/2-BI45/2)^2)/((BF45/2+BI45/2)^2)/(10+SQRT(4-3*((BF45/2-BI45/2)^2)/((BF45/2+BI45/2)^2))))</f>
        <v>0.86432372520441603</v>
      </c>
      <c r="BO45" s="554">
        <f t="shared" ref="BO45:BO108" si="34">PI()*(BF45/2+BI45/2)*(1+3*((BF45/2-BI45/2)^2)/((BF45/2+BI45/2)^2)/(10+SQRT(4-3*((BF45/2-BI45/2)^2)/((BF45/2+BI45/2)^2))))-BN45</f>
        <v>2.5566694376916024</v>
      </c>
      <c r="BP45">
        <f t="shared" ref="BP45:BQ108" si="35">BL45</f>
        <v>5.3543718039303446E-2</v>
      </c>
      <c r="BQ45">
        <f t="shared" si="35"/>
        <v>5.3543718039303446E-2</v>
      </c>
      <c r="BR45">
        <f t="shared" ref="BR45:BR108" si="36">BH45-BP45-BQ45</f>
        <v>0.27499919032139308</v>
      </c>
      <c r="BS45">
        <f t="shared" ref="BS45:BS108" si="37">3/4*BH45*BG45</f>
        <v>0.15207311466013876</v>
      </c>
      <c r="BT45">
        <f t="shared" ref="BT45:BT108" si="38">PI()/4*BF45*BI45-BS45</f>
        <v>0.35465917019695981</v>
      </c>
      <c r="BU45">
        <f t="shared" ref="BU45:BU108" si="39">PI()/4*(BF45/2)^3*(BI45/2)</f>
        <v>8.0271205059445461E-2</v>
      </c>
      <c r="BV45">
        <f t="shared" ref="BV45:BV108" si="40">$BQ$38/(BP45+BR45+BQ45+BN45)/2</f>
        <v>401.15199569418314</v>
      </c>
      <c r="BW45" s="207">
        <f t="shared" ref="BW45:BW108" si="41" xml:space="preserve"> ($BQ$38-BV45*($BP45+$BR45+$BQ45+$BN45))/($BP45+$BR45+$BQ45+$BO45)</f>
        <v>170.14001471896742</v>
      </c>
      <c r="BX45">
        <f t="shared" ref="BX45:BX108" si="42">2*(BV45*$BS45-BW45*$BT45 )/$BQ$38 + $BF45/2</f>
        <v>0.79733923899963499</v>
      </c>
      <c r="BY45" s="575">
        <f t="shared" ref="BY45:BY108" si="43">BV45*(BX45-$BG45/3)+BW45*(-$BF45+BX45+$BG45/3)+(BV45+BW45)*($BG45-BX45)</f>
        <v>-8.5608776765035088</v>
      </c>
      <c r="BZ45">
        <f t="shared" ref="BZ45:BZ108" si="44">BV45-BY45/3</f>
        <v>404.00562158635097</v>
      </c>
      <c r="CA45" s="207">
        <f t="shared" ref="CA45:CA108" si="45" xml:space="preserve"> ($BQ$38-BZ45*($BP45+$BR45+$BQ45+$BN45))/($BP45+$BR45+$BQ45+$BO45)</f>
        <v>168.92971050383898</v>
      </c>
      <c r="CB45">
        <f t="shared" ref="CB45:CB108" si="46">2*(BZ45*$BS45-CA45*$BT45 )/$BQ$38 + $BF45/2</f>
        <v>0.79906564953187531</v>
      </c>
      <c r="CC45">
        <f t="shared" ref="CC45:CC108" si="47">BZ45*(CB45-$BG45/3)+CA45*(-$BF45+CB45+$BG45/3)+(BZ45-CA45)*(CB45-$BG45)</f>
        <v>210.38111407709482</v>
      </c>
      <c r="CD45">
        <f t="shared" ref="CD45:CD108" si="48">BZ45-CC45/3</f>
        <v>333.87858356065271</v>
      </c>
      <c r="CE45" s="207">
        <f t="shared" ref="CE45:CE108" si="49" xml:space="preserve"> ($BQ$38-CD45*($BP45+$BR45+$BQ45+$BN45))/($BP45+$BR45+$BQ45+$BO45)</f>
        <v>198.67258953711632</v>
      </c>
      <c r="CF45">
        <f t="shared" ref="CF45:CF108" si="50">2*(CD45*$BS45-CE45*$BT45 )/$BQ$38 + $BF45/2</f>
        <v>0.75663960574853806</v>
      </c>
      <c r="CG45">
        <f t="shared" ref="CG45:CG108" si="51">CD45*(CF45-$BG45/3)+CE45*(-$BF45+CF45+$BG45/3)+(CD45-CE45)*(CF45-$BG45)</f>
        <v>93.29186042959887</v>
      </c>
      <c r="CH45">
        <f t="shared" ref="CH45:CH108" si="52">CD45-CG45/3</f>
        <v>302.7812967507864</v>
      </c>
      <c r="CI45" s="207">
        <f t="shared" ref="CI45" si="53" xml:space="preserve"> ($BQ$38-CH45*($BP45+$BR45+$BQ45+$BN45))/($BP45+$BR45+$BQ45+$BO45)</f>
        <v>211.86183673603617</v>
      </c>
      <c r="CJ45">
        <f t="shared" ref="CJ45:CJ108" si="54">2*(CH45*$BS45-CI45*$BT45 )/$BQ$38 + $BF45/2</f>
        <v>0.73782610828904305</v>
      </c>
      <c r="CK45">
        <f t="shared" ref="CK45:CK108" si="55">CH45*(CJ45-$BG45/3)+CI45*(-$BF45+CJ45+$BG45/3)+(CH45-CI45)*(CJ45-$BG45)</f>
        <v>45.178313375259577</v>
      </c>
      <c r="CL45">
        <f t="shared" ref="CL45:CL108" si="56">CH45-CK45/3</f>
        <v>287.72185895903323</v>
      </c>
      <c r="CM45" s="207">
        <f t="shared" ref="CM45" si="57" xml:space="preserve"> ($BQ$38-CL45*($BP45+$BR45+$BQ45+$BN45))/($BP45+$BR45+$BQ45+$BO45)</f>
        <v>218.24897426757059</v>
      </c>
      <c r="CN45">
        <f t="shared" ref="CN45:CN108" si="58">2*(CL45*$BS45-CM45*$BT45 )/$BQ$38 + $BF45/2</f>
        <v>0.72871532327526234</v>
      </c>
      <c r="CO45">
        <f t="shared" ref="CO45:CO108" si="59">CL45*(CN45-$BG45/3)+CM45*(-$BF45+CN45+$BG45/3)+(CL45-CM45)*(CN45-$BG45)</f>
        <v>22.719484007828555</v>
      </c>
      <c r="CP45">
        <f t="shared" ref="CP45:CP108" si="60">CL45-CO45/3</f>
        <v>280.14869762309036</v>
      </c>
      <c r="CQ45" s="207">
        <f t="shared" ref="CQ45" si="61" xml:space="preserve"> ($BQ$38-CP45*($BP45+$BR45+$BQ45+$BN45))/($BP45+$BR45+$BQ45+$BO45)</f>
        <v>221.46096821250094</v>
      </c>
      <c r="CR45">
        <f t="shared" ref="CR45:CR108" si="62">2*(CP45*$BS45-CQ45*$BT45 )/$BQ$38 + $BF45/2</f>
        <v>0.72413364859652785</v>
      </c>
      <c r="CS45">
        <f t="shared" ref="CS45:CS108" si="63">CP45*(CR45-$BG45/3)+CQ45*(-$BF45+CR45+$BG45/3)+(CP45-CQ45)*(CR45-$BG45)</f>
        <v>11.63267203606166</v>
      </c>
      <c r="CT45">
        <f t="shared" ref="CT45:CT108" si="64">CP45-CS45/3</f>
        <v>276.27114027773649</v>
      </c>
      <c r="CU45" s="636">
        <f t="shared" ref="CU45:CU108" si="65" xml:space="preserve"> ($BQ$38-CT45*($BP45+$BR45+$BQ45+$BN45))/($BP45+$BR45+$BQ45+$BO45)</f>
        <v>223.10555099133148</v>
      </c>
      <c r="CV45" s="575">
        <f t="shared" ref="CV45:CV108" si="66">2*(CT45*$BS45-CU45*$BT45 )/$BQ$38 + $BF45/2</f>
        <v>0.72178777142364481</v>
      </c>
      <c r="CW45">
        <f t="shared" ref="CW45:CW108" si="67">CT45*(CV45-$BG45/3)+CU45*(-$BF45+CV45+$BG45/3)+(CT45-CU45)*(CV45-$BG45)</f>
        <v>6.0098037121763301</v>
      </c>
      <c r="CX45" s="576">
        <f t="shared" ref="CX45:CX108" si="68">CV45/BE45</f>
        <v>0.3400323117309087</v>
      </c>
    </row>
    <row r="46" spans="1:102" x14ac:dyDescent="0.25">
      <c r="A46" s="186">
        <v>2</v>
      </c>
      <c r="B46" s="187">
        <f>A46/100*'Inputs-Imperial'!$E$5</f>
        <v>0.19685040000000001</v>
      </c>
      <c r="C46" s="188">
        <f>'Inputs-Imperial'!$E$10+('Inputs-Imperial'!$E$9-'Inputs-Imperial'!$E$10)*(100-A46)/100</f>
        <v>2.1128609599999999</v>
      </c>
      <c r="D46" s="187">
        <f t="shared" ref="D46:D109" si="69">B46-B45</f>
        <v>9.8425200000000004E-2</v>
      </c>
      <c r="E46" s="188">
        <f t="shared" ref="E46:E109" si="70">D46*AVERAGE(C45:C46)</f>
        <v>0.20844313855994401</v>
      </c>
      <c r="F46" s="423">
        <f>Sizing!F62</f>
        <v>118.0925180353431</v>
      </c>
      <c r="G46" s="423">
        <f>Sizing!G62</f>
        <v>1180.9251803534303</v>
      </c>
      <c r="H46" s="423">
        <f>Sizing!H62</f>
        <v>5037.1862145026089</v>
      </c>
      <c r="I46" s="423">
        <f>Sizing!I62</f>
        <v>-1108.4499800077406</v>
      </c>
      <c r="J46" s="189">
        <f>Sizing!J62</f>
        <v>503.71862145026103</v>
      </c>
      <c r="K46" s="128">
        <v>2</v>
      </c>
      <c r="L46" s="12">
        <f t="shared" si="11"/>
        <v>2.3622048000000002</v>
      </c>
      <c r="M46" s="11">
        <f t="shared" si="11"/>
        <v>25.354331519999999</v>
      </c>
      <c r="N46" s="11">
        <f t="shared" si="11"/>
        <v>1.1811024000000001</v>
      </c>
      <c r="O46" s="152">
        <f t="shared" ref="O46:O109" si="71">E46*12*12</f>
        <v>30.015811952631935</v>
      </c>
      <c r="P46" s="170">
        <f t="shared" si="0"/>
        <v>4.5637796736</v>
      </c>
      <c r="Q46" s="8">
        <f t="shared" si="1"/>
        <v>2.2818898368</v>
      </c>
      <c r="R46" s="170">
        <f>Sizing!X62</f>
        <v>6.3385828799999997</v>
      </c>
      <c r="S46" s="8">
        <f>Sizing!Y62</f>
        <v>19.015748639999998</v>
      </c>
      <c r="T46" s="8">
        <f>Sizing!Z62</f>
        <v>12.677165759999998</v>
      </c>
      <c r="U46" s="17">
        <f>Sizing!CN62</f>
        <v>0.25</v>
      </c>
      <c r="V46" s="17">
        <f>Sizing!CO62</f>
        <v>2.3622047244094495E-2</v>
      </c>
      <c r="W46" s="17">
        <f>Sizing!CP62</f>
        <v>1.5748031496062995E-2</v>
      </c>
      <c r="X46" s="170">
        <f>Sizing!DU62</f>
        <v>0.41283788277202987</v>
      </c>
      <c r="Y46" s="170">
        <f>Sizing!DV62</f>
        <v>0.64252461647164139</v>
      </c>
      <c r="Z46" s="170">
        <f>Sizing!DW62</f>
        <v>0.41283788277202987</v>
      </c>
      <c r="AA46" s="272">
        <f>Sizing!DX62</f>
        <v>0.64252461647164139</v>
      </c>
      <c r="AB46" s="272">
        <f t="shared" si="12"/>
        <v>3.3425148996480436</v>
      </c>
      <c r="AC46" s="216">
        <f>Sizing!GJ62</f>
        <v>0.25</v>
      </c>
      <c r="AD46" s="216">
        <f>Sizing!GK62</f>
        <v>2.3622047244094495E-2</v>
      </c>
      <c r="AE46" s="17">
        <f>Sizing!GL62</f>
        <v>2.3622047244094495E-2</v>
      </c>
      <c r="AF46" s="170">
        <f>Sizing!JC62</f>
        <v>6.3945696655626945E-3</v>
      </c>
      <c r="AG46" s="272">
        <f>Sizing!JD62</f>
        <v>7.9966053207362275E-2</v>
      </c>
      <c r="AH46" s="170">
        <f>Sizing!JC62</f>
        <v>6.3945696655626945E-3</v>
      </c>
      <c r="AI46" s="272">
        <f>Sizing!JD62</f>
        <v>7.9966053207362275E-2</v>
      </c>
      <c r="AJ46" s="216">
        <f>Sizing!IT62</f>
        <v>0.25</v>
      </c>
      <c r="AK46" s="216">
        <f>Sizing!IU62</f>
        <v>1.5748031496062995E-2</v>
      </c>
      <c r="AL46" s="17">
        <f>Sizing!IV62</f>
        <v>1.5748031496062995E-2</v>
      </c>
      <c r="AM46" s="170">
        <f t="shared" si="13"/>
        <v>0</v>
      </c>
      <c r="AN46" s="11">
        <f t="shared" si="14"/>
        <v>1.1530980945969</v>
      </c>
      <c r="AO46" s="11">
        <f t="shared" si="15"/>
        <v>1.1530980945969</v>
      </c>
      <c r="AP46" s="11">
        <f t="shared" si="16"/>
        <v>2.3061961891938001</v>
      </c>
      <c r="AQ46" s="555">
        <f t="shared" si="17"/>
        <v>36793469.117711939</v>
      </c>
      <c r="AR46" s="311">
        <f t="shared" si="18"/>
        <v>6.5319482054724434</v>
      </c>
      <c r="AS46" s="11">
        <f t="shared" si="19"/>
        <v>3.087213997787356E-2</v>
      </c>
      <c r="AT46" s="11">
        <f t="shared" si="20"/>
        <v>1.9931269141917467</v>
      </c>
      <c r="AU46" s="11">
        <f t="shared" si="21"/>
        <v>2.0239990541696202</v>
      </c>
      <c r="AV46" s="555">
        <f t="shared" si="22"/>
        <v>32291245.230051871</v>
      </c>
      <c r="AW46" s="138">
        <f t="shared" si="23"/>
        <v>3.9370078740157494E-2</v>
      </c>
      <c r="AX46" s="138">
        <f t="shared" si="24"/>
        <v>4.724409448818899E-2</v>
      </c>
      <c r="AY46" s="554">
        <f t="shared" si="25"/>
        <v>3.1496062992125991E-2</v>
      </c>
      <c r="AZ46" s="12">
        <f t="shared" si="26"/>
        <v>272.63899391239875</v>
      </c>
      <c r="BA46" s="11">
        <f t="shared" si="27"/>
        <v>81.205545572463294</v>
      </c>
      <c r="BB46">
        <f t="shared" si="28"/>
        <v>144.15062415338357</v>
      </c>
      <c r="BC46" s="555">
        <f t="shared" si="29"/>
        <v>543590273.87491965</v>
      </c>
      <c r="BD46">
        <f t="shared" si="30"/>
        <v>2</v>
      </c>
      <c r="BE46" s="207">
        <f t="shared" si="31"/>
        <v>2.1128609599999999</v>
      </c>
      <c r="BF46" s="207">
        <f>'Inputs-Imperial'!$E$15*BE46</f>
        <v>1.5846457199999999</v>
      </c>
      <c r="BG46" s="207">
        <f>'Inputs-Imperial'!$E$12*BE46</f>
        <v>0.52821523999999997</v>
      </c>
      <c r="BH46">
        <f>'Inputs-Imperial'!$E$11*BE46</f>
        <v>0.38031497279999998</v>
      </c>
      <c r="BI46">
        <f t="shared" si="32"/>
        <v>0.40338494438048605</v>
      </c>
      <c r="BJ46">
        <f>'Weight '!U48+'Weight '!V48 /12</f>
        <v>2.4934383202099744E-2</v>
      </c>
      <c r="BK46">
        <f>('Weight '!AK48+'Weight '!AL48)/12</f>
        <v>3.9370078740157488E-3</v>
      </c>
      <c r="BL46">
        <f>'Weight '!AG48/12</f>
        <v>5.3543718039303446E-2</v>
      </c>
      <c r="BM46">
        <f>'Weight '!AI48/12</f>
        <v>5.3543718039303446E-2</v>
      </c>
      <c r="BN46" s="554">
        <f t="shared" si="33"/>
        <v>0.85792737430724053</v>
      </c>
      <c r="BO46" s="554">
        <f t="shared" si="34"/>
        <v>2.5472033782507744</v>
      </c>
      <c r="BP46">
        <f t="shared" si="35"/>
        <v>5.3543718039303446E-2</v>
      </c>
      <c r="BQ46">
        <f t="shared" si="35"/>
        <v>5.3543718039303446E-2</v>
      </c>
      <c r="BR46">
        <f t="shared" si="36"/>
        <v>0.27322753672139305</v>
      </c>
      <c r="BS46">
        <f t="shared" si="37"/>
        <v>0.15066612347485911</v>
      </c>
      <c r="BT46">
        <f t="shared" si="38"/>
        <v>0.35137783853382576</v>
      </c>
      <c r="BU46">
        <f t="shared" si="39"/>
        <v>7.8792726635216637E-2</v>
      </c>
      <c r="BV46">
        <f t="shared" si="40"/>
        <v>403.79817502453454</v>
      </c>
      <c r="BW46" s="207">
        <f t="shared" si="41"/>
        <v>170.79312237975725</v>
      </c>
      <c r="BX46">
        <f t="shared" si="42"/>
        <v>0.79397443503785392</v>
      </c>
      <c r="BY46" s="575">
        <f t="shared" si="43"/>
        <v>-8.1643169255237638</v>
      </c>
      <c r="BZ46">
        <f t="shared" si="44"/>
        <v>406.51961399970912</v>
      </c>
      <c r="CA46" s="207">
        <f t="shared" si="45"/>
        <v>169.64204471600161</v>
      </c>
      <c r="CB46">
        <f t="shared" si="46"/>
        <v>0.79560341872212992</v>
      </c>
      <c r="CC46">
        <f t="shared" si="47"/>
        <v>211.20445978053095</v>
      </c>
      <c r="CD46">
        <f t="shared" si="48"/>
        <v>336.11812740619882</v>
      </c>
      <c r="CE46" s="207">
        <f t="shared" si="49"/>
        <v>199.41951885825512</v>
      </c>
      <c r="CF46">
        <f t="shared" si="50"/>
        <v>0.75346289157610313</v>
      </c>
      <c r="CG46">
        <f t="shared" si="51"/>
        <v>94.220734234288457</v>
      </c>
      <c r="CH46">
        <f t="shared" si="52"/>
        <v>304.71121599476936</v>
      </c>
      <c r="CI46" s="207">
        <f t="shared" ref="CI46" si="72" xml:space="preserve"> ($BQ$38-CH46*($BP46+$BR46+$BQ46+$BN46))/($BP46+$BR46+$BQ46+$BO46)</f>
        <v>212.70359193247478</v>
      </c>
      <c r="CJ46">
        <f t="shared" si="54"/>
        <v>0.73466351862325696</v>
      </c>
      <c r="CK46">
        <f t="shared" si="55"/>
        <v>45.860819327761405</v>
      </c>
      <c r="CL46">
        <f t="shared" si="56"/>
        <v>289.42427621884889</v>
      </c>
      <c r="CM46" s="207">
        <f t="shared" ref="CM46" si="73" xml:space="preserve"> ($BQ$38-CL46*($BP46+$BR46+$BQ46+$BN46))/($BP46+$BR46+$BQ46+$BO46)</f>
        <v>219.16945616230234</v>
      </c>
      <c r="CN46">
        <f t="shared" si="58"/>
        <v>0.72551314791693389</v>
      </c>
      <c r="CO46">
        <f t="shared" si="59"/>
        <v>23.176739267480407</v>
      </c>
      <c r="CP46">
        <f t="shared" si="60"/>
        <v>281.69869646302209</v>
      </c>
      <c r="CQ46" s="207">
        <f t="shared" ref="CQ46" si="74" xml:space="preserve"> ($BQ$38-CP46*($BP46+$BR46+$BQ46+$BN46))/($BP46+$BR46+$BQ46+$BO46)</f>
        <v>222.43711800503189</v>
      </c>
      <c r="CR46">
        <f t="shared" si="62"/>
        <v>0.72088881369940572</v>
      </c>
      <c r="CS46">
        <f t="shared" si="63"/>
        <v>11.925692694697061</v>
      </c>
      <c r="CT46">
        <f t="shared" si="64"/>
        <v>277.72346556478976</v>
      </c>
      <c r="CU46" s="636">
        <f t="shared" si="65"/>
        <v>224.1185077172274</v>
      </c>
      <c r="CV46" s="575">
        <f t="shared" si="66"/>
        <v>0.71850934227508889</v>
      </c>
      <c r="CW46">
        <f t="shared" si="67"/>
        <v>6.1921008948860443</v>
      </c>
      <c r="CX46" s="576">
        <f t="shared" si="68"/>
        <v>0.34006465918850093</v>
      </c>
    </row>
    <row r="47" spans="1:102" x14ac:dyDescent="0.25">
      <c r="A47" s="186">
        <v>3</v>
      </c>
      <c r="B47" s="187">
        <f>A47/100*'Inputs-Imperial'!$E$5</f>
        <v>0.29527560000000003</v>
      </c>
      <c r="C47" s="188">
        <f>'Inputs-Imperial'!$E$10+('Inputs-Imperial'!$E$9-'Inputs-Imperial'!$E$10)*(100-A47)/100</f>
        <v>2.10301844</v>
      </c>
      <c r="D47" s="187">
        <f t="shared" si="69"/>
        <v>9.8425200000000018E-2</v>
      </c>
      <c r="E47" s="188">
        <f t="shared" si="70"/>
        <v>0.20747438656044007</v>
      </c>
      <c r="F47" s="423">
        <f>Sizing!F63</f>
        <v>116.54212680447908</v>
      </c>
      <c r="G47" s="423">
        <f>Sizing!G63</f>
        <v>1165.4212680447899</v>
      </c>
      <c r="H47" s="423">
        <f>Sizing!H63</f>
        <v>4920.9534174412865</v>
      </c>
      <c r="I47" s="423">
        <f>Sizing!I63</f>
        <v>-1090.5825019030292</v>
      </c>
      <c r="J47" s="189">
        <f>Sizing!J63</f>
        <v>492.09534174412875</v>
      </c>
      <c r="K47" s="128">
        <v>3</v>
      </c>
      <c r="L47" s="12">
        <f t="shared" si="11"/>
        <v>3.5433072000000001</v>
      </c>
      <c r="M47" s="11">
        <f t="shared" si="11"/>
        <v>25.236221280000002</v>
      </c>
      <c r="N47" s="11">
        <f t="shared" si="11"/>
        <v>1.1811024000000003</v>
      </c>
      <c r="O47" s="152">
        <f t="shared" si="71"/>
        <v>29.876311664703373</v>
      </c>
      <c r="P47" s="170">
        <f t="shared" si="0"/>
        <v>4.5425198303999998</v>
      </c>
      <c r="Q47" s="8">
        <f t="shared" si="1"/>
        <v>2.2712599151999999</v>
      </c>
      <c r="R47" s="170">
        <f>Sizing!X63</f>
        <v>6.3090553200000006</v>
      </c>
      <c r="S47" s="8">
        <f>Sizing!Y63</f>
        <v>18.927165960000004</v>
      </c>
      <c r="T47" s="8">
        <f>Sizing!Z63</f>
        <v>12.618110640000003</v>
      </c>
      <c r="U47" s="17">
        <f>Sizing!CN63</f>
        <v>0.25</v>
      </c>
      <c r="V47" s="17">
        <f>Sizing!CO63</f>
        <v>2.3622047244094495E-2</v>
      </c>
      <c r="W47" s="17">
        <f>Sizing!CP63</f>
        <v>1.5748031496062995E-2</v>
      </c>
      <c r="X47" s="170">
        <f>Sizing!DU63</f>
        <v>0.41283788277202987</v>
      </c>
      <c r="Y47" s="170">
        <f>Sizing!DV63</f>
        <v>0.64252461647164139</v>
      </c>
      <c r="Z47" s="170">
        <f>Sizing!DW63</f>
        <v>0.41283788277202987</v>
      </c>
      <c r="AA47" s="272">
        <f>Sizing!DX63</f>
        <v>0.64252461647164139</v>
      </c>
      <c r="AB47" s="272">
        <f t="shared" si="12"/>
        <v>3.3212550564480434</v>
      </c>
      <c r="AC47" s="216">
        <f>Sizing!GJ63</f>
        <v>0.25</v>
      </c>
      <c r="AD47" s="216">
        <f>Sizing!GK63</f>
        <v>2.3622047244094495E-2</v>
      </c>
      <c r="AE47" s="17">
        <f>Sizing!GL63</f>
        <v>2.3622047244094495E-2</v>
      </c>
      <c r="AF47" s="170">
        <f>Sizing!JC63</f>
        <v>6.3945696655626945E-3</v>
      </c>
      <c r="AG47" s="272">
        <f>Sizing!JD63</f>
        <v>7.9966053207362275E-2</v>
      </c>
      <c r="AH47" s="170">
        <f>Sizing!JC63</f>
        <v>6.3945696655626945E-3</v>
      </c>
      <c r="AI47" s="272">
        <f>Sizing!JD63</f>
        <v>7.9966053207362275E-2</v>
      </c>
      <c r="AJ47" s="216">
        <f>Sizing!IT63</f>
        <v>0.25</v>
      </c>
      <c r="AK47" s="216">
        <f>Sizing!IU63</f>
        <v>1.5748031496062995E-2</v>
      </c>
      <c r="AL47" s="17">
        <f>Sizing!IV63</f>
        <v>1.5748031496062995E-2</v>
      </c>
      <c r="AM47" s="170">
        <f t="shared" si="13"/>
        <v>0</v>
      </c>
      <c r="AN47" s="11">
        <f t="shared" si="14"/>
        <v>1.1384763361843633</v>
      </c>
      <c r="AO47" s="11">
        <f t="shared" si="15"/>
        <v>1.1384763361843633</v>
      </c>
      <c r="AP47" s="11">
        <f t="shared" si="16"/>
        <v>2.2769526723687266</v>
      </c>
      <c r="AQ47" s="555">
        <f t="shared" si="17"/>
        <v>36326912.78645169</v>
      </c>
      <c r="AR47" s="311">
        <f t="shared" si="18"/>
        <v>6.5015198753227281</v>
      </c>
      <c r="AS47" s="11">
        <f t="shared" si="19"/>
        <v>3.0585181287008354E-2</v>
      </c>
      <c r="AT47" s="11">
        <f t="shared" si="20"/>
        <v>1.9746006607336219</v>
      </c>
      <c r="AU47" s="11">
        <f t="shared" si="21"/>
        <v>2.0051858420206301</v>
      </c>
      <c r="AV47" s="555">
        <f t="shared" si="22"/>
        <v>31991095.857048698</v>
      </c>
      <c r="AW47" s="138">
        <f t="shared" si="23"/>
        <v>3.9370078740157494E-2</v>
      </c>
      <c r="AX47" s="138">
        <f t="shared" si="24"/>
        <v>4.724409448818899E-2</v>
      </c>
      <c r="AY47" s="554">
        <f t="shared" si="25"/>
        <v>3.1496062992125991E-2</v>
      </c>
      <c r="AZ47" s="12">
        <f t="shared" si="26"/>
        <v>270.10479547885961</v>
      </c>
      <c r="BA47" s="11">
        <f t="shared" si="27"/>
        <v>80.827258869486002</v>
      </c>
      <c r="BB47">
        <f t="shared" si="28"/>
        <v>142.14546666929022</v>
      </c>
      <c r="BC47" s="555">
        <f t="shared" si="29"/>
        <v>536028849.06429344</v>
      </c>
      <c r="BD47">
        <f t="shared" si="30"/>
        <v>3</v>
      </c>
      <c r="BE47" s="207">
        <f t="shared" si="31"/>
        <v>2.10301844</v>
      </c>
      <c r="BF47" s="207">
        <f>'Inputs-Imperial'!$E$15*BE47</f>
        <v>1.5772638300000001</v>
      </c>
      <c r="BG47" s="207">
        <f>'Inputs-Imperial'!$E$12*BE47</f>
        <v>0.52575461000000001</v>
      </c>
      <c r="BH47">
        <f>'Inputs-Imperial'!$E$11*BE47</f>
        <v>0.37854331920000001</v>
      </c>
      <c r="BI47">
        <f t="shared" si="32"/>
        <v>0.40150582196877571</v>
      </c>
      <c r="BJ47">
        <f>'Weight '!U49+'Weight '!V49 /12</f>
        <v>2.4934383202099744E-2</v>
      </c>
      <c r="BK47">
        <f>('Weight '!AK49+'Weight '!AL49)/12</f>
        <v>3.9370078740157488E-3</v>
      </c>
      <c r="BL47">
        <f>'Weight '!AG49/12</f>
        <v>5.3543718039303446E-2</v>
      </c>
      <c r="BM47">
        <f>'Weight '!AI49/12</f>
        <v>5.3543718039303446E-2</v>
      </c>
      <c r="BN47" s="554">
        <f t="shared" si="33"/>
        <v>0.85153992880226348</v>
      </c>
      <c r="BO47" s="554">
        <f t="shared" si="34"/>
        <v>2.5377284134177494</v>
      </c>
      <c r="BP47">
        <f t="shared" si="35"/>
        <v>5.3543718039303446E-2</v>
      </c>
      <c r="BQ47">
        <f t="shared" si="35"/>
        <v>5.3543718039303446E-2</v>
      </c>
      <c r="BR47">
        <f t="shared" si="36"/>
        <v>0.27145588312139307</v>
      </c>
      <c r="BS47">
        <f t="shared" si="37"/>
        <v>0.14926567136557614</v>
      </c>
      <c r="BT47">
        <f t="shared" si="38"/>
        <v>0.34811175705657782</v>
      </c>
      <c r="BU47">
        <f t="shared" si="39"/>
        <v>7.7334766432829799E-2</v>
      </c>
      <c r="BV47">
        <f t="shared" si="40"/>
        <v>406.47655417796568</v>
      </c>
      <c r="BW47" s="207">
        <f t="shared" si="41"/>
        <v>171.45178702232326</v>
      </c>
      <c r="BX47">
        <f t="shared" si="42"/>
        <v>0.7906091408458179</v>
      </c>
      <c r="BY47" s="575">
        <f t="shared" si="43"/>
        <v>-7.7646642222209152</v>
      </c>
      <c r="BZ47">
        <f t="shared" si="44"/>
        <v>409.06477558537267</v>
      </c>
      <c r="CA47" s="207">
        <f t="shared" si="45"/>
        <v>170.36007538250485</v>
      </c>
      <c r="CB47">
        <f t="shared" si="46"/>
        <v>0.79214188137212926</v>
      </c>
      <c r="CC47">
        <f t="shared" si="47"/>
        <v>212.03843481319734</v>
      </c>
      <c r="CD47">
        <f t="shared" si="48"/>
        <v>338.38529731430691</v>
      </c>
      <c r="CE47" s="207">
        <f t="shared" si="49"/>
        <v>200.17267522577666</v>
      </c>
      <c r="CF47">
        <f t="shared" si="50"/>
        <v>0.75028560879259865</v>
      </c>
      <c r="CG47">
        <f t="shared" si="51"/>
        <v>95.158219584927068</v>
      </c>
      <c r="CH47">
        <f t="shared" si="52"/>
        <v>306.66589078599787</v>
      </c>
      <c r="CI47" s="207">
        <f t="shared" ref="CI47" si="75" xml:space="preserve"> ($BQ$38-CH47*($BP47+$BR47+$BQ47+$BN47))/($BP47+$BR47+$BQ47+$BO47)</f>
        <v>213.55191906325788</v>
      </c>
      <c r="CJ47">
        <f t="shared" si="54"/>
        <v>0.7315014276103593</v>
      </c>
      <c r="CK47">
        <f t="shared" si="55"/>
        <v>46.551889534968844</v>
      </c>
      <c r="CL47">
        <f t="shared" si="56"/>
        <v>291.14859427434158</v>
      </c>
      <c r="CM47" s="207">
        <f t="shared" ref="CM47" si="76" xml:space="preserve"> ($BQ$38-CL47*($BP47+$BR47+$BQ47+$BN47))/($BP47+$BR47+$BQ47+$BO47)</f>
        <v>220.09711383361579</v>
      </c>
      <c r="CN47">
        <f t="shared" si="58"/>
        <v>0.72231210974360349</v>
      </c>
      <c r="CO47">
        <f t="shared" si="59"/>
        <v>23.641569502498129</v>
      </c>
      <c r="CP47">
        <f t="shared" si="60"/>
        <v>283.26807110684217</v>
      </c>
      <c r="CQ47" s="207">
        <f t="shared" ref="CQ47" si="77" xml:space="preserve"> ($BQ$38-CP47*($BP47+$BR47+$BQ47+$BN47))/($BP47+$BR47+$BQ47+$BO47)</f>
        <v>223.42111804948263</v>
      </c>
      <c r="CR47">
        <f t="shared" si="62"/>
        <v>0.7176452766848882</v>
      </c>
      <c r="CS47">
        <f t="shared" si="63"/>
        <v>12.224856220839039</v>
      </c>
      <c r="CT47">
        <f t="shared" si="64"/>
        <v>279.19311903322915</v>
      </c>
      <c r="CU47" s="636">
        <f t="shared" si="65"/>
        <v>225.13993259824355</v>
      </c>
      <c r="CV47" s="575">
        <f t="shared" si="66"/>
        <v>0.71523209666554033</v>
      </c>
      <c r="CW47">
        <f t="shared" si="67"/>
        <v>6.3790714877648362</v>
      </c>
      <c r="CX47" s="576">
        <f t="shared" si="68"/>
        <v>0.34009787221149629</v>
      </c>
    </row>
    <row r="48" spans="1:102" x14ac:dyDescent="0.25">
      <c r="A48" s="186">
        <v>4</v>
      </c>
      <c r="B48" s="187">
        <f>A48/100*'Inputs-Imperial'!$E$5</f>
        <v>0.39370080000000002</v>
      </c>
      <c r="C48" s="188">
        <f>'Inputs-Imperial'!$E$10+('Inputs-Imperial'!$E$9-'Inputs-Imperial'!$E$10)*(100-A48)/100</f>
        <v>2.0931759200000002</v>
      </c>
      <c r="D48" s="187">
        <f t="shared" si="69"/>
        <v>9.842519999999999E-2</v>
      </c>
      <c r="E48" s="188">
        <f t="shared" si="70"/>
        <v>0.20650563456093596</v>
      </c>
      <c r="F48" s="423">
        <f>Sizing!F64</f>
        <v>114.99560403490281</v>
      </c>
      <c r="G48" s="423">
        <f>Sizing!G64</f>
        <v>1149.9560403490273</v>
      </c>
      <c r="H48" s="423">
        <f>Sizing!H64</f>
        <v>4806.2465960497248</v>
      </c>
      <c r="I48" s="423">
        <f>Sizing!I64</f>
        <v>-1072.8045764457195</v>
      </c>
      <c r="J48" s="189">
        <f>Sizing!J64</f>
        <v>480.62465960497252</v>
      </c>
      <c r="K48" s="128">
        <v>4</v>
      </c>
      <c r="L48" s="12">
        <f t="shared" si="11"/>
        <v>4.7244096000000004</v>
      </c>
      <c r="M48" s="11">
        <f t="shared" si="11"/>
        <v>25.118111040000002</v>
      </c>
      <c r="N48" s="11">
        <f t="shared" si="11"/>
        <v>1.1811023999999999</v>
      </c>
      <c r="O48" s="152">
        <f t="shared" si="71"/>
        <v>29.736811376774778</v>
      </c>
      <c r="P48" s="170">
        <f t="shared" si="0"/>
        <v>4.5212599872000006</v>
      </c>
      <c r="Q48" s="8">
        <f t="shared" si="1"/>
        <v>2.2606299936000003</v>
      </c>
      <c r="R48" s="170">
        <f>Sizing!X64</f>
        <v>6.2795277600000006</v>
      </c>
      <c r="S48" s="8">
        <f>Sizing!Y64</f>
        <v>18.838583280000002</v>
      </c>
      <c r="T48" s="8">
        <f>Sizing!Z64</f>
        <v>12.559055520000001</v>
      </c>
      <c r="U48" s="17">
        <f>Sizing!CN64</f>
        <v>0.25</v>
      </c>
      <c r="V48" s="17">
        <f>Sizing!CO64</f>
        <v>2.3622047244094495E-2</v>
      </c>
      <c r="W48" s="17">
        <f>Sizing!CP64</f>
        <v>1.5748031496062995E-2</v>
      </c>
      <c r="X48" s="170">
        <f>Sizing!DU64</f>
        <v>0.41283788277202987</v>
      </c>
      <c r="Y48" s="170">
        <f>Sizing!DV64</f>
        <v>0.64252461647164139</v>
      </c>
      <c r="Z48" s="170">
        <f>Sizing!DW64</f>
        <v>0.41283788277202987</v>
      </c>
      <c r="AA48" s="272">
        <f>Sizing!DX64</f>
        <v>0.64252461647164139</v>
      </c>
      <c r="AB48" s="272">
        <f t="shared" si="12"/>
        <v>3.2999952132480441</v>
      </c>
      <c r="AC48" s="216">
        <f>Sizing!GJ64</f>
        <v>0.25</v>
      </c>
      <c r="AD48" s="216">
        <f>Sizing!GK64</f>
        <v>2.3622047244094495E-2</v>
      </c>
      <c r="AE48" s="17">
        <f>Sizing!GL64</f>
        <v>2.3622047244094495E-2</v>
      </c>
      <c r="AF48" s="170">
        <f>Sizing!JC64</f>
        <v>6.3945696655626945E-3</v>
      </c>
      <c r="AG48" s="272">
        <f>Sizing!JD64</f>
        <v>7.9966053207362275E-2</v>
      </c>
      <c r="AH48" s="170">
        <f>Sizing!JC64</f>
        <v>6.3945696655626945E-3</v>
      </c>
      <c r="AI48" s="272">
        <f>Sizing!JD64</f>
        <v>7.9966053207362275E-2</v>
      </c>
      <c r="AJ48" s="216">
        <f>Sizing!IT64</f>
        <v>0.25</v>
      </c>
      <c r="AK48" s="216">
        <f>Sizing!IU64</f>
        <v>1.5748031496062995E-2</v>
      </c>
      <c r="AL48" s="17">
        <f>Sizing!IV64</f>
        <v>1.5748031496062995E-2</v>
      </c>
      <c r="AM48" s="170">
        <f t="shared" si="13"/>
        <v>0</v>
      </c>
      <c r="AN48" s="11">
        <f t="shared" si="14"/>
        <v>1.1239478751975205</v>
      </c>
      <c r="AO48" s="11">
        <f t="shared" si="15"/>
        <v>1.1239478751975205</v>
      </c>
      <c r="AP48" s="11">
        <f t="shared" si="16"/>
        <v>2.247895750395041</v>
      </c>
      <c r="AQ48" s="555">
        <f t="shared" si="17"/>
        <v>35863333.423037551</v>
      </c>
      <c r="AR48" s="311">
        <f t="shared" si="18"/>
        <v>6.471091545173012</v>
      </c>
      <c r="AS48" s="11">
        <f t="shared" si="19"/>
        <v>3.0299562481081042E-2</v>
      </c>
      <c r="AT48" s="11">
        <f t="shared" si="20"/>
        <v>1.9561609111826932</v>
      </c>
      <c r="AU48" s="11">
        <f t="shared" si="21"/>
        <v>1.9864604736637743</v>
      </c>
      <c r="AV48" s="555">
        <f t="shared" si="22"/>
        <v>31692347.959717114</v>
      </c>
      <c r="AW48" s="138">
        <f t="shared" si="23"/>
        <v>3.9370078740157494E-2</v>
      </c>
      <c r="AX48" s="138">
        <f t="shared" si="24"/>
        <v>4.724409448818899E-2</v>
      </c>
      <c r="AY48" s="554">
        <f t="shared" si="25"/>
        <v>3.1496062992125991E-2</v>
      </c>
      <c r="AZ48" s="12">
        <f t="shared" si="26"/>
        <v>267.58242987847319</v>
      </c>
      <c r="BA48" s="11">
        <f t="shared" si="27"/>
        <v>80.448972166508696</v>
      </c>
      <c r="BB48">
        <f t="shared" si="28"/>
        <v>140.15899064089854</v>
      </c>
      <c r="BC48" s="555">
        <f t="shared" si="29"/>
        <v>528537871.79894078</v>
      </c>
      <c r="BD48">
        <f t="shared" si="30"/>
        <v>4</v>
      </c>
      <c r="BE48" s="207">
        <f t="shared" si="31"/>
        <v>2.0931759200000002</v>
      </c>
      <c r="BF48" s="207">
        <f>'Inputs-Imperial'!$E$15*BE48</f>
        <v>1.5698819400000001</v>
      </c>
      <c r="BG48" s="207">
        <f>'Inputs-Imperial'!$E$12*BE48</f>
        <v>0.52329398000000005</v>
      </c>
      <c r="BH48">
        <f>'Inputs-Imperial'!$E$11*BE48</f>
        <v>0.37677166560000003</v>
      </c>
      <c r="BI48">
        <f t="shared" si="32"/>
        <v>0.39962669955706542</v>
      </c>
      <c r="BJ48">
        <f>'Weight '!U50+'Weight '!V50 /12</f>
        <v>2.4934383202099744E-2</v>
      </c>
      <c r="BK48">
        <f>('Weight '!AK50+'Weight '!AL50)/12</f>
        <v>3.9370078740157488E-3</v>
      </c>
      <c r="BL48">
        <f>'Weight '!AG50/12</f>
        <v>5.3543718039303446E-2</v>
      </c>
      <c r="BM48">
        <f>'Weight '!AI50/12</f>
        <v>5.3543718039303446E-2</v>
      </c>
      <c r="BN48" s="554">
        <f t="shared" si="33"/>
        <v>0.84516151408563034</v>
      </c>
      <c r="BO48" s="554">
        <f t="shared" si="34"/>
        <v>2.5282444177963788</v>
      </c>
      <c r="BP48">
        <f t="shared" si="35"/>
        <v>5.3543718039303446E-2</v>
      </c>
      <c r="BQ48">
        <f t="shared" si="35"/>
        <v>5.3543718039303446E-2</v>
      </c>
      <c r="BR48">
        <f t="shared" si="36"/>
        <v>0.26968422952139309</v>
      </c>
      <c r="BS48">
        <f t="shared" si="37"/>
        <v>0.14787175833228985</v>
      </c>
      <c r="BT48">
        <f t="shared" si="38"/>
        <v>0.34486092576521599</v>
      </c>
      <c r="BU48">
        <f t="shared" si="39"/>
        <v>7.5897133734673841E-2</v>
      </c>
      <c r="BV48">
        <f t="shared" si="40"/>
        <v>409.18767761804799</v>
      </c>
      <c r="BW48" s="207">
        <f t="shared" si="41"/>
        <v>172.11608667427015</v>
      </c>
      <c r="BX48">
        <f t="shared" si="42"/>
        <v>0.78724334677542396</v>
      </c>
      <c r="BY48" s="575">
        <f t="shared" si="43"/>
        <v>-7.361887771202845</v>
      </c>
      <c r="BZ48">
        <f t="shared" si="44"/>
        <v>411.64164020844896</v>
      </c>
      <c r="CA48" s="207">
        <f t="shared" si="45"/>
        <v>171.08387954534697</v>
      </c>
      <c r="CB48">
        <f t="shared" si="46"/>
        <v>0.78868102611379631</v>
      </c>
      <c r="CC48">
        <f t="shared" si="47"/>
        <v>212.88317232844628</v>
      </c>
      <c r="CD48">
        <f t="shared" si="48"/>
        <v>340.68058276563352</v>
      </c>
      <c r="CE48" s="207">
        <f t="shared" si="49"/>
        <v>200.93213789081477</v>
      </c>
      <c r="CF48">
        <f t="shared" si="50"/>
        <v>0.74710775742842606</v>
      </c>
      <c r="CG48">
        <f t="shared" si="51"/>
        <v>96.104451382030987</v>
      </c>
      <c r="CH48">
        <f t="shared" si="52"/>
        <v>308.64576563828984</v>
      </c>
      <c r="CI48" s="207">
        <f t="shared" ref="CI48" si="78" xml:space="preserve"> ($BQ$38-CH48*($BP48+$BR48+$BQ48+$BN48))/($BP48+$BR48+$BQ48+$BO48)</f>
        <v>214.40690182647512</v>
      </c>
      <c r="CJ48">
        <f t="shared" si="54"/>
        <v>0.72833982882483961</v>
      </c>
      <c r="CK48">
        <f t="shared" si="55"/>
        <v>47.251645083254161</v>
      </c>
      <c r="CL48">
        <f t="shared" si="56"/>
        <v>292.89521727720512</v>
      </c>
      <c r="CM48" s="207">
        <f t="shared" ref="CM48" si="79" xml:space="preserve"> ($BQ$38-CL48*($BP48+$BR48+$BQ48+$BN48))/($BP48+$BR48+$BQ48+$BO48)</f>
        <v>221.03203473043862</v>
      </c>
      <c r="CN48">
        <f t="shared" si="58"/>
        <v>0.71911220732998005</v>
      </c>
      <c r="CO48">
        <f t="shared" si="59"/>
        <v>24.11409185995646</v>
      </c>
      <c r="CP48">
        <f t="shared" si="60"/>
        <v>284.85718665721964</v>
      </c>
      <c r="CQ48" s="207">
        <f t="shared" ref="CQ48" si="80" xml:space="preserve"> ($BQ$38-CP48*($BP48+$BR48+$BQ48+$BN48))/($BP48+$BR48+$BQ48+$BO48)</f>
        <v>224.41306121425967</v>
      </c>
      <c r="CR48">
        <f t="shared" si="62"/>
        <v>0.7144030440408734</v>
      </c>
      <c r="CS48">
        <f t="shared" si="63"/>
        <v>12.530274668405488</v>
      </c>
      <c r="CT48">
        <f t="shared" si="64"/>
        <v>280.68042843441782</v>
      </c>
      <c r="CU48" s="636">
        <f t="shared" si="65"/>
        <v>226.1699256547482</v>
      </c>
      <c r="CV48" s="575">
        <f t="shared" si="66"/>
        <v>0.71195604708102267</v>
      </c>
      <c r="CW48">
        <f t="shared" si="67"/>
        <v>6.5708177173208835</v>
      </c>
      <c r="CX48" s="576">
        <f t="shared" si="68"/>
        <v>0.34013196897517461</v>
      </c>
    </row>
    <row r="49" spans="1:102" x14ac:dyDescent="0.25">
      <c r="A49" s="186">
        <v>5</v>
      </c>
      <c r="B49" s="187">
        <f>A49/100*'Inputs-Imperial'!$E$5</f>
        <v>0.49212600000000006</v>
      </c>
      <c r="C49" s="188">
        <f>'Inputs-Imperial'!$E$10+('Inputs-Imperial'!$E$9-'Inputs-Imperial'!$E$10)*(100-A49)/100</f>
        <v>2.0833333999999999</v>
      </c>
      <c r="D49" s="187">
        <f t="shared" si="69"/>
        <v>9.8425200000000046E-2</v>
      </c>
      <c r="E49" s="188">
        <f t="shared" si="70"/>
        <v>0.2055368825614321</v>
      </c>
      <c r="F49" s="423">
        <f>Sizing!F65</f>
        <v>113.45302704919351</v>
      </c>
      <c r="G49" s="423">
        <f>Sizing!G65</f>
        <v>1134.5302704919343</v>
      </c>
      <c r="H49" s="423">
        <f>Sizing!H65</f>
        <v>4693.0619427871634</v>
      </c>
      <c r="I49" s="423">
        <f>Sizing!I65</f>
        <v>-1055.1177534401179</v>
      </c>
      <c r="J49" s="189">
        <f>Sizing!J65</f>
        <v>469.30619427871642</v>
      </c>
      <c r="K49" s="128">
        <v>5</v>
      </c>
      <c r="L49" s="12">
        <f t="shared" si="11"/>
        <v>5.9055120000000008</v>
      </c>
      <c r="M49" s="11">
        <f t="shared" si="11"/>
        <v>25.000000799999999</v>
      </c>
      <c r="N49" s="11">
        <f t="shared" si="11"/>
        <v>1.1811024000000006</v>
      </c>
      <c r="O49" s="152">
        <f t="shared" si="71"/>
        <v>29.597311088846222</v>
      </c>
      <c r="P49" s="170">
        <f t="shared" si="0"/>
        <v>4.5000001439999995</v>
      </c>
      <c r="Q49" s="8">
        <f t="shared" si="1"/>
        <v>2.2500000719999997</v>
      </c>
      <c r="R49" s="170">
        <f>Sizing!X65</f>
        <v>6.2500001999999997</v>
      </c>
      <c r="S49" s="8">
        <f>Sizing!Y65</f>
        <v>18.7500006</v>
      </c>
      <c r="T49" s="8">
        <f>Sizing!Z65</f>
        <v>12.500000400000001</v>
      </c>
      <c r="U49" s="17">
        <f>Sizing!CN65</f>
        <v>0.25</v>
      </c>
      <c r="V49" s="17">
        <f>Sizing!CO65</f>
        <v>2.3622047244094495E-2</v>
      </c>
      <c r="W49" s="17">
        <f>Sizing!CP65</f>
        <v>1.5748031496062995E-2</v>
      </c>
      <c r="X49" s="170">
        <f>Sizing!DU65</f>
        <v>0.41283788277202987</v>
      </c>
      <c r="Y49" s="170">
        <f>Sizing!DV65</f>
        <v>0.64252461647164139</v>
      </c>
      <c r="Z49" s="170">
        <f>Sizing!DW65</f>
        <v>0.41283788277202987</v>
      </c>
      <c r="AA49" s="272">
        <f>Sizing!DX65</f>
        <v>0.64252461647164139</v>
      </c>
      <c r="AB49" s="272">
        <f t="shared" si="12"/>
        <v>3.2787353700480431</v>
      </c>
      <c r="AC49" s="216">
        <f>Sizing!GJ65</f>
        <v>0.25</v>
      </c>
      <c r="AD49" s="216">
        <f>Sizing!GK65</f>
        <v>2.3622047244094495E-2</v>
      </c>
      <c r="AE49" s="17">
        <f>Sizing!GL65</f>
        <v>2.3622047244094495E-2</v>
      </c>
      <c r="AF49" s="170">
        <f>Sizing!JC65</f>
        <v>6.3945696655626945E-3</v>
      </c>
      <c r="AG49" s="272">
        <f>Sizing!JD65</f>
        <v>7.9966053207362275E-2</v>
      </c>
      <c r="AH49" s="170">
        <f>Sizing!JC65</f>
        <v>6.3945696655626945E-3</v>
      </c>
      <c r="AI49" s="272">
        <f>Sizing!JD65</f>
        <v>7.9966053207362275E-2</v>
      </c>
      <c r="AJ49" s="216">
        <f>Sizing!IT65</f>
        <v>0.25</v>
      </c>
      <c r="AK49" s="216">
        <f>Sizing!IU65</f>
        <v>1.5748031496062995E-2</v>
      </c>
      <c r="AL49" s="17">
        <f>Sizing!IV65</f>
        <v>1.5748031496062995E-2</v>
      </c>
      <c r="AM49" s="170">
        <f t="shared" si="13"/>
        <v>0</v>
      </c>
      <c r="AN49" s="11">
        <f t="shared" si="14"/>
        <v>1.1095127116363701</v>
      </c>
      <c r="AO49" s="11">
        <f t="shared" si="15"/>
        <v>1.1095127116363701</v>
      </c>
      <c r="AP49" s="11">
        <f t="shared" si="16"/>
        <v>2.2190254232727402</v>
      </c>
      <c r="AQ49" s="555">
        <f t="shared" si="17"/>
        <v>35402731.027469486</v>
      </c>
      <c r="AR49" s="311">
        <f t="shared" si="18"/>
        <v>6.4406632150232932</v>
      </c>
      <c r="AS49" s="11">
        <f t="shared" si="19"/>
        <v>3.0015283560091061E-2</v>
      </c>
      <c r="AT49" s="11">
        <f t="shared" si="20"/>
        <v>1.9378076655389631</v>
      </c>
      <c r="AU49" s="11">
        <f t="shared" si="21"/>
        <v>1.9678229490990542</v>
      </c>
      <c r="AV49" s="555">
        <f t="shared" si="22"/>
        <v>31395001.538057148</v>
      </c>
      <c r="AW49" s="138">
        <f t="shared" si="23"/>
        <v>3.9370078740157494E-2</v>
      </c>
      <c r="AX49" s="138">
        <f t="shared" si="24"/>
        <v>4.724409448818899E-2</v>
      </c>
      <c r="AY49" s="554">
        <f t="shared" si="25"/>
        <v>3.1496062992125991E-2</v>
      </c>
      <c r="AZ49" s="12">
        <f t="shared" si="26"/>
        <v>265.07189711123937</v>
      </c>
      <c r="BA49" s="11">
        <f t="shared" si="27"/>
        <v>80.070685463531348</v>
      </c>
      <c r="BB49">
        <f t="shared" si="28"/>
        <v>138.19110863549841</v>
      </c>
      <c r="BC49" s="555">
        <f t="shared" si="29"/>
        <v>521117012.37116092</v>
      </c>
      <c r="BD49">
        <f t="shared" si="30"/>
        <v>5</v>
      </c>
      <c r="BE49" s="207">
        <f t="shared" si="31"/>
        <v>2.0833333999999999</v>
      </c>
      <c r="BF49" s="207">
        <f>'Inputs-Imperial'!$E$15*BE49</f>
        <v>1.5625000499999999</v>
      </c>
      <c r="BG49" s="207">
        <f>'Inputs-Imperial'!$E$12*BE49</f>
        <v>0.52083334999999997</v>
      </c>
      <c r="BH49">
        <f>'Inputs-Imperial'!$E$11*BE49</f>
        <v>0.37500001199999999</v>
      </c>
      <c r="BI49">
        <f t="shared" si="32"/>
        <v>0.39774757714535502</v>
      </c>
      <c r="BJ49">
        <f>'Weight '!U51+'Weight '!V51 /12</f>
        <v>2.4934383202099744E-2</v>
      </c>
      <c r="BK49">
        <f>('Weight '!AK51+'Weight '!AL51)/12</f>
        <v>3.9370078740157488E-3</v>
      </c>
      <c r="BL49">
        <f>'Weight '!AG51/12</f>
        <v>5.3543718039303446E-2</v>
      </c>
      <c r="BM49">
        <f>'Weight '!AI51/12</f>
        <v>5.3543718039303446E-2</v>
      </c>
      <c r="BN49" s="554">
        <f t="shared" si="33"/>
        <v>0.83879225684274639</v>
      </c>
      <c r="BO49" s="554">
        <f t="shared" si="34"/>
        <v>2.5187512647012595</v>
      </c>
      <c r="BP49">
        <f t="shared" si="35"/>
        <v>5.3543718039303446E-2</v>
      </c>
      <c r="BQ49">
        <f t="shared" si="35"/>
        <v>5.3543718039303446E-2</v>
      </c>
      <c r="BR49">
        <f t="shared" si="36"/>
        <v>0.26791257592139306</v>
      </c>
      <c r="BS49">
        <f t="shared" si="37"/>
        <v>0.14648438437500014</v>
      </c>
      <c r="BT49">
        <f t="shared" si="38"/>
        <v>0.34162534465973993</v>
      </c>
      <c r="BU49">
        <f t="shared" si="39"/>
        <v>7.4479638713647947E-2</v>
      </c>
      <c r="BV49">
        <f t="shared" si="40"/>
        <v>411.93210142680334</v>
      </c>
      <c r="BW49" s="207">
        <f t="shared" si="41"/>
        <v>172.7861008738721</v>
      </c>
      <c r="BX49">
        <f t="shared" si="42"/>
        <v>0.78387704303671246</v>
      </c>
      <c r="BY49" s="575">
        <f t="shared" si="43"/>
        <v>-6.9559553468533579</v>
      </c>
      <c r="BZ49">
        <f t="shared" si="44"/>
        <v>414.2507532090878</v>
      </c>
      <c r="CA49" s="207">
        <f t="shared" si="45"/>
        <v>171.81353573666252</v>
      </c>
      <c r="CB49">
        <f t="shared" si="46"/>
        <v>0.78522084139493487</v>
      </c>
      <c r="CC49">
        <f t="shared" si="47"/>
        <v>213.73880759964987</v>
      </c>
      <c r="CD49">
        <f t="shared" si="48"/>
        <v>343.00448400920453</v>
      </c>
      <c r="CE49" s="207">
        <f t="shared" si="49"/>
        <v>201.69798760195496</v>
      </c>
      <c r="CF49">
        <f t="shared" si="50"/>
        <v>0.74392933729251809</v>
      </c>
      <c r="CG49">
        <f t="shared" si="51"/>
        <v>97.059566707637629</v>
      </c>
      <c r="CH49">
        <f t="shared" si="52"/>
        <v>310.65129510665867</v>
      </c>
      <c r="CI49" s="207">
        <f t="shared" ref="CI49" si="81" xml:space="preserve"> ($BQ$38-CH49*($BP49+$BR49+$BQ49+$BN49))/($BP49+$BR49+$BQ49+$BO49)</f>
        <v>215.26862543752085</v>
      </c>
      <c r="CJ49">
        <f t="shared" si="54"/>
        <v>0.72517871571894765</v>
      </c>
      <c r="CK49">
        <f t="shared" si="55"/>
        <v>47.960209266564235</v>
      </c>
      <c r="CL49">
        <f t="shared" si="56"/>
        <v>294.66455868447059</v>
      </c>
      <c r="CM49" s="207">
        <f t="shared" ref="CM49" si="82" xml:space="preserve"> ($BQ$38-CL49*($BP49+$BR49+$BQ49+$BN49))/($BP49+$BR49+$BQ49+$BO49)</f>
        <v>221.97430786071752</v>
      </c>
      <c r="CN49">
        <f t="shared" si="58"/>
        <v>0.71591343909500182</v>
      </c>
      <c r="CO49">
        <f t="shared" si="59"/>
        <v>24.594425578166746</v>
      </c>
      <c r="CP49">
        <f t="shared" si="60"/>
        <v>286.46641682508169</v>
      </c>
      <c r="CQ49" s="207">
        <f t="shared" ref="CQ49" si="83" xml:space="preserve"> ($BQ$38-CP49*($BP49+$BR49+$BQ49+$BN49))/($BP49+$BR49+$BQ49+$BO49)</f>
        <v>225.41304196613996</v>
      </c>
      <c r="CR49">
        <f t="shared" si="62"/>
        <v>0.71116212212050256</v>
      </c>
      <c r="CS49">
        <f t="shared" si="63"/>
        <v>12.842062126299464</v>
      </c>
      <c r="CT49">
        <f t="shared" si="64"/>
        <v>282.18572944964853</v>
      </c>
      <c r="CU49" s="636">
        <f t="shared" si="65"/>
        <v>227.20858855767582</v>
      </c>
      <c r="CV49" s="575">
        <f t="shared" si="66"/>
        <v>0.70868120596434614</v>
      </c>
      <c r="CW49">
        <f t="shared" si="67"/>
        <v>6.7674438372291927</v>
      </c>
      <c r="CX49" s="576">
        <f t="shared" si="68"/>
        <v>0.3401669679775432</v>
      </c>
    </row>
    <row r="50" spans="1:102" x14ac:dyDescent="0.25">
      <c r="A50" s="186">
        <v>6</v>
      </c>
      <c r="B50" s="187">
        <f>A50/100*'Inputs-Imperial'!$E$5</f>
        <v>0.59055120000000005</v>
      </c>
      <c r="C50" s="188">
        <f>'Inputs-Imperial'!$E$10+('Inputs-Imperial'!$E$9-'Inputs-Imperial'!$E$10)*(100-A50)/100</f>
        <v>2.07349088</v>
      </c>
      <c r="D50" s="187">
        <f t="shared" si="69"/>
        <v>9.842519999999999E-2</v>
      </c>
      <c r="E50" s="188">
        <f t="shared" si="70"/>
        <v>0.20456813056192799</v>
      </c>
      <c r="F50" s="423">
        <f>Sizing!F66</f>
        <v>111.91447326294778</v>
      </c>
      <c r="G50" s="423">
        <f>Sizing!G66</f>
        <v>1119.1447326294769</v>
      </c>
      <c r="H50" s="423">
        <f>Sizing!H66</f>
        <v>4581.3955740079409</v>
      </c>
      <c r="I50" s="423">
        <f>Sizing!I66</f>
        <v>-1037.5235712590566</v>
      </c>
      <c r="J50" s="189">
        <f>Sizing!J66</f>
        <v>458.13955740079416</v>
      </c>
      <c r="K50" s="128">
        <v>6</v>
      </c>
      <c r="L50" s="12">
        <f t="shared" si="11"/>
        <v>7.0866144000000002</v>
      </c>
      <c r="M50" s="11">
        <f t="shared" si="11"/>
        <v>24.881890560000002</v>
      </c>
      <c r="N50" s="11">
        <f t="shared" si="11"/>
        <v>1.1811023999999999</v>
      </c>
      <c r="O50" s="152">
        <f t="shared" si="71"/>
        <v>29.457810800917628</v>
      </c>
      <c r="P50" s="170">
        <f t="shared" si="0"/>
        <v>4.4787403008000002</v>
      </c>
      <c r="Q50" s="8">
        <f t="shared" si="1"/>
        <v>2.2393701504000001</v>
      </c>
      <c r="R50" s="170">
        <f>Sizing!X66</f>
        <v>6.2204726400000006</v>
      </c>
      <c r="S50" s="8">
        <f>Sizing!Y66</f>
        <v>18.661417920000002</v>
      </c>
      <c r="T50" s="8">
        <f>Sizing!Z66</f>
        <v>12.440945280000001</v>
      </c>
      <c r="U50" s="17">
        <f>Sizing!CN66</f>
        <v>0.25</v>
      </c>
      <c r="V50" s="17">
        <f>Sizing!CO66</f>
        <v>2.3622047244094495E-2</v>
      </c>
      <c r="W50" s="17">
        <f>Sizing!CP66</f>
        <v>1.5748031496062995E-2</v>
      </c>
      <c r="X50" s="170">
        <f>Sizing!DU66</f>
        <v>0.41283788277202987</v>
      </c>
      <c r="Y50" s="170">
        <f>Sizing!DV66</f>
        <v>0.64252461647164139</v>
      </c>
      <c r="Z50" s="170">
        <f>Sizing!DW66</f>
        <v>0.41283788277202987</v>
      </c>
      <c r="AA50" s="272">
        <f>Sizing!DX66</f>
        <v>0.64252461647164139</v>
      </c>
      <c r="AB50" s="272">
        <f t="shared" si="12"/>
        <v>3.2574755268480438</v>
      </c>
      <c r="AC50" s="216">
        <f>Sizing!GJ66</f>
        <v>0.25</v>
      </c>
      <c r="AD50" s="216">
        <f>Sizing!GK66</f>
        <v>2.3622047244094495E-2</v>
      </c>
      <c r="AE50" s="17">
        <f>Sizing!GL66</f>
        <v>2.3622047244094495E-2</v>
      </c>
      <c r="AF50" s="170">
        <f>Sizing!JC66</f>
        <v>6.3945696655626945E-3</v>
      </c>
      <c r="AG50" s="272">
        <f>Sizing!JD66</f>
        <v>7.9966053207362275E-2</v>
      </c>
      <c r="AH50" s="170">
        <f>Sizing!JC66</f>
        <v>6.3945696655626945E-3</v>
      </c>
      <c r="AI50" s="272">
        <f>Sizing!JD66</f>
        <v>7.9966053207362275E-2</v>
      </c>
      <c r="AJ50" s="216">
        <f>Sizing!IT66</f>
        <v>0.25</v>
      </c>
      <c r="AK50" s="216">
        <f>Sizing!IU66</f>
        <v>1.5748031496062995E-2</v>
      </c>
      <c r="AL50" s="17">
        <f>Sizing!IV66</f>
        <v>1.5748031496062995E-2</v>
      </c>
      <c r="AM50" s="170">
        <f t="shared" si="13"/>
        <v>0</v>
      </c>
      <c r="AN50" s="11">
        <f t="shared" si="14"/>
        <v>1.0951708455009146</v>
      </c>
      <c r="AO50" s="11">
        <f t="shared" si="15"/>
        <v>1.0951708455009146</v>
      </c>
      <c r="AP50" s="11">
        <f t="shared" si="16"/>
        <v>2.1903416910018292</v>
      </c>
      <c r="AQ50" s="555">
        <f t="shared" si="17"/>
        <v>34945105.599747561</v>
      </c>
      <c r="AR50" s="311">
        <f t="shared" si="18"/>
        <v>6.4102348848735788</v>
      </c>
      <c r="AS50" s="11">
        <f t="shared" si="19"/>
        <v>2.9732344524039805E-2</v>
      </c>
      <c r="AT50" s="11">
        <f t="shared" si="20"/>
        <v>1.9195409238024299</v>
      </c>
      <c r="AU50" s="11">
        <f t="shared" si="21"/>
        <v>1.9492732683264697</v>
      </c>
      <c r="AV50" s="555">
        <f t="shared" si="22"/>
        <v>31099056.592068799</v>
      </c>
      <c r="AW50" s="138">
        <f t="shared" si="23"/>
        <v>3.9370078740157494E-2</v>
      </c>
      <c r="AX50" s="138">
        <f t="shared" si="24"/>
        <v>4.724409448818899E-2</v>
      </c>
      <c r="AY50" s="554">
        <f t="shared" si="25"/>
        <v>3.1496062992125991E-2</v>
      </c>
      <c r="AZ50" s="12">
        <f t="shared" si="26"/>
        <v>262.57319717715842</v>
      </c>
      <c r="BA50" s="11">
        <f t="shared" si="27"/>
        <v>79.692398760554099</v>
      </c>
      <c r="BB50">
        <f t="shared" si="28"/>
        <v>136.24173322037996</v>
      </c>
      <c r="BC50" s="555">
        <f t="shared" si="29"/>
        <v>513765941.07325423</v>
      </c>
      <c r="BD50">
        <f t="shared" si="30"/>
        <v>6</v>
      </c>
      <c r="BE50" s="207">
        <f t="shared" si="31"/>
        <v>2.07349088</v>
      </c>
      <c r="BF50" s="207">
        <f>'Inputs-Imperial'!$E$15*BE50</f>
        <v>1.5551181600000001</v>
      </c>
      <c r="BG50" s="207">
        <f>'Inputs-Imperial'!$E$12*BE50</f>
        <v>0.51837272000000001</v>
      </c>
      <c r="BH50">
        <f>'Inputs-Imperial'!$E$11*BE50</f>
        <v>0.37322835840000002</v>
      </c>
      <c r="BI50">
        <f t="shared" si="32"/>
        <v>0.39586845473364474</v>
      </c>
      <c r="BJ50">
        <f>'Weight '!U52+'Weight '!V52 /12</f>
        <v>2.4934383202099744E-2</v>
      </c>
      <c r="BK50">
        <f>('Weight '!AK52+'Weight '!AL52)/12</f>
        <v>3.9370078740157488E-3</v>
      </c>
      <c r="BL50">
        <f>'Weight '!AG52/12</f>
        <v>5.3543718039303446E-2</v>
      </c>
      <c r="BM50">
        <f>'Weight '!AI52/12</f>
        <v>5.3543718039303446E-2</v>
      </c>
      <c r="BN50" s="554">
        <f t="shared" si="33"/>
        <v>0.832432285055558</v>
      </c>
      <c r="BO50" s="554">
        <f t="shared" si="34"/>
        <v>2.5092488261504453</v>
      </c>
      <c r="BP50">
        <f t="shared" si="35"/>
        <v>5.3543718039303446E-2</v>
      </c>
      <c r="BQ50">
        <f t="shared" si="35"/>
        <v>5.3543718039303446E-2</v>
      </c>
      <c r="BR50">
        <f t="shared" si="36"/>
        <v>0.26614092232139308</v>
      </c>
      <c r="BS50">
        <f t="shared" si="37"/>
        <v>0.14510354949370716</v>
      </c>
      <c r="BT50">
        <f t="shared" si="38"/>
        <v>0.33840501374014997</v>
      </c>
      <c r="BU50">
        <f t="shared" si="39"/>
        <v>7.3082092433161688E-2</v>
      </c>
      <c r="BV50">
        <f t="shared" si="40"/>
        <v>414.71039360374584</v>
      </c>
      <c r="BW50" s="207">
        <f t="shared" si="41"/>
        <v>173.46191070649553</v>
      </c>
      <c r="BX50">
        <f t="shared" si="42"/>
        <v>0.78051021969562329</v>
      </c>
      <c r="BY50" s="575">
        <f t="shared" si="43"/>
        <v>-6.5468342857758159</v>
      </c>
      <c r="BZ50">
        <f t="shared" si="44"/>
        <v>416.89267169900444</v>
      </c>
      <c r="CA50" s="207">
        <f t="shared" si="45"/>
        <v>172.54912401502384</v>
      </c>
      <c r="CB50">
        <f t="shared" si="46"/>
        <v>0.78176131547657068</v>
      </c>
      <c r="CC50">
        <f t="shared" si="47"/>
        <v>214.60547806219631</v>
      </c>
      <c r="CD50">
        <f t="shared" si="48"/>
        <v>345.35751234493898</v>
      </c>
      <c r="CE50" s="207">
        <f t="shared" si="49"/>
        <v>202.47030664182395</v>
      </c>
      <c r="CF50">
        <f t="shared" si="50"/>
        <v>0.74075034796893735</v>
      </c>
      <c r="CG50">
        <f t="shared" si="51"/>
        <v>98.023704868900182</v>
      </c>
      <c r="CH50">
        <f t="shared" si="52"/>
        <v>312.6829440553056</v>
      </c>
      <c r="CI50" s="207">
        <f t="shared" ref="CI50" si="84" xml:space="preserve"> ($BQ$38-CH50*($BP50+$BR50+$BQ50+$BN50))/($BP50+$BR50+$BQ50+$BO50)</f>
        <v>216.1371766659334</v>
      </c>
      <c r="CJ50">
        <f t="shared" si="54"/>
        <v>0.72201808161834946</v>
      </c>
      <c r="CK50">
        <f t="shared" si="55"/>
        <v>48.67770763070267</v>
      </c>
      <c r="CL50">
        <f t="shared" si="56"/>
        <v>296.45704151173805</v>
      </c>
      <c r="CM50" s="207">
        <f t="shared" ref="CM50" si="85" xml:space="preserve"> ($BQ$38-CL50*($BP50+$BR50+$BQ50+$BN50))/($BP50+$BR50+$BQ50+$BO50)</f>
        <v>222.92402382856793</v>
      </c>
      <c r="CN50">
        <f t="shared" si="58"/>
        <v>0.71271580329808093</v>
      </c>
      <c r="CO50">
        <f t="shared" si="59"/>
        <v>25.082692031099089</v>
      </c>
      <c r="CP50">
        <f t="shared" si="60"/>
        <v>288.09614416803834</v>
      </c>
      <c r="CQ50" s="207">
        <f t="shared" ref="CQ50" si="86" xml:space="preserve"> ($BQ$38-CP50*($BP50+$BR50+$BQ50+$BN50))/($BP50+$BR50+$BQ50+$BO50)</f>
        <v>226.4211564078993</v>
      </c>
      <c r="CR50">
        <f t="shared" si="62"/>
        <v>0.70792251713791476</v>
      </c>
      <c r="CS50">
        <f t="shared" si="63"/>
        <v>13.160334761286006</v>
      </c>
      <c r="CT50">
        <f t="shared" si="64"/>
        <v>283.70936591427636</v>
      </c>
      <c r="CU50" s="636">
        <f t="shared" si="65"/>
        <v>228.25602466651918</v>
      </c>
      <c r="CV50" s="575">
        <f t="shared" si="66"/>
        <v>0.70540758571045015</v>
      </c>
      <c r="CW50">
        <f t="shared" si="67"/>
        <v>6.9690561701686686</v>
      </c>
      <c r="CX50" s="576">
        <f t="shared" si="68"/>
        <v>0.34020288804474996</v>
      </c>
    </row>
    <row r="51" spans="1:102" x14ac:dyDescent="0.25">
      <c r="A51" s="186">
        <v>7</v>
      </c>
      <c r="B51" s="187">
        <f>A51/100*'Inputs-Imperial'!$E$5</f>
        <v>0.68897640000000004</v>
      </c>
      <c r="C51" s="188">
        <f>'Inputs-Imperial'!$E$10+('Inputs-Imperial'!$E$9-'Inputs-Imperial'!$E$10)*(100-A51)/100</f>
        <v>2.0636483600000002</v>
      </c>
      <c r="D51" s="187">
        <f t="shared" si="69"/>
        <v>9.842519999999999E-2</v>
      </c>
      <c r="E51" s="188">
        <f t="shared" si="70"/>
        <v>0.20359937856242397</v>
      </c>
      <c r="F51" s="423">
        <f>Sizing!F67</f>
        <v>110.3800202082965</v>
      </c>
      <c r="G51" s="423">
        <f>Sizing!G67</f>
        <v>1103.8002020829642</v>
      </c>
      <c r="H51" s="423">
        <f>Sizing!H67</f>
        <v>4471.2435298699384</v>
      </c>
      <c r="I51" s="423">
        <f>Sizing!I67</f>
        <v>-1020.0235570901975</v>
      </c>
      <c r="J51" s="189">
        <f>Sizing!J67</f>
        <v>447.12435298699387</v>
      </c>
      <c r="K51" s="128">
        <v>7</v>
      </c>
      <c r="L51" s="12">
        <f t="shared" si="11"/>
        <v>8.2677168000000005</v>
      </c>
      <c r="M51" s="11">
        <f t="shared" si="11"/>
        <v>24.763780320000002</v>
      </c>
      <c r="N51" s="11">
        <f t="shared" si="11"/>
        <v>1.1811023999999999</v>
      </c>
      <c r="O51" s="152">
        <f t="shared" si="71"/>
        <v>29.318310512989051</v>
      </c>
      <c r="P51" s="170">
        <f t="shared" si="0"/>
        <v>4.4574804576</v>
      </c>
      <c r="Q51" s="8">
        <f t="shared" si="1"/>
        <v>2.2287402288</v>
      </c>
      <c r="R51" s="170">
        <f>Sizing!X67</f>
        <v>6.1909450800000005</v>
      </c>
      <c r="S51" s="8">
        <f>Sizing!Y67</f>
        <v>18.572835240000003</v>
      </c>
      <c r="T51" s="8">
        <f>Sizing!Z67</f>
        <v>12.381890160000003</v>
      </c>
      <c r="U51" s="17">
        <f>Sizing!CN67</f>
        <v>0.25</v>
      </c>
      <c r="V51" s="17">
        <f>Sizing!CO67</f>
        <v>2.3622047244094495E-2</v>
      </c>
      <c r="W51" s="17">
        <f>Sizing!CP67</f>
        <v>1.5748031496062995E-2</v>
      </c>
      <c r="X51" s="170">
        <f>Sizing!DU67</f>
        <v>0.41283788277202987</v>
      </c>
      <c r="Y51" s="170">
        <f>Sizing!DV67</f>
        <v>0.64252461647164139</v>
      </c>
      <c r="Z51" s="170">
        <f>Sizing!DW67</f>
        <v>0.41283788277202987</v>
      </c>
      <c r="AA51" s="272">
        <f>Sizing!DX67</f>
        <v>0.64252461647164139</v>
      </c>
      <c r="AB51" s="272">
        <f t="shared" si="12"/>
        <v>3.2362156836480436</v>
      </c>
      <c r="AC51" s="216">
        <f>Sizing!GJ67</f>
        <v>0.25</v>
      </c>
      <c r="AD51" s="216">
        <f>Sizing!GK67</f>
        <v>2.3622047244094495E-2</v>
      </c>
      <c r="AE51" s="17">
        <f>Sizing!GL67</f>
        <v>2.3622047244094495E-2</v>
      </c>
      <c r="AF51" s="170">
        <f>Sizing!JC67</f>
        <v>6.3945696655626945E-3</v>
      </c>
      <c r="AG51" s="272">
        <f>Sizing!JD67</f>
        <v>7.9966053207362275E-2</v>
      </c>
      <c r="AH51" s="170">
        <f>Sizing!JC67</f>
        <v>6.3945696655626945E-3</v>
      </c>
      <c r="AI51" s="272">
        <f>Sizing!JD67</f>
        <v>7.9966053207362275E-2</v>
      </c>
      <c r="AJ51" s="216">
        <f>Sizing!IT67</f>
        <v>0.25</v>
      </c>
      <c r="AK51" s="216">
        <f>Sizing!IU67</f>
        <v>1.5748031496062995E-2</v>
      </c>
      <c r="AL51" s="17">
        <f>Sizing!IV67</f>
        <v>1.5748031496062995E-2</v>
      </c>
      <c r="AM51" s="170">
        <f t="shared" si="13"/>
        <v>0</v>
      </c>
      <c r="AN51" s="11">
        <f t="shared" si="14"/>
        <v>1.0809222767911517</v>
      </c>
      <c r="AO51" s="11">
        <f t="shared" si="15"/>
        <v>1.0809222767911517</v>
      </c>
      <c r="AP51" s="11">
        <f t="shared" si="16"/>
        <v>2.1618445535823034</v>
      </c>
      <c r="AQ51" s="555">
        <f t="shared" si="17"/>
        <v>34490457.139871716</v>
      </c>
      <c r="AR51" s="311">
        <f t="shared" si="18"/>
        <v>6.3798065547238618</v>
      </c>
      <c r="AS51" s="11">
        <f t="shared" si="19"/>
        <v>2.9450745372925888E-2</v>
      </c>
      <c r="AT51" s="11">
        <f t="shared" si="20"/>
        <v>1.9013606859730945</v>
      </c>
      <c r="AU51" s="11">
        <f t="shared" si="21"/>
        <v>1.9308114313460203</v>
      </c>
      <c r="AV51" s="555">
        <f t="shared" si="22"/>
        <v>30804513.12175205</v>
      </c>
      <c r="AW51" s="138">
        <f t="shared" si="23"/>
        <v>3.9370078740157494E-2</v>
      </c>
      <c r="AX51" s="138">
        <f t="shared" si="24"/>
        <v>4.724409448818899E-2</v>
      </c>
      <c r="AY51" s="554">
        <f t="shared" si="25"/>
        <v>3.1496062992125991E-2</v>
      </c>
      <c r="AZ51" s="12">
        <f t="shared" si="26"/>
        <v>260.08633007623013</v>
      </c>
      <c r="BA51" s="11">
        <f t="shared" si="27"/>
        <v>79.31411205757675</v>
      </c>
      <c r="BB51">
        <f t="shared" si="28"/>
        <v>134.31077696283324</v>
      </c>
      <c r="BC51" s="555">
        <f t="shared" si="29"/>
        <v>506484328.19752067</v>
      </c>
      <c r="BD51">
        <f t="shared" si="30"/>
        <v>7</v>
      </c>
      <c r="BE51" s="207">
        <f t="shared" si="31"/>
        <v>2.0636483600000002</v>
      </c>
      <c r="BF51" s="207">
        <f>'Inputs-Imperial'!$E$15*BE51</f>
        <v>1.5477362700000001</v>
      </c>
      <c r="BG51" s="207">
        <f>'Inputs-Imperial'!$E$12*BE51</f>
        <v>0.51591209000000005</v>
      </c>
      <c r="BH51">
        <f>'Inputs-Imperial'!$E$11*BE51</f>
        <v>0.37145670480000004</v>
      </c>
      <c r="BI51">
        <f t="shared" si="32"/>
        <v>0.39398933232193439</v>
      </c>
      <c r="BJ51">
        <f>'Weight '!U53+'Weight '!V53 /12</f>
        <v>2.4934383202099744E-2</v>
      </c>
      <c r="BK51">
        <f>('Weight '!AK53+'Weight '!AL53)/12</f>
        <v>3.9370078740157488E-3</v>
      </c>
      <c r="BL51">
        <f>'Weight '!AG53/12</f>
        <v>5.3543718039303446E-2</v>
      </c>
      <c r="BM51">
        <f>'Weight '!AI53/12</f>
        <v>5.3543718039303446E-2</v>
      </c>
      <c r="BN51" s="554">
        <f t="shared" si="33"/>
        <v>0.82608172800972168</v>
      </c>
      <c r="BO51" s="554">
        <f t="shared" si="34"/>
        <v>2.4997369728582788</v>
      </c>
      <c r="BP51">
        <f t="shared" si="35"/>
        <v>5.3543718039303446E-2</v>
      </c>
      <c r="BQ51">
        <f t="shared" si="35"/>
        <v>5.3543718039303446E-2</v>
      </c>
      <c r="BR51">
        <f t="shared" si="36"/>
        <v>0.2643692687213931</v>
      </c>
      <c r="BS51">
        <f t="shared" si="37"/>
        <v>0.1437292536884108</v>
      </c>
      <c r="BT51">
        <f t="shared" si="38"/>
        <v>0.33519993300644602</v>
      </c>
      <c r="BU51">
        <f t="shared" si="39"/>
        <v>7.1704306847134705E-2</v>
      </c>
      <c r="BV51">
        <f t="shared" si="40"/>
        <v>417.5231343739643</v>
      </c>
      <c r="BW51" s="207">
        <f t="shared" si="41"/>
        <v>174.14359884206618</v>
      </c>
      <c r="BX51">
        <f t="shared" si="42"/>
        <v>0.77714286667170795</v>
      </c>
      <c r="BY51" s="575">
        <f t="shared" si="43"/>
        <v>-6.1344914790713858</v>
      </c>
      <c r="BZ51">
        <f t="shared" si="44"/>
        <v>419.56796486698806</v>
      </c>
      <c r="CA51" s="207">
        <f t="shared" si="45"/>
        <v>173.29072600278965</v>
      </c>
      <c r="CB51">
        <f t="shared" si="46"/>
        <v>0.77830243643024821</v>
      </c>
      <c r="CC51">
        <f t="shared" si="47"/>
        <v>215.48332335648837</v>
      </c>
      <c r="CD51">
        <f t="shared" si="48"/>
        <v>347.74019041482529</v>
      </c>
      <c r="CE51" s="207">
        <f t="shared" si="49"/>
        <v>203.24917886473926</v>
      </c>
      <c r="CF51">
        <f t="shared" si="50"/>
        <v>0.73757078881342597</v>
      </c>
      <c r="CG51">
        <f t="shared" si="51"/>
        <v>98.997007442754153</v>
      </c>
      <c r="CH51">
        <f t="shared" si="52"/>
        <v>314.74118793390721</v>
      </c>
      <c r="CI51" s="207">
        <f t="shared" ref="CI51" si="87" xml:space="preserve"> ($BQ$38-CH51*($BP51+$BR51+$BQ51+$BN51))/($BP51+$BR51+$BQ51+$BO51)</f>
        <v>217.01264387331119</v>
      </c>
      <c r="CJ51">
        <f t="shared" si="54"/>
        <v>0.7188579197177174</v>
      </c>
      <c r="CK51">
        <f t="shared" si="55"/>
        <v>49.404268018707377</v>
      </c>
      <c r="CL51">
        <f t="shared" si="56"/>
        <v>298.27309859433808</v>
      </c>
      <c r="CM51" s="207">
        <f t="shared" ref="CM51" si="88" xml:space="preserve"> ($BQ$38-CL51*($BP51+$BR51+$BQ51+$BN51))/($BP51+$BR51+$BQ51+$BO51)</f>
        <v>223.88127487251379</v>
      </c>
      <c r="CN51">
        <f t="shared" si="58"/>
        <v>0.70951929803525937</v>
      </c>
      <c r="CO51">
        <f t="shared" si="59"/>
        <v>25.579014773899736</v>
      </c>
      <c r="CP51">
        <f t="shared" si="60"/>
        <v>289.74676033637149</v>
      </c>
      <c r="CQ51" s="207">
        <f t="shared" ref="CQ51" si="89" xml:space="preserve"> ($BQ$38-CP51*($BP51+$BR51+$BQ51+$BN51))/($BP51+$BR51+$BQ51+$BO51)</f>
        <v>227.43750231704431</v>
      </c>
      <c r="CR51">
        <f t="shared" si="62"/>
        <v>0.70468423516390977</v>
      </c>
      <c r="CS51">
        <f t="shared" si="63"/>
        <v>13.485210861947555</v>
      </c>
      <c r="CT51">
        <f t="shared" si="64"/>
        <v>285.25169004905564</v>
      </c>
      <c r="CU51" s="636">
        <f t="shared" si="65"/>
        <v>229.31233906843761</v>
      </c>
      <c r="CV51" s="575">
        <f t="shared" si="66"/>
        <v>0.70213519866163399</v>
      </c>
      <c r="CW51">
        <f t="shared" si="67"/>
        <v>7.1757631506898623</v>
      </c>
      <c r="CX51" s="576">
        <f t="shared" si="68"/>
        <v>0.34023974833659837</v>
      </c>
    </row>
    <row r="52" spans="1:102" x14ac:dyDescent="0.25">
      <c r="A52" s="186">
        <v>8</v>
      </c>
      <c r="B52" s="187">
        <f>A52/100*'Inputs-Imperial'!$E$5</f>
        <v>0.78740160000000003</v>
      </c>
      <c r="C52" s="188">
        <f>'Inputs-Imperial'!$E$10+('Inputs-Imperial'!$E$9-'Inputs-Imperial'!$E$10)*(100-A52)/100</f>
        <v>2.0538058399999999</v>
      </c>
      <c r="D52" s="187">
        <f t="shared" si="69"/>
        <v>9.842519999999999E-2</v>
      </c>
      <c r="E52" s="188">
        <f t="shared" si="70"/>
        <v>0.20263062656292</v>
      </c>
      <c r="F52" s="423">
        <f>Sizing!F68</f>
        <v>108.84974555759817</v>
      </c>
      <c r="G52" s="423">
        <f>Sizing!G68</f>
        <v>1088.4974555759809</v>
      </c>
      <c r="H52" s="423">
        <f>Sizing!H68</f>
        <v>4362.6017742198819</v>
      </c>
      <c r="I52" s="423">
        <f>Sizing!I68</f>
        <v>-1002.6192271780594</v>
      </c>
      <c r="J52" s="189">
        <f>Sizing!J68</f>
        <v>436.26017742198826</v>
      </c>
      <c r="K52" s="128">
        <v>8</v>
      </c>
      <c r="L52" s="12">
        <f t="shared" si="11"/>
        <v>9.4488192000000009</v>
      </c>
      <c r="M52" s="11">
        <f t="shared" si="11"/>
        <v>24.645670079999999</v>
      </c>
      <c r="N52" s="11">
        <f t="shared" si="11"/>
        <v>1.1811023999999999</v>
      </c>
      <c r="O52" s="152">
        <f t="shared" si="71"/>
        <v>29.178810225060481</v>
      </c>
      <c r="P52" s="170">
        <f t="shared" si="0"/>
        <v>4.4362206143999998</v>
      </c>
      <c r="Q52" s="8">
        <f t="shared" si="1"/>
        <v>2.2181103071999999</v>
      </c>
      <c r="R52" s="170">
        <f>Sizing!X68</f>
        <v>6.1614175199999996</v>
      </c>
      <c r="S52" s="8">
        <f>Sizing!Y68</f>
        <v>18.484252559999998</v>
      </c>
      <c r="T52" s="8">
        <f>Sizing!Z68</f>
        <v>12.322835039999998</v>
      </c>
      <c r="U52" s="17">
        <f>Sizing!CN68</f>
        <v>0.25</v>
      </c>
      <c r="V52" s="17">
        <f>Sizing!CO68</f>
        <v>2.3622047244094495E-2</v>
      </c>
      <c r="W52" s="17">
        <f>Sizing!CP68</f>
        <v>1.5748031496062995E-2</v>
      </c>
      <c r="X52" s="170">
        <f>Sizing!DU68</f>
        <v>0.41283788277202987</v>
      </c>
      <c r="Y52" s="170">
        <f>Sizing!DV68</f>
        <v>0.64252461647164139</v>
      </c>
      <c r="Z52" s="170">
        <f>Sizing!DW68</f>
        <v>0.41283788277202987</v>
      </c>
      <c r="AA52" s="272">
        <f>Sizing!DX68</f>
        <v>0.64252461647164139</v>
      </c>
      <c r="AB52" s="272">
        <f t="shared" si="12"/>
        <v>3.2149558404480434</v>
      </c>
      <c r="AC52" s="216">
        <f>Sizing!GJ68</f>
        <v>0.25</v>
      </c>
      <c r="AD52" s="216">
        <f>Sizing!GK68</f>
        <v>2.3622047244094495E-2</v>
      </c>
      <c r="AE52" s="17">
        <f>Sizing!GL68</f>
        <v>2.3622047244094495E-2</v>
      </c>
      <c r="AF52" s="170">
        <f>Sizing!JC68</f>
        <v>6.3945696655626945E-3</v>
      </c>
      <c r="AG52" s="272">
        <f>Sizing!JD68</f>
        <v>7.9966053207362275E-2</v>
      </c>
      <c r="AH52" s="170">
        <f>Sizing!JC68</f>
        <v>6.3945696655626945E-3</v>
      </c>
      <c r="AI52" s="272">
        <f>Sizing!JD68</f>
        <v>7.9966053207362275E-2</v>
      </c>
      <c r="AJ52" s="216">
        <f>Sizing!IT68</f>
        <v>0.25</v>
      </c>
      <c r="AK52" s="216">
        <f>Sizing!IU68</f>
        <v>1.5748031496062995E-2</v>
      </c>
      <c r="AL52" s="17">
        <f>Sizing!IV68</f>
        <v>1.5748031496062995E-2</v>
      </c>
      <c r="AM52" s="170">
        <f t="shared" si="13"/>
        <v>0</v>
      </c>
      <c r="AN52" s="11">
        <f t="shared" si="14"/>
        <v>1.0667670055070826</v>
      </c>
      <c r="AO52" s="11">
        <f t="shared" si="15"/>
        <v>1.0667670055070826</v>
      </c>
      <c r="AP52" s="11">
        <f t="shared" si="16"/>
        <v>2.1335340110141652</v>
      </c>
      <c r="AQ52" s="555">
        <f t="shared" si="17"/>
        <v>34038785.647841975</v>
      </c>
      <c r="AR52" s="311">
        <f t="shared" si="18"/>
        <v>6.3493782245741457</v>
      </c>
      <c r="AS52" s="11">
        <f t="shared" si="19"/>
        <v>2.917048610675042E-2</v>
      </c>
      <c r="AT52" s="11">
        <f t="shared" si="20"/>
        <v>1.8832669520509544</v>
      </c>
      <c r="AU52" s="11">
        <f t="shared" si="21"/>
        <v>1.9124374381577047</v>
      </c>
      <c r="AV52" s="555">
        <f t="shared" si="22"/>
        <v>30511371.12710689</v>
      </c>
      <c r="AW52" s="138">
        <f t="shared" si="23"/>
        <v>3.9370078740157494E-2</v>
      </c>
      <c r="AX52" s="138">
        <f t="shared" si="24"/>
        <v>4.724409448818899E-2</v>
      </c>
      <c r="AY52" s="554">
        <f t="shared" si="25"/>
        <v>3.1496062992125991E-2</v>
      </c>
      <c r="AZ52" s="12">
        <f t="shared" si="26"/>
        <v>257.61129580845443</v>
      </c>
      <c r="BA52" s="11">
        <f t="shared" si="27"/>
        <v>78.935825354599416</v>
      </c>
      <c r="BB52">
        <f t="shared" si="28"/>
        <v>132.39815243014806</v>
      </c>
      <c r="BC52" s="555">
        <f t="shared" si="29"/>
        <v>499271844.03625923</v>
      </c>
      <c r="BD52">
        <f t="shared" si="30"/>
        <v>8</v>
      </c>
      <c r="BE52" s="207">
        <f t="shared" si="31"/>
        <v>2.0538058399999999</v>
      </c>
      <c r="BF52" s="207">
        <f>'Inputs-Imperial'!$E$15*BE52</f>
        <v>1.5403543799999999</v>
      </c>
      <c r="BG52" s="207">
        <f>'Inputs-Imperial'!$E$12*BE52</f>
        <v>0.51345145999999997</v>
      </c>
      <c r="BH52">
        <f>'Inputs-Imperial'!$E$11*BE52</f>
        <v>0.36968505119999995</v>
      </c>
      <c r="BI52">
        <f t="shared" si="32"/>
        <v>0.39211020991022399</v>
      </c>
      <c r="BJ52">
        <f>'Weight '!U54+'Weight '!V54 /12</f>
        <v>2.4934383202099744E-2</v>
      </c>
      <c r="BK52">
        <f>('Weight '!AK54+'Weight '!AL54)/12</f>
        <v>3.9370078740157488E-3</v>
      </c>
      <c r="BL52">
        <f>'Weight '!AG54/12</f>
        <v>5.3543718039303446E-2</v>
      </c>
      <c r="BM52">
        <f>'Weight '!AI54/12</f>
        <v>5.3543718039303446E-2</v>
      </c>
      <c r="BN52" s="554">
        <f t="shared" si="33"/>
        <v>0.81974071630166367</v>
      </c>
      <c r="BO52" s="554">
        <f t="shared" si="34"/>
        <v>2.4902155742283325</v>
      </c>
      <c r="BP52">
        <f t="shared" si="35"/>
        <v>5.3543718039303446E-2</v>
      </c>
      <c r="BQ52">
        <f t="shared" si="35"/>
        <v>5.3543718039303446E-2</v>
      </c>
      <c r="BR52">
        <f t="shared" si="36"/>
        <v>0.26259761512139301</v>
      </c>
      <c r="BS52">
        <f t="shared" si="37"/>
        <v>0.14236149695911104</v>
      </c>
      <c r="BT52">
        <f t="shared" si="38"/>
        <v>0.33201010245862783</v>
      </c>
      <c r="BU52">
        <f t="shared" si="39"/>
        <v>7.0346094799996969E-2</v>
      </c>
      <c r="BV52">
        <f t="shared" si="40"/>
        <v>420.37091650555715</v>
      </c>
      <c r="BW52" s="207">
        <f t="shared" si="41"/>
        <v>174.83124957361557</v>
      </c>
      <c r="BX52">
        <f t="shared" si="42"/>
        <v>0.77377497373579707</v>
      </c>
      <c r="BY52" s="575">
        <f t="shared" si="43"/>
        <v>-5.7188933644511906</v>
      </c>
      <c r="BZ52">
        <f t="shared" si="44"/>
        <v>422.27721429370752</v>
      </c>
      <c r="CA52" s="207">
        <f t="shared" si="45"/>
        <v>174.03842492453603</v>
      </c>
      <c r="CB52">
        <f t="shared" si="46"/>
        <v>0.77484419213528422</v>
      </c>
      <c r="CC52">
        <f t="shared" si="47"/>
        <v>216.37248537197053</v>
      </c>
      <c r="CD52">
        <f t="shared" si="48"/>
        <v>350.15305250305067</v>
      </c>
      <c r="CE52" s="207">
        <f t="shared" si="49"/>
        <v>204.03468973545682</v>
      </c>
      <c r="CF52">
        <f t="shared" si="50"/>
        <v>0.73439065894990629</v>
      </c>
      <c r="CG52">
        <f t="shared" si="51"/>
        <v>99.979618321680164</v>
      </c>
      <c r="CH52">
        <f t="shared" si="52"/>
        <v>316.82651306249062</v>
      </c>
      <c r="CI52" s="207">
        <f t="shared" ref="CI52" si="90" xml:space="preserve"> ($BQ$38-CH52*($BP52+$BR52+$BQ52+$BN52))/($BP52+$BR52+$BQ52+$BO52)</f>
        <v>217.89511705234153</v>
      </c>
      <c r="CJ52">
        <f t="shared" si="54"/>
        <v>0.71569822307625774</v>
      </c>
      <c r="CK52">
        <f t="shared" si="55"/>
        <v>50.140020617356711</v>
      </c>
      <c r="CL52">
        <f t="shared" si="56"/>
        <v>300.11317285670503</v>
      </c>
      <c r="CM52" s="207">
        <f t="shared" ref="CM52" si="91" xml:space="preserve"> ($BQ$38-CL52*($BP52+$BR52+$BQ52+$BN52))/($BP52+$BR52+$BQ52+$BO52)</f>
        <v>224.84615490485632</v>
      </c>
      <c r="CN52">
        <f t="shared" si="58"/>
        <v>0.70632392123527821</v>
      </c>
      <c r="CO52">
        <f t="shared" si="59"/>
        <v>26.08351958953304</v>
      </c>
      <c r="CP52">
        <f t="shared" si="60"/>
        <v>291.41866632686072</v>
      </c>
      <c r="CQ52" s="207">
        <f t="shared" ref="CQ52" si="92" xml:space="preserve"> ($BQ$38-CP52*($BP52+$BR52+$BQ52+$BN52))/($BP52+$BR52+$BQ52+$BO52)</f>
        <v>228.46217918568578</v>
      </c>
      <c r="CR52">
        <f t="shared" si="62"/>
        <v>0.70144728212151719</v>
      </c>
      <c r="CS52">
        <f t="shared" si="63"/>
        <v>13.816810883748284</v>
      </c>
      <c r="CT52">
        <f t="shared" si="64"/>
        <v>286.81306269894463</v>
      </c>
      <c r="CU52" s="636">
        <f t="shared" si="65"/>
        <v>230.37763861851906</v>
      </c>
      <c r="CV52" s="575">
        <f t="shared" si="66"/>
        <v>0.69886405710267574</v>
      </c>
      <c r="CW52">
        <f t="shared" si="67"/>
        <v>7.387675369145942</v>
      </c>
      <c r="CX52" s="576">
        <f t="shared" si="68"/>
        <v>0.34027756835216505</v>
      </c>
    </row>
    <row r="53" spans="1:102" x14ac:dyDescent="0.25">
      <c r="A53" s="186">
        <v>9</v>
      </c>
      <c r="B53" s="187">
        <f>A53/100*'Inputs-Imperial'!$E$5</f>
        <v>0.88582680000000003</v>
      </c>
      <c r="C53" s="188">
        <f>'Inputs-Imperial'!$E$10+('Inputs-Imperial'!$E$9-'Inputs-Imperial'!$E$10)*(100-A53)/100</f>
        <v>2.04396332</v>
      </c>
      <c r="D53" s="187">
        <f t="shared" si="69"/>
        <v>9.842519999999999E-2</v>
      </c>
      <c r="E53" s="188">
        <f t="shared" si="70"/>
        <v>0.201661874563416</v>
      </c>
      <c r="F53" s="423">
        <f>Sizing!F69</f>
        <v>107.32372714734528</v>
      </c>
      <c r="G53" s="423">
        <f>Sizing!G69</f>
        <v>1073.237271473452</v>
      </c>
      <c r="H53" s="423">
        <f>Sizing!H69</f>
        <v>4255.4661944553245</v>
      </c>
      <c r="I53" s="423">
        <f>Sizing!I69</f>
        <v>-985.31208706211964</v>
      </c>
      <c r="J53" s="189">
        <f>Sizing!J69</f>
        <v>425.54661944553254</v>
      </c>
      <c r="K53" s="128">
        <v>9</v>
      </c>
      <c r="L53" s="12">
        <f t="shared" si="11"/>
        <v>10.629921599999999</v>
      </c>
      <c r="M53" s="11">
        <f t="shared" si="11"/>
        <v>24.527559840000002</v>
      </c>
      <c r="N53" s="11">
        <f t="shared" si="11"/>
        <v>1.1811023999999999</v>
      </c>
      <c r="O53" s="152">
        <f t="shared" si="71"/>
        <v>29.039309937131904</v>
      </c>
      <c r="P53" s="170">
        <f t="shared" si="0"/>
        <v>4.4149607712000005</v>
      </c>
      <c r="Q53" s="8">
        <f t="shared" si="1"/>
        <v>2.2074803856000003</v>
      </c>
      <c r="R53" s="170">
        <f>Sizing!X69</f>
        <v>6.1318899600000005</v>
      </c>
      <c r="S53" s="8">
        <f>Sizing!Y69</f>
        <v>18.39566988</v>
      </c>
      <c r="T53" s="8">
        <f>Sizing!Z69</f>
        <v>12.263779919999999</v>
      </c>
      <c r="U53" s="17">
        <f>Sizing!CN69</f>
        <v>0.25</v>
      </c>
      <c r="V53" s="17">
        <f>Sizing!CO69</f>
        <v>2.3622047244094495E-2</v>
      </c>
      <c r="W53" s="17">
        <f>Sizing!CP69</f>
        <v>1.5748031496062995E-2</v>
      </c>
      <c r="X53" s="170">
        <f>Sizing!DU69</f>
        <v>0.41283788277202987</v>
      </c>
      <c r="Y53" s="170">
        <f>Sizing!DV69</f>
        <v>0.64252461647164139</v>
      </c>
      <c r="Z53" s="170">
        <f>Sizing!DW69</f>
        <v>0.41283788277202987</v>
      </c>
      <c r="AA53" s="272">
        <f>Sizing!DX69</f>
        <v>0.64252461647164139</v>
      </c>
      <c r="AB53" s="272">
        <f t="shared" si="12"/>
        <v>3.1936959972480441</v>
      </c>
      <c r="AC53" s="216">
        <f>Sizing!GJ69</f>
        <v>0.25</v>
      </c>
      <c r="AD53" s="216">
        <f>Sizing!GK69</f>
        <v>2.3622047244094495E-2</v>
      </c>
      <c r="AE53" s="17">
        <f>Sizing!GL69</f>
        <v>2.3622047244094495E-2</v>
      </c>
      <c r="AF53" s="170">
        <f>Sizing!JC69</f>
        <v>6.3945696655626945E-3</v>
      </c>
      <c r="AG53" s="272">
        <f>Sizing!JD69</f>
        <v>7.9966053207362275E-2</v>
      </c>
      <c r="AH53" s="170">
        <f>Sizing!JC69</f>
        <v>6.3945696655626945E-3</v>
      </c>
      <c r="AI53" s="272">
        <f>Sizing!JD69</f>
        <v>7.9966053207362275E-2</v>
      </c>
      <c r="AJ53" s="216">
        <f>Sizing!IT69</f>
        <v>0.25</v>
      </c>
      <c r="AK53" s="216">
        <f>Sizing!IU69</f>
        <v>1.5748031496062995E-2</v>
      </c>
      <c r="AL53" s="17">
        <f>Sizing!IV69</f>
        <v>1.5748031496062995E-2</v>
      </c>
      <c r="AM53" s="170">
        <f t="shared" si="13"/>
        <v>0</v>
      </c>
      <c r="AN53" s="11">
        <f t="shared" si="14"/>
        <v>1.0527050316487077</v>
      </c>
      <c r="AO53" s="11">
        <f t="shared" si="15"/>
        <v>1.0527050316487077</v>
      </c>
      <c r="AP53" s="11">
        <f t="shared" si="16"/>
        <v>2.1054100632974153</v>
      </c>
      <c r="AQ53" s="555">
        <f t="shared" si="17"/>
        <v>33590091.123658359</v>
      </c>
      <c r="AR53" s="311">
        <f t="shared" si="18"/>
        <v>6.3189498944244296</v>
      </c>
      <c r="AS53" s="11">
        <f t="shared" si="19"/>
        <v>2.8891566725512293E-2</v>
      </c>
      <c r="AT53" s="11">
        <f t="shared" si="20"/>
        <v>1.8652597220360143</v>
      </c>
      <c r="AU53" s="11">
        <f t="shared" si="21"/>
        <v>1.8941512887615266</v>
      </c>
      <c r="AV53" s="555">
        <f t="shared" si="22"/>
        <v>30219630.608133372</v>
      </c>
      <c r="AW53" s="138">
        <f t="shared" si="23"/>
        <v>3.9370078740157494E-2</v>
      </c>
      <c r="AX53" s="138">
        <f t="shared" si="24"/>
        <v>4.724409448818899E-2</v>
      </c>
      <c r="AY53" s="554">
        <f t="shared" si="25"/>
        <v>3.1496062992125991E-2</v>
      </c>
      <c r="AZ53" s="12">
        <f t="shared" si="26"/>
        <v>255.14809437383158</v>
      </c>
      <c r="BA53" s="11">
        <f t="shared" si="27"/>
        <v>78.557538651622124</v>
      </c>
      <c r="BB53">
        <f t="shared" si="28"/>
        <v>130.50377218961464</v>
      </c>
      <c r="BC53" s="555">
        <f t="shared" si="29"/>
        <v>492128158.88177055</v>
      </c>
      <c r="BD53">
        <f t="shared" si="30"/>
        <v>9</v>
      </c>
      <c r="BE53" s="207">
        <f t="shared" si="31"/>
        <v>2.04396332</v>
      </c>
      <c r="BF53" s="207">
        <f>'Inputs-Imperial'!$E$15*BE53</f>
        <v>1.5329724900000001</v>
      </c>
      <c r="BG53" s="207">
        <f>'Inputs-Imperial'!$E$12*BE53</f>
        <v>0.51099083000000001</v>
      </c>
      <c r="BH53">
        <f>'Inputs-Imperial'!$E$11*BE53</f>
        <v>0.36791339759999997</v>
      </c>
      <c r="BI53">
        <f t="shared" si="32"/>
        <v>0.39023108749851365</v>
      </c>
      <c r="BJ53">
        <f>'Weight '!U55+'Weight '!V55 /12</f>
        <v>2.4934383202099744E-2</v>
      </c>
      <c r="BK53">
        <f>('Weight '!AK55+'Weight '!AL55)/12</f>
        <v>3.9370078740157488E-3</v>
      </c>
      <c r="BL53">
        <f>'Weight '!AG55/12</f>
        <v>5.3543718039303446E-2</v>
      </c>
      <c r="BM53">
        <f>'Weight '!AI55/12</f>
        <v>5.3543718039303446E-2</v>
      </c>
      <c r="BN53" s="554">
        <f t="shared" si="33"/>
        <v>0.81340938184552247</v>
      </c>
      <c r="BO53" s="554">
        <f t="shared" si="34"/>
        <v>2.4806844983464709</v>
      </c>
      <c r="BP53">
        <f t="shared" si="35"/>
        <v>5.3543718039303446E-2</v>
      </c>
      <c r="BQ53">
        <f t="shared" si="35"/>
        <v>5.3543718039303446E-2</v>
      </c>
      <c r="BR53">
        <f t="shared" si="36"/>
        <v>0.26082596152139303</v>
      </c>
      <c r="BS53">
        <f t="shared" si="37"/>
        <v>0.141000279305808</v>
      </c>
      <c r="BT53">
        <f t="shared" si="38"/>
        <v>0.32883552209669592</v>
      </c>
      <c r="BU53">
        <f t="shared" si="39"/>
        <v>6.9007270026688744E-2</v>
      </c>
      <c r="BV53">
        <f t="shared" si="40"/>
        <v>423.25434563674884</v>
      </c>
      <c r="BW53" s="207">
        <f t="shared" si="41"/>
        <v>175.5249488569431</v>
      </c>
      <c r="BX53">
        <f t="shared" si="42"/>
        <v>0.77040653050761976</v>
      </c>
      <c r="BY53" s="575">
        <f t="shared" si="43"/>
        <v>-5.3000059181754295</v>
      </c>
      <c r="BZ53">
        <f t="shared" si="44"/>
        <v>425.02101427614065</v>
      </c>
      <c r="CA53" s="207">
        <f t="shared" si="45"/>
        <v>174.79230564660605</v>
      </c>
      <c r="CB53">
        <f t="shared" si="46"/>
        <v>0.77138657027597346</v>
      </c>
      <c r="CC53">
        <f t="shared" si="47"/>
        <v>217.27310829221119</v>
      </c>
      <c r="CD53">
        <f t="shared" si="48"/>
        <v>352.5966448454036</v>
      </c>
      <c r="CE53" s="207">
        <f t="shared" si="49"/>
        <v>204.82692636905125</v>
      </c>
      <c r="CF53">
        <f t="shared" si="50"/>
        <v>0.7312099572669285</v>
      </c>
      <c r="CG53">
        <f t="shared" si="51"/>
        <v>100.97168376059854</v>
      </c>
      <c r="CH53">
        <f t="shared" si="52"/>
        <v>318.93941692520411</v>
      </c>
      <c r="CI53" s="207">
        <f t="shared" ref="CI53" si="93" xml:space="preserve"> ($BQ$38-CH53*($BP53+$BR53+$BQ53+$BN53))/($BP53+$BR53+$BQ53+$BO53)</f>
        <v>218.78468786697965</v>
      </c>
      <c r="CJ53">
        <f t="shared" si="54"/>
        <v>0.71253898461316889</v>
      </c>
      <c r="CK53">
        <f t="shared" si="55"/>
        <v>50.885098004835896</v>
      </c>
      <c r="CL53">
        <f t="shared" si="56"/>
        <v>301.97771759025881</v>
      </c>
      <c r="CM53" s="207">
        <f t="shared" ref="CM53" si="94" xml:space="preserve"> ($BQ$38-CL53*($BP53+$BR53+$BQ53+$BN53))/($BP53+$BR53+$BQ53+$BO53)</f>
        <v>225.81875955220755</v>
      </c>
      <c r="CN53">
        <f t="shared" si="58"/>
        <v>0.70312967065555709</v>
      </c>
      <c r="CO53">
        <f t="shared" si="59"/>
        <v>26.596334536586774</v>
      </c>
      <c r="CP53">
        <f t="shared" si="60"/>
        <v>293.11227274472986</v>
      </c>
      <c r="CQ53" s="207">
        <f t="shared" ref="CQ53" si="95" xml:space="preserve"> ($BQ$38-CP53*($BP53+$BR53+$BQ53+$BN53))/($BP53+$BR53+$BQ53+$BO53)</f>
        <v>229.49528826159269</v>
      </c>
      <c r="CR53">
        <f t="shared" si="62"/>
        <v>0.69821166378146904</v>
      </c>
      <c r="CS53">
        <f t="shared" si="63"/>
        <v>14.155257495242441</v>
      </c>
      <c r="CT53">
        <f t="shared" si="64"/>
        <v>288.39385357964903</v>
      </c>
      <c r="CU53" s="636">
        <f t="shared" si="65"/>
        <v>231.45203198123593</v>
      </c>
      <c r="CV53" s="575">
        <f t="shared" si="66"/>
        <v>0.69559417325583595</v>
      </c>
      <c r="CW53">
        <f t="shared" si="67"/>
        <v>7.604905616719515</v>
      </c>
      <c r="CX53" s="576">
        <f t="shared" si="68"/>
        <v>0.34031636793552439</v>
      </c>
    </row>
    <row r="54" spans="1:102" x14ac:dyDescent="0.25">
      <c r="A54" s="186">
        <v>10</v>
      </c>
      <c r="B54" s="187">
        <f>A54/100*'Inputs-Imperial'!$E$5</f>
        <v>0.98425200000000013</v>
      </c>
      <c r="C54" s="188">
        <f>'Inputs-Imperial'!$E$10+('Inputs-Imperial'!$E$9-'Inputs-Imperial'!$E$10)*(100-A54)/100</f>
        <v>2.0341208000000002</v>
      </c>
      <c r="D54" s="187">
        <f t="shared" si="69"/>
        <v>9.8425200000000101E-2</v>
      </c>
      <c r="E54" s="188">
        <f t="shared" si="70"/>
        <v>0.2006931225639122</v>
      </c>
      <c r="F54" s="423">
        <f>Sizing!F70</f>
        <v>105.80204300232114</v>
      </c>
      <c r="G54" s="423">
        <f>Sizing!G70</f>
        <v>1058.0204300232106</v>
      </c>
      <c r="H54" s="423">
        <f>Sizing!H70</f>
        <v>4149.8326013630958</v>
      </c>
      <c r="I54" s="423">
        <f>Sizing!I70</f>
        <v>-968.10363181134301</v>
      </c>
      <c r="J54" s="189">
        <f>Sizing!J70</f>
        <v>414.98326013630964</v>
      </c>
      <c r="K54" s="128">
        <v>10</v>
      </c>
      <c r="L54" s="12">
        <f t="shared" si="11"/>
        <v>11.811024000000002</v>
      </c>
      <c r="M54" s="11">
        <f t="shared" si="11"/>
        <v>24.409449600000002</v>
      </c>
      <c r="N54" s="11">
        <f t="shared" si="11"/>
        <v>1.1811024000000012</v>
      </c>
      <c r="O54" s="152">
        <f t="shared" si="71"/>
        <v>28.899809649203359</v>
      </c>
      <c r="P54" s="170">
        <f t="shared" si="0"/>
        <v>4.3937009280000003</v>
      </c>
      <c r="Q54" s="8">
        <f t="shared" si="1"/>
        <v>2.1968504640000002</v>
      </c>
      <c r="R54" s="170">
        <f>Sizing!X70</f>
        <v>6.1023624000000005</v>
      </c>
      <c r="S54" s="8">
        <f>Sizing!Y70</f>
        <v>18.307087200000002</v>
      </c>
      <c r="T54" s="8">
        <f>Sizing!Z70</f>
        <v>12.204724800000001</v>
      </c>
      <c r="U54" s="17">
        <f>Sizing!CN70</f>
        <v>0.25</v>
      </c>
      <c r="V54" s="17">
        <f>Sizing!CO70</f>
        <v>2.3622047244094495E-2</v>
      </c>
      <c r="W54" s="17">
        <f>Sizing!CP70</f>
        <v>1.5748031496062995E-2</v>
      </c>
      <c r="X54" s="170">
        <f>Sizing!DU70</f>
        <v>0.33770780740629297</v>
      </c>
      <c r="Y54" s="170">
        <f>Sizing!DV70</f>
        <v>0.58112632654724306</v>
      </c>
      <c r="Z54" s="170">
        <f>Sizing!DW70</f>
        <v>0.33770780740629297</v>
      </c>
      <c r="AA54" s="272">
        <f>Sizing!DX70</f>
        <v>0.58112632654724306</v>
      </c>
      <c r="AB54" s="272">
        <f t="shared" si="12"/>
        <v>3.2338344439724427</v>
      </c>
      <c r="AC54" s="216">
        <f>Sizing!GJ70</f>
        <v>0.25</v>
      </c>
      <c r="AD54" s="216">
        <f>Sizing!GK70</f>
        <v>2.3622047244094495E-2</v>
      </c>
      <c r="AE54" s="17">
        <f>Sizing!GL70</f>
        <v>2.3622047244094495E-2</v>
      </c>
      <c r="AF54" s="170">
        <f>Sizing!JC70</f>
        <v>5.2747672707505648E-3</v>
      </c>
      <c r="AG54" s="272">
        <f>Sizing!JD70</f>
        <v>7.2627593039770802E-2</v>
      </c>
      <c r="AH54" s="170">
        <f>Sizing!JC70</f>
        <v>5.2747672707505648E-3</v>
      </c>
      <c r="AI54" s="272">
        <f>Sizing!JD70</f>
        <v>7.2627593039770802E-2</v>
      </c>
      <c r="AJ54" s="216">
        <f>Sizing!IT70</f>
        <v>0.25</v>
      </c>
      <c r="AK54" s="216">
        <f>Sizing!IU70</f>
        <v>1.5748031496062995E-2</v>
      </c>
      <c r="AL54" s="17">
        <f>Sizing!IV70</f>
        <v>1.5748031496062995E-2</v>
      </c>
      <c r="AM54" s="170">
        <f t="shared" si="13"/>
        <v>0</v>
      </c>
      <c r="AN54" s="11">
        <f t="shared" si="14"/>
        <v>0.88291048578991105</v>
      </c>
      <c r="AO54" s="11">
        <f t="shared" si="15"/>
        <v>0.88291048578991105</v>
      </c>
      <c r="AP54" s="11">
        <f t="shared" si="16"/>
        <v>1.7658209715798221</v>
      </c>
      <c r="AQ54" s="555">
        <f t="shared" si="17"/>
        <v>28172225.628359366</v>
      </c>
      <c r="AR54" s="311">
        <f t="shared" si="18"/>
        <v>6.2900602239613947</v>
      </c>
      <c r="AS54" s="11">
        <f t="shared" si="19"/>
        <v>2.379521166237673E-2</v>
      </c>
      <c r="AT54" s="11">
        <f t="shared" si="20"/>
        <v>1.5234470725997589</v>
      </c>
      <c r="AU54" s="11">
        <f t="shared" si="21"/>
        <v>1.5472422842621356</v>
      </c>
      <c r="AV54" s="555">
        <f t="shared" si="22"/>
        <v>24684981.906729277</v>
      </c>
      <c r="AW54" s="138">
        <f t="shared" si="23"/>
        <v>3.9370078740157494E-2</v>
      </c>
      <c r="AX54" s="138">
        <f t="shared" si="24"/>
        <v>4.724409448818899E-2</v>
      </c>
      <c r="AY54" s="554">
        <f t="shared" si="25"/>
        <v>3.1496062992125991E-2</v>
      </c>
      <c r="AZ54" s="12">
        <f t="shared" si="26"/>
        <v>252.69672577236145</v>
      </c>
      <c r="BA54" s="11">
        <f t="shared" si="27"/>
        <v>78.179251948644819</v>
      </c>
      <c r="BB54">
        <f t="shared" si="28"/>
        <v>128.62754880852287</v>
      </c>
      <c r="BC54" s="555">
        <f t="shared" si="29"/>
        <v>485052943.02635413</v>
      </c>
      <c r="BD54">
        <f t="shared" si="30"/>
        <v>10</v>
      </c>
      <c r="BE54" s="207">
        <f t="shared" si="31"/>
        <v>2.0341208000000002</v>
      </c>
      <c r="BF54" s="207">
        <f>'Inputs-Imperial'!$E$15*BE54</f>
        <v>1.5255906000000001</v>
      </c>
      <c r="BG54" s="207">
        <f>'Inputs-Imperial'!$E$12*BE54</f>
        <v>0.50853020000000004</v>
      </c>
      <c r="BH54">
        <f>'Inputs-Imperial'!$E$11*BE54</f>
        <v>0.36614174399999999</v>
      </c>
      <c r="BI54">
        <f t="shared" si="32"/>
        <v>0.38835196508680336</v>
      </c>
      <c r="BJ54">
        <f>'Weight '!U56+'Weight '!V56 /12</f>
        <v>2.4934383202099744E-2</v>
      </c>
      <c r="BK54">
        <f>('Weight '!AK56+'Weight '!AL56)/12</f>
        <v>3.9370078740157488E-3</v>
      </c>
      <c r="BL54">
        <f>'Weight '!AG56/12</f>
        <v>4.8427193878936924E-2</v>
      </c>
      <c r="BM54">
        <f>'Weight '!AI56/12</f>
        <v>4.8427193878936924E-2</v>
      </c>
      <c r="BN54" s="554">
        <f t="shared" si="33"/>
        <v>0.80708785787996384</v>
      </c>
      <c r="BO54" s="554">
        <f t="shared" si="34"/>
        <v>2.4711436119740267</v>
      </c>
      <c r="BP54">
        <f t="shared" si="35"/>
        <v>4.8427193878936924E-2</v>
      </c>
      <c r="BQ54">
        <f t="shared" si="35"/>
        <v>4.8427193878936924E-2</v>
      </c>
      <c r="BR54">
        <f t="shared" si="36"/>
        <v>0.26928735624212619</v>
      </c>
      <c r="BS54">
        <f t="shared" si="37"/>
        <v>0.1396456007285016</v>
      </c>
      <c r="BT54">
        <f t="shared" si="38"/>
        <v>0.32567619192064989</v>
      </c>
      <c r="BU54">
        <f t="shared" si="39"/>
        <v>6.7687647152660443E-2</v>
      </c>
      <c r="BV54">
        <f t="shared" si="40"/>
        <v>426.17404061302943</v>
      </c>
      <c r="BW54" s="207">
        <f t="shared" si="41"/>
        <v>176.22478435143242</v>
      </c>
      <c r="BX54">
        <f t="shared" si="42"/>
        <v>0.7670375264533742</v>
      </c>
      <c r="BY54" s="575">
        <f t="shared" si="43"/>
        <v>-4.8777946468166817</v>
      </c>
      <c r="BZ54">
        <f t="shared" si="44"/>
        <v>427.7999721619683</v>
      </c>
      <c r="CA54" s="207">
        <f t="shared" si="45"/>
        <v>175.55245471781657</v>
      </c>
      <c r="CB54">
        <f t="shared" si="46"/>
        <v>0.7679295583387471</v>
      </c>
      <c r="CC54">
        <f t="shared" si="47"/>
        <v>218.18533864107329</v>
      </c>
      <c r="CD54">
        <f t="shared" si="48"/>
        <v>355.07152594827721</v>
      </c>
      <c r="CE54" s="207">
        <f t="shared" si="49"/>
        <v>205.62597757196906</v>
      </c>
      <c r="CF54">
        <f t="shared" si="50"/>
        <v>0.72802868241406626</v>
      </c>
      <c r="CG54">
        <f t="shared" si="51"/>
        <v>101.97335242492733</v>
      </c>
      <c r="CH54">
        <f t="shared" si="52"/>
        <v>321.08040847330142</v>
      </c>
      <c r="CI54" s="207">
        <f t="shared" ref="CI54" si="96" xml:space="preserve"> ($BQ$38-CH54*($BP54+$BR54+$BQ54+$BN54))/($BP54+$BR54+$BQ54+$BO54)</f>
        <v>219.68144969381726</v>
      </c>
      <c r="CJ54">
        <f t="shared" si="54"/>
        <v>0.70938019710303335</v>
      </c>
      <c r="CK54">
        <f t="shared" si="55"/>
        <v>51.63963519960172</v>
      </c>
      <c r="CL54">
        <f t="shared" si="56"/>
        <v>303.86719674010084</v>
      </c>
      <c r="CM54" s="207">
        <f t="shared" ref="CM54" si="97" xml:space="preserve"> ($BQ$38-CL54*($BP54+$BR54+$BQ54+$BN54))/($BP54+$BR54+$BQ54+$BO54)</f>
        <v>226.79918619723125</v>
      </c>
      <c r="CN54">
        <f t="shared" si="58"/>
        <v>0.69993654387808102</v>
      </c>
      <c r="CO54">
        <f t="shared" si="59"/>
        <v>27.117589998271598</v>
      </c>
      <c r="CP54">
        <f t="shared" si="60"/>
        <v>294.82800007401033</v>
      </c>
      <c r="CQ54" s="207">
        <f t="shared" ref="CQ54" si="98" xml:space="preserve"> ($BQ$38-CP54*($BP54+$BR54+$BQ54+$BN54))/($BP54+$BR54+$BQ54+$BO54)</f>
        <v>230.53693259046682</v>
      </c>
      <c r="CR54">
        <f t="shared" si="62"/>
        <v>0.69497738575757428</v>
      </c>
      <c r="CS54">
        <f t="shared" si="63"/>
        <v>14.500675625462868</v>
      </c>
      <c r="CT54">
        <f t="shared" si="64"/>
        <v>289.9944415321894</v>
      </c>
      <c r="CU54" s="636">
        <f t="shared" si="65"/>
        <v>232.53562967313562</v>
      </c>
      <c r="CV54" s="575">
        <f t="shared" si="66"/>
        <v>0.69232555927574335</v>
      </c>
      <c r="CW54">
        <f t="shared" si="67"/>
        <v>7.827568931580295</v>
      </c>
      <c r="CX54" s="576">
        <f t="shared" si="68"/>
        <v>0.34035616728158097</v>
      </c>
    </row>
    <row r="55" spans="1:102" x14ac:dyDescent="0.25">
      <c r="A55" s="186">
        <v>11</v>
      </c>
      <c r="B55" s="187">
        <f>A55/100*'Inputs-Imperial'!$E$5</f>
        <v>1.0826772</v>
      </c>
      <c r="C55" s="188">
        <f>'Inputs-Imperial'!$E$10+('Inputs-Imperial'!$E$9-'Inputs-Imperial'!$E$10)*(100-A55)/100</f>
        <v>2.0242782799999999</v>
      </c>
      <c r="D55" s="187">
        <f t="shared" si="69"/>
        <v>9.8425199999999879E-2</v>
      </c>
      <c r="E55" s="188">
        <f t="shared" si="70"/>
        <v>0.19972437056440775</v>
      </c>
      <c r="F55" s="423">
        <f>Sizing!F71</f>
        <v>104.2847713600455</v>
      </c>
      <c r="G55" s="423">
        <f>Sizing!G71</f>
        <v>1042.8477136004542</v>
      </c>
      <c r="H55" s="423">
        <f>Sizing!H71</f>
        <v>4045.696728933975</v>
      </c>
      <c r="I55" s="423">
        <f>Sizing!I71</f>
        <v>-950.99534625548131</v>
      </c>
      <c r="J55" s="189">
        <f>Sizing!J71</f>
        <v>404.56967289339758</v>
      </c>
      <c r="K55" s="128">
        <v>11</v>
      </c>
      <c r="L55" s="12">
        <f t="shared" si="11"/>
        <v>12.9921264</v>
      </c>
      <c r="M55" s="11">
        <f t="shared" si="11"/>
        <v>24.291339359999998</v>
      </c>
      <c r="N55" s="11">
        <f t="shared" si="11"/>
        <v>1.1811023999999986</v>
      </c>
      <c r="O55" s="152">
        <f t="shared" si="71"/>
        <v>28.760309361274718</v>
      </c>
      <c r="P55" s="170">
        <f t="shared" si="0"/>
        <v>4.3724410847999993</v>
      </c>
      <c r="Q55" s="8">
        <f t="shared" si="1"/>
        <v>2.1862205423999996</v>
      </c>
      <c r="R55" s="170">
        <f>Sizing!X71</f>
        <v>6.0728348399999996</v>
      </c>
      <c r="S55" s="8">
        <f>Sizing!Y71</f>
        <v>18.21850452</v>
      </c>
      <c r="T55" s="8">
        <f>Sizing!Z71</f>
        <v>12.145669680000001</v>
      </c>
      <c r="U55" s="17">
        <f>Sizing!CN71</f>
        <v>0.25</v>
      </c>
      <c r="V55" s="17">
        <f>Sizing!CO71</f>
        <v>2.3622047244094495E-2</v>
      </c>
      <c r="W55" s="17">
        <f>Sizing!CP71</f>
        <v>1.5748031496062995E-2</v>
      </c>
      <c r="X55" s="170">
        <f>Sizing!DU71</f>
        <v>0.33770780740629297</v>
      </c>
      <c r="Y55" s="170">
        <f>Sizing!DV71</f>
        <v>0.58112632654724306</v>
      </c>
      <c r="Z55" s="170">
        <f>Sizing!DW71</f>
        <v>0.33770780740629297</v>
      </c>
      <c r="AA55" s="272">
        <f>Sizing!DX71</f>
        <v>0.58112632654724306</v>
      </c>
      <c r="AB55" s="272">
        <f t="shared" si="12"/>
        <v>3.2125746007724416</v>
      </c>
      <c r="AC55" s="216">
        <f>Sizing!GJ71</f>
        <v>0.25</v>
      </c>
      <c r="AD55" s="216">
        <f>Sizing!GK71</f>
        <v>2.3622047244094495E-2</v>
      </c>
      <c r="AE55" s="17">
        <f>Sizing!GL71</f>
        <v>2.3622047244094495E-2</v>
      </c>
      <c r="AF55" s="170">
        <f>Sizing!JC71</f>
        <v>5.2747672707505648E-3</v>
      </c>
      <c r="AG55" s="272">
        <f>Sizing!JD71</f>
        <v>7.2627593039770802E-2</v>
      </c>
      <c r="AH55" s="170">
        <f>Sizing!JC71</f>
        <v>5.2747672707505648E-3</v>
      </c>
      <c r="AI55" s="272">
        <f>Sizing!JD71</f>
        <v>7.2627593039770802E-2</v>
      </c>
      <c r="AJ55" s="216">
        <f>Sizing!IT71</f>
        <v>0.25</v>
      </c>
      <c r="AK55" s="216">
        <f>Sizing!IU71</f>
        <v>1.5748031496062995E-2</v>
      </c>
      <c r="AL55" s="17">
        <f>Sizing!IV71</f>
        <v>1.5748031496062995E-2</v>
      </c>
      <c r="AM55" s="170">
        <f t="shared" si="13"/>
        <v>0</v>
      </c>
      <c r="AN55" s="11">
        <f t="shared" si="14"/>
        <v>0.87133980196848471</v>
      </c>
      <c r="AO55" s="11">
        <f t="shared" si="15"/>
        <v>0.87133980196848471</v>
      </c>
      <c r="AP55" s="11">
        <f t="shared" si="16"/>
        <v>1.7426796039369694</v>
      </c>
      <c r="AQ55" s="555">
        <f t="shared" si="17"/>
        <v>27803024.083539117</v>
      </c>
      <c r="AR55" s="311">
        <f t="shared" si="18"/>
        <v>6.2596244486841615</v>
      </c>
      <c r="AS55" s="11">
        <f t="shared" si="19"/>
        <v>2.3565492540422867E-2</v>
      </c>
      <c r="AT55" s="11">
        <f t="shared" si="20"/>
        <v>1.5087397050492442</v>
      </c>
      <c r="AU55" s="11">
        <f t="shared" si="21"/>
        <v>1.5323051975896671</v>
      </c>
      <c r="AV55" s="555">
        <f t="shared" si="22"/>
        <v>24446672.937281117</v>
      </c>
      <c r="AW55" s="138">
        <f t="shared" si="23"/>
        <v>3.9370078740157494E-2</v>
      </c>
      <c r="AX55" s="138">
        <f t="shared" si="24"/>
        <v>4.724409448818899E-2</v>
      </c>
      <c r="AY55" s="554">
        <f t="shared" si="25"/>
        <v>3.1496062992125991E-2</v>
      </c>
      <c r="AZ55" s="12">
        <f t="shared" si="26"/>
        <v>250.25719000404388</v>
      </c>
      <c r="BA55" s="11">
        <f t="shared" si="27"/>
        <v>77.80096524566747</v>
      </c>
      <c r="BB55">
        <f t="shared" si="28"/>
        <v>126.76939485416275</v>
      </c>
      <c r="BC55" s="555">
        <f t="shared" si="29"/>
        <v>478045866.76230955</v>
      </c>
      <c r="BD55">
        <f t="shared" si="30"/>
        <v>11</v>
      </c>
      <c r="BE55" s="207">
        <f t="shared" si="31"/>
        <v>2.0242782799999999</v>
      </c>
      <c r="BF55" s="207">
        <f>'Inputs-Imperial'!$E$15*BE55</f>
        <v>1.5182087099999999</v>
      </c>
      <c r="BG55" s="207">
        <f>'Inputs-Imperial'!$E$12*BE55</f>
        <v>0.50606956999999997</v>
      </c>
      <c r="BH55">
        <f>'Inputs-Imperial'!$E$11*BE55</f>
        <v>0.36437009039999996</v>
      </c>
      <c r="BI55">
        <f t="shared" si="32"/>
        <v>0.38647284267509296</v>
      </c>
      <c r="BJ55">
        <f>'Weight '!U57+'Weight '!V57 /12</f>
        <v>2.4934383202099744E-2</v>
      </c>
      <c r="BK55">
        <f>('Weight '!AK57+'Weight '!AL57)/12</f>
        <v>3.9370078740157488E-3</v>
      </c>
      <c r="BL55">
        <f>'Weight '!AG57/12</f>
        <v>4.8427193878936924E-2</v>
      </c>
      <c r="BM55">
        <f>'Weight '!AI57/12</f>
        <v>4.8427193878936924E-2</v>
      </c>
      <c r="BN55" s="554">
        <f t="shared" si="33"/>
        <v>0.80077627897487258</v>
      </c>
      <c r="BO55" s="554">
        <f t="shared" si="34"/>
        <v>2.461592780541114</v>
      </c>
      <c r="BP55">
        <f t="shared" si="35"/>
        <v>4.8427193878936924E-2</v>
      </c>
      <c r="BQ55">
        <f t="shared" si="35"/>
        <v>4.8427193878936924E-2</v>
      </c>
      <c r="BR55">
        <f t="shared" si="36"/>
        <v>0.26751570264212615</v>
      </c>
      <c r="BS55">
        <f t="shared" si="37"/>
        <v>0.1382974612271918</v>
      </c>
      <c r="BT55">
        <f t="shared" si="38"/>
        <v>0.32253211193048981</v>
      </c>
      <c r="BU55">
        <f t="shared" si="39"/>
        <v>6.6387041693872731E-2</v>
      </c>
      <c r="BV55">
        <f t="shared" si="40"/>
        <v>429.13063383466692</v>
      </c>
      <c r="BW55" s="207">
        <f t="shared" si="41"/>
        <v>176.93084546205941</v>
      </c>
      <c r="BX55">
        <f t="shared" si="42"/>
        <v>0.7636679508832499</v>
      </c>
      <c r="BY55" s="575">
        <f t="shared" si="43"/>
        <v>-4.4522245788432144</v>
      </c>
      <c r="BZ55">
        <f t="shared" si="44"/>
        <v>430.61470869428132</v>
      </c>
      <c r="CA55" s="207">
        <f t="shared" si="45"/>
        <v>176.31896041136008</v>
      </c>
      <c r="CB55">
        <f t="shared" si="46"/>
        <v>0.76447314360928287</v>
      </c>
      <c r="CC55">
        <f t="shared" si="47"/>
        <v>219.10932532999868</v>
      </c>
      <c r="CD55">
        <f t="shared" si="48"/>
        <v>357.57826691761511</v>
      </c>
      <c r="CE55" s="207">
        <f t="shared" si="49"/>
        <v>206.43193388429256</v>
      </c>
      <c r="CF55">
        <f t="shared" si="50"/>
        <v>0.72484683279825834</v>
      </c>
      <c r="CG55">
        <f t="shared" si="51"/>
        <v>102.98477543983626</v>
      </c>
      <c r="CH55">
        <f t="shared" si="52"/>
        <v>323.25000843766969</v>
      </c>
      <c r="CI55" s="207">
        <f t="shared" ref="CI55" si="99" xml:space="preserve"> ($BQ$38-CH55*($BP55+$BR55+$BQ55+$BN55))/($BP55+$BR55+$BQ55+$BO55)</f>
        <v>220.58549766467954</v>
      </c>
      <c r="CJ55">
        <f t="shared" si="54"/>
        <v>0.70622185317114161</v>
      </c>
      <c r="CK55">
        <f t="shared" si="55"/>
        <v>52.403769710478713</v>
      </c>
      <c r="CL55">
        <f t="shared" si="56"/>
        <v>305.78208520084343</v>
      </c>
      <c r="CM55" s="207">
        <f t="shared" ref="CM55" si="100" xml:space="preserve"> ($BQ$38-CL55*($BP55+$BR55+$BQ55+$BN55))/($BP55+$BR55+$BQ55+$BO55)</f>
        <v>227.78753402162897</v>
      </c>
      <c r="CN55">
        <f t="shared" si="58"/>
        <v>0.69674453830519834</v>
      </c>
      <c r="CO55">
        <f t="shared" si="59"/>
        <v>27.647418732655812</v>
      </c>
      <c r="CP55">
        <f t="shared" si="60"/>
        <v>296.56627895662484</v>
      </c>
      <c r="CQ55" s="207">
        <f t="shared" ref="CQ55" si="101" xml:space="preserve"> ($BQ$38-CP55*($BP55+$BR55+$BQ55+$BN55))/($BP55+$BR55+$BQ55+$BO55)</f>
        <v>231.58721705948065</v>
      </c>
      <c r="CR55">
        <f t="shared" si="62"/>
        <v>0.69174445350199454</v>
      </c>
      <c r="CS55">
        <f t="shared" si="63"/>
        <v>14.853192512522087</v>
      </c>
      <c r="CT55">
        <f t="shared" si="64"/>
        <v>291.61521478578413</v>
      </c>
      <c r="CU55" s="636">
        <f t="shared" si="65"/>
        <v>233.62854410680879</v>
      </c>
      <c r="CV55" s="575">
        <f t="shared" si="66"/>
        <v>0.6890582272441631</v>
      </c>
      <c r="CW55">
        <f t="shared" si="67"/>
        <v>8.0557826462060866</v>
      </c>
      <c r="CX55" s="576">
        <f t="shared" si="68"/>
        <v>0.34039698694201431</v>
      </c>
    </row>
    <row r="56" spans="1:102" x14ac:dyDescent="0.25">
      <c r="A56" s="186">
        <v>12</v>
      </c>
      <c r="B56" s="187">
        <f>A56/100*'Inputs-Imperial'!$E$5</f>
        <v>1.1811024000000001</v>
      </c>
      <c r="C56" s="188">
        <f>'Inputs-Imperial'!$E$10+('Inputs-Imperial'!$E$9-'Inputs-Imperial'!$E$10)*(100-A56)/100</f>
        <v>2.01443576</v>
      </c>
      <c r="D56" s="187">
        <f t="shared" si="69"/>
        <v>9.8425200000000101E-2</v>
      </c>
      <c r="E56" s="188">
        <f t="shared" si="70"/>
        <v>0.19875561856490423</v>
      </c>
      <c r="F56" s="423">
        <f>Sizing!F72</f>
        <v>102.77199069554824</v>
      </c>
      <c r="G56" s="423">
        <f>Sizing!G72</f>
        <v>1027.7199069554815</v>
      </c>
      <c r="H56" s="423">
        <f>Sizing!H72</f>
        <v>3943.0542341533073</v>
      </c>
      <c r="I56" s="423">
        <f>Sizing!I72</f>
        <v>-933.98870521348647</v>
      </c>
      <c r="J56" s="189">
        <f>Sizing!J72</f>
        <v>394.30542341533084</v>
      </c>
      <c r="K56" s="128">
        <v>12</v>
      </c>
      <c r="L56" s="12">
        <f t="shared" si="11"/>
        <v>14.1732288</v>
      </c>
      <c r="M56" s="11">
        <f t="shared" si="11"/>
        <v>24.173229120000002</v>
      </c>
      <c r="N56" s="11">
        <f t="shared" si="11"/>
        <v>1.1811024000000012</v>
      </c>
      <c r="O56" s="152">
        <f t="shared" si="71"/>
        <v>28.620809073346209</v>
      </c>
      <c r="P56" s="170">
        <f t="shared" si="0"/>
        <v>4.3511812416</v>
      </c>
      <c r="Q56" s="8">
        <f t="shared" si="1"/>
        <v>2.1755906208</v>
      </c>
      <c r="R56" s="170">
        <f>Sizing!X72</f>
        <v>6.0433072800000005</v>
      </c>
      <c r="S56" s="8">
        <f>Sizing!Y72</f>
        <v>18.129921840000002</v>
      </c>
      <c r="T56" s="8">
        <f>Sizing!Z72</f>
        <v>12.086614560000001</v>
      </c>
      <c r="U56" s="17">
        <f>Sizing!CN72</f>
        <v>0.25</v>
      </c>
      <c r="V56" s="17">
        <f>Sizing!CO72</f>
        <v>2.3622047244094495E-2</v>
      </c>
      <c r="W56" s="17">
        <f>Sizing!CP72</f>
        <v>1.5748031496062995E-2</v>
      </c>
      <c r="X56" s="170">
        <f>Sizing!DU72</f>
        <v>0.33770780740629297</v>
      </c>
      <c r="Y56" s="170">
        <f>Sizing!DV72</f>
        <v>0.58112632654724306</v>
      </c>
      <c r="Z56" s="170">
        <f>Sizing!DW72</f>
        <v>0.33770780740629297</v>
      </c>
      <c r="AA56" s="272">
        <f>Sizing!DX72</f>
        <v>0.58112632654724306</v>
      </c>
      <c r="AB56" s="272">
        <f t="shared" si="12"/>
        <v>3.1913147575724423</v>
      </c>
      <c r="AC56" s="216">
        <f>Sizing!GJ72</f>
        <v>0.25</v>
      </c>
      <c r="AD56" s="216">
        <f>Sizing!GK72</f>
        <v>2.3622047244094495E-2</v>
      </c>
      <c r="AE56" s="17">
        <f>Sizing!GL72</f>
        <v>2.3622047244094495E-2</v>
      </c>
      <c r="AF56" s="170">
        <f>Sizing!JC72</f>
        <v>5.2747672707505648E-3</v>
      </c>
      <c r="AG56" s="272">
        <f>Sizing!JD72</f>
        <v>7.2627593039770802E-2</v>
      </c>
      <c r="AH56" s="170">
        <f>Sizing!JC72</f>
        <v>5.2747672707505648E-3</v>
      </c>
      <c r="AI56" s="272">
        <f>Sizing!JD72</f>
        <v>7.2627593039770802E-2</v>
      </c>
      <c r="AJ56" s="216">
        <f>Sizing!IT72</f>
        <v>0.25</v>
      </c>
      <c r="AK56" s="216">
        <f>Sizing!IU72</f>
        <v>1.5748031496062995E-2</v>
      </c>
      <c r="AL56" s="17">
        <f>Sizing!IV72</f>
        <v>1.5748031496062995E-2</v>
      </c>
      <c r="AM56" s="170">
        <f t="shared" si="13"/>
        <v>0</v>
      </c>
      <c r="AN56" s="11">
        <f t="shared" si="14"/>
        <v>0.85984543689197712</v>
      </c>
      <c r="AO56" s="11">
        <f t="shared" si="15"/>
        <v>0.85984543689197712</v>
      </c>
      <c r="AP56" s="11">
        <f t="shared" si="16"/>
        <v>1.7196908737839542</v>
      </c>
      <c r="AQ56" s="555">
        <f t="shared" si="17"/>
        <v>27436257.744706485</v>
      </c>
      <c r="AR56" s="311">
        <f t="shared" si="18"/>
        <v>6.2291886734069291</v>
      </c>
      <c r="AS56" s="11">
        <f t="shared" si="19"/>
        <v>2.3336887658348914E-2</v>
      </c>
      <c r="AT56" s="11">
        <f t="shared" si="20"/>
        <v>1.4941036747706</v>
      </c>
      <c r="AU56" s="11">
        <f t="shared" si="21"/>
        <v>1.5174405624289489</v>
      </c>
      <c r="AV56" s="555">
        <f t="shared" si="22"/>
        <v>24209519.872292686</v>
      </c>
      <c r="AW56" s="138">
        <f t="shared" si="23"/>
        <v>3.9370078740157494E-2</v>
      </c>
      <c r="AX56" s="138">
        <f t="shared" si="24"/>
        <v>4.724409448818899E-2</v>
      </c>
      <c r="AY56" s="554">
        <f t="shared" si="25"/>
        <v>3.1496062992125991E-2</v>
      </c>
      <c r="AZ56" s="12">
        <f t="shared" si="26"/>
        <v>247.82948706887919</v>
      </c>
      <c r="BA56" s="11">
        <f t="shared" si="27"/>
        <v>77.422678542690178</v>
      </c>
      <c r="BB56">
        <f t="shared" si="28"/>
        <v>124.92922289382442</v>
      </c>
      <c r="BC56" s="555">
        <f t="shared" si="29"/>
        <v>471106600.38193721</v>
      </c>
      <c r="BD56">
        <f t="shared" si="30"/>
        <v>12</v>
      </c>
      <c r="BE56" s="207">
        <f t="shared" si="31"/>
        <v>2.01443576</v>
      </c>
      <c r="BF56" s="207">
        <f>'Inputs-Imperial'!$E$15*BE56</f>
        <v>1.5108268200000001</v>
      </c>
      <c r="BG56" s="207">
        <f>'Inputs-Imperial'!$E$12*BE56</f>
        <v>0.50360894</v>
      </c>
      <c r="BH56">
        <f>'Inputs-Imperial'!$E$11*BE56</f>
        <v>0.36259843679999998</v>
      </c>
      <c r="BI56">
        <f t="shared" si="32"/>
        <v>0.38459372026338268</v>
      </c>
      <c r="BJ56">
        <f>'Weight '!U58+'Weight '!V58 /12</f>
        <v>2.4934383202099744E-2</v>
      </c>
      <c r="BK56">
        <f>('Weight '!AK58+'Weight '!AL58)/12</f>
        <v>3.9370078740157488E-3</v>
      </c>
      <c r="BL56">
        <f>'Weight '!AG58/12</f>
        <v>4.8427193878936924E-2</v>
      </c>
      <c r="BM56">
        <f>'Weight '!AI58/12</f>
        <v>4.8427193878936924E-2</v>
      </c>
      <c r="BN56" s="554">
        <f t="shared" si="33"/>
        <v>0.79447478103791125</v>
      </c>
      <c r="BO56" s="554">
        <f t="shared" si="34"/>
        <v>2.452031868140073</v>
      </c>
      <c r="BP56">
        <f t="shared" si="35"/>
        <v>4.8427193878936924E-2</v>
      </c>
      <c r="BQ56">
        <f t="shared" si="35"/>
        <v>4.8427193878936924E-2</v>
      </c>
      <c r="BR56">
        <f t="shared" si="36"/>
        <v>0.26574404904212617</v>
      </c>
      <c r="BS56">
        <f t="shared" si="37"/>
        <v>0.13695586080187874</v>
      </c>
      <c r="BT56">
        <f t="shared" si="38"/>
        <v>0.31940328212621572</v>
      </c>
      <c r="BU56">
        <f t="shared" si="39"/>
        <v>6.5105270056796657E-2</v>
      </c>
      <c r="BV56">
        <f t="shared" si="40"/>
        <v>432.12477161496497</v>
      </c>
      <c r="BW56" s="207">
        <f t="shared" si="41"/>
        <v>177.64322338263378</v>
      </c>
      <c r="BX56">
        <f t="shared" si="42"/>
        <v>0.76029779294889821</v>
      </c>
      <c r="BY56" s="575">
        <f t="shared" si="43"/>
        <v>-4.0232602560159876</v>
      </c>
      <c r="BZ56">
        <f t="shared" si="44"/>
        <v>433.46585836697028</v>
      </c>
      <c r="CA56" s="207">
        <f t="shared" si="45"/>
        <v>177.09191276794343</v>
      </c>
      <c r="CB56">
        <f t="shared" si="46"/>
        <v>0.76101731316956622</v>
      </c>
      <c r="CC56">
        <f t="shared" si="47"/>
        <v>220.04521970644208</v>
      </c>
      <c r="CD56">
        <f t="shared" si="48"/>
        <v>360.11745179815625</v>
      </c>
      <c r="CE56" s="207">
        <f t="shared" si="49"/>
        <v>207.24488762325683</v>
      </c>
      <c r="CF56">
        <f t="shared" si="50"/>
        <v>0.72166440658009723</v>
      </c>
      <c r="CG56">
        <f t="shared" si="51"/>
        <v>104.00610644073313</v>
      </c>
      <c r="CH56">
        <f t="shared" si="52"/>
        <v>325.44874965124518</v>
      </c>
      <c r="CI56" s="207">
        <f t="shared" ref="CI56" si="102" xml:space="preserve"> ($BQ$38-CH56*($BP56+$BR56+$BQ56+$BN56))/($BP56+$BR56+$BQ56+$BO56)</f>
        <v>221.49692871049459</v>
      </c>
      <c r="CJ56">
        <f t="shared" si="54"/>
        <v>0.70306394528874616</v>
      </c>
      <c r="CK56">
        <f t="shared" si="55"/>
        <v>53.177641588022901</v>
      </c>
      <c r="CL56">
        <f t="shared" si="56"/>
        <v>307.72286912190424</v>
      </c>
      <c r="CM56" s="207">
        <f t="shared" ref="CM56" si="103" xml:space="preserve"> ($BQ$38-CL56*($BP56+$BR56+$BQ56+$BN56))/($BP56+$BR56+$BQ56+$BO56)</f>
        <v>228.7839040504164</v>
      </c>
      <c r="CN56">
        <f t="shared" si="58"/>
        <v>0.69355365115532419</v>
      </c>
      <c r="CO56">
        <f t="shared" si="59"/>
        <v>28.185955924169527</v>
      </c>
      <c r="CP56">
        <f t="shared" si="60"/>
        <v>298.32755048051439</v>
      </c>
      <c r="CQ56" s="207">
        <f t="shared" ref="CQ56" si="104" xml:space="preserve"> ($BQ$38-CP56*($BP56+$BR56+$BQ56+$BN56))/($BP56+$BR56+$BQ56+$BO56)</f>
        <v>232.6462484421204</v>
      </c>
      <c r="CR56">
        <f t="shared" si="62"/>
        <v>0.68851287230042113</v>
      </c>
      <c r="CS56">
        <f t="shared" si="63"/>
        <v>15.212937753469681</v>
      </c>
      <c r="CT56">
        <f t="shared" si="64"/>
        <v>293.2565712293578</v>
      </c>
      <c r="CU56" s="636">
        <f t="shared" si="65"/>
        <v>234.73088963617946</v>
      </c>
      <c r="CV56" s="575">
        <f t="shared" si="66"/>
        <v>0.68579218916464391</v>
      </c>
      <c r="CW56">
        <f t="shared" si="67"/>
        <v>8.2896664359064758</v>
      </c>
      <c r="CX56" s="576">
        <f t="shared" si="68"/>
        <v>0.3404388478313371</v>
      </c>
    </row>
    <row r="57" spans="1:102" x14ac:dyDescent="0.25">
      <c r="A57" s="186">
        <v>13</v>
      </c>
      <c r="B57" s="187">
        <f>A57/100*'Inputs-Imperial'!$E$5</f>
        <v>1.2795276</v>
      </c>
      <c r="C57" s="188">
        <f>'Inputs-Imperial'!$E$10+('Inputs-Imperial'!$E$9-'Inputs-Imperial'!$E$10)*(100-A57)/100</f>
        <v>2.0045932400000002</v>
      </c>
      <c r="D57" s="187">
        <f t="shared" si="69"/>
        <v>9.8425199999999879E-2</v>
      </c>
      <c r="E57" s="188">
        <f t="shared" si="70"/>
        <v>0.19778686656539973</v>
      </c>
      <c r="F57" s="423">
        <f>Sizing!F73</f>
        <v>101.26377974651177</v>
      </c>
      <c r="G57" s="423">
        <f>Sizing!G73</f>
        <v>1012.6377974651168</v>
      </c>
      <c r="H57" s="423">
        <f>Sizing!H73</f>
        <v>3841.9006967672326</v>
      </c>
      <c r="I57" s="423">
        <f>Sizing!I73</f>
        <v>-917.08517371937899</v>
      </c>
      <c r="J57" s="189">
        <f>Sizing!J73</f>
        <v>384.1900696767234</v>
      </c>
      <c r="K57" s="128">
        <v>13</v>
      </c>
      <c r="L57" s="12">
        <f t="shared" si="11"/>
        <v>15.354331200000001</v>
      </c>
      <c r="M57" s="11">
        <f t="shared" si="11"/>
        <v>24.055118880000002</v>
      </c>
      <c r="N57" s="11">
        <f t="shared" si="11"/>
        <v>1.1811023999999986</v>
      </c>
      <c r="O57" s="152">
        <f t="shared" si="71"/>
        <v>28.481308785417564</v>
      </c>
      <c r="P57" s="170">
        <f t="shared" si="0"/>
        <v>4.3299213983999998</v>
      </c>
      <c r="Q57" s="8">
        <f t="shared" si="1"/>
        <v>2.1649606991999999</v>
      </c>
      <c r="R57" s="170">
        <f>Sizing!X73</f>
        <v>6.0137797200000005</v>
      </c>
      <c r="S57" s="8">
        <f>Sizing!Y73</f>
        <v>18.04133916</v>
      </c>
      <c r="T57" s="8">
        <f>Sizing!Z73</f>
        <v>12.027559439999999</v>
      </c>
      <c r="U57" s="17">
        <f>Sizing!CN73</f>
        <v>0.25</v>
      </c>
      <c r="V57" s="17">
        <f>Sizing!CO73</f>
        <v>2.3622047244094495E-2</v>
      </c>
      <c r="W57" s="17">
        <f>Sizing!CP73</f>
        <v>1.5748031496062995E-2</v>
      </c>
      <c r="X57" s="170">
        <f>Sizing!DU73</f>
        <v>0.33770780740629297</v>
      </c>
      <c r="Y57" s="170">
        <f>Sizing!DV73</f>
        <v>0.58112632654724306</v>
      </c>
      <c r="Z57" s="170">
        <f>Sizing!DW73</f>
        <v>0.33770780740629297</v>
      </c>
      <c r="AA57" s="272">
        <f>Sizing!DX73</f>
        <v>0.58112632654724306</v>
      </c>
      <c r="AB57" s="272">
        <f t="shared" si="12"/>
        <v>3.1700549143724421</v>
      </c>
      <c r="AC57" s="216">
        <f>Sizing!GJ73</f>
        <v>0.25</v>
      </c>
      <c r="AD57" s="216">
        <f>Sizing!GK73</f>
        <v>2.3622047244094495E-2</v>
      </c>
      <c r="AE57" s="17">
        <f>Sizing!GL73</f>
        <v>2.3622047244094495E-2</v>
      </c>
      <c r="AF57" s="170">
        <f>Sizing!JC73</f>
        <v>5.2747672707505648E-3</v>
      </c>
      <c r="AG57" s="272">
        <f>Sizing!JD73</f>
        <v>7.2627593039770802E-2</v>
      </c>
      <c r="AH57" s="170">
        <f>Sizing!JC73</f>
        <v>5.2747672707505648E-3</v>
      </c>
      <c r="AI57" s="272">
        <f>Sizing!JD73</f>
        <v>7.2627593039770802E-2</v>
      </c>
      <c r="AJ57" s="216">
        <f>Sizing!IT73</f>
        <v>0.25</v>
      </c>
      <c r="AK57" s="216">
        <f>Sizing!IU73</f>
        <v>1.5748031496062995E-2</v>
      </c>
      <c r="AL57" s="17">
        <f>Sizing!IV73</f>
        <v>1.5748031496062995E-2</v>
      </c>
      <c r="AM57" s="170">
        <f t="shared" si="13"/>
        <v>0</v>
      </c>
      <c r="AN57" s="11">
        <f t="shared" si="14"/>
        <v>0.84842739056038663</v>
      </c>
      <c r="AO57" s="11">
        <f t="shared" si="15"/>
        <v>0.84842739056038663</v>
      </c>
      <c r="AP57" s="11">
        <f t="shared" si="16"/>
        <v>1.6968547811207733</v>
      </c>
      <c r="AQ57" s="555">
        <f t="shared" si="17"/>
        <v>27071926.611861419</v>
      </c>
      <c r="AR57" s="311">
        <f t="shared" si="18"/>
        <v>6.1987528981296984</v>
      </c>
      <c r="AS57" s="11">
        <f t="shared" si="19"/>
        <v>2.3109397016155761E-2</v>
      </c>
      <c r="AT57" s="11">
        <f t="shared" si="20"/>
        <v>1.4795389817638249</v>
      </c>
      <c r="AU57" s="11">
        <f t="shared" si="21"/>
        <v>1.5026483787799807</v>
      </c>
      <c r="AV57" s="555">
        <f t="shared" si="22"/>
        <v>23973522.711763993</v>
      </c>
      <c r="AW57" s="138">
        <f t="shared" si="23"/>
        <v>3.9370078740157494E-2</v>
      </c>
      <c r="AX57" s="138">
        <f t="shared" si="24"/>
        <v>4.724409448818899E-2</v>
      </c>
      <c r="AY57" s="554">
        <f t="shared" si="25"/>
        <v>3.1496062992125991E-2</v>
      </c>
      <c r="AZ57" s="12">
        <f t="shared" si="26"/>
        <v>245.41361696686712</v>
      </c>
      <c r="BA57" s="11">
        <f t="shared" si="27"/>
        <v>77.044391839712873</v>
      </c>
      <c r="BB57">
        <f t="shared" si="28"/>
        <v>123.10694549479769</v>
      </c>
      <c r="BC57" s="555">
        <f t="shared" si="29"/>
        <v>464234814.17753619</v>
      </c>
      <c r="BD57">
        <f t="shared" si="30"/>
        <v>13</v>
      </c>
      <c r="BE57" s="207">
        <f t="shared" si="31"/>
        <v>2.0045932400000002</v>
      </c>
      <c r="BF57" s="207">
        <f>'Inputs-Imperial'!$E$15*BE57</f>
        <v>1.5034449300000001</v>
      </c>
      <c r="BG57" s="207">
        <f>'Inputs-Imperial'!$E$12*BE57</f>
        <v>0.50114831000000004</v>
      </c>
      <c r="BH57">
        <f>'Inputs-Imperial'!$E$11*BE57</f>
        <v>0.3608267832</v>
      </c>
      <c r="BI57">
        <f t="shared" si="32"/>
        <v>0.38271459785167233</v>
      </c>
      <c r="BJ57">
        <f>'Weight '!U59+'Weight '!V59 /12</f>
        <v>2.4934383202099744E-2</v>
      </c>
      <c r="BK57">
        <f>('Weight '!AK59+'Weight '!AL59)/12</f>
        <v>3.9370078740157488E-3</v>
      </c>
      <c r="BL57">
        <f>'Weight '!AG59/12</f>
        <v>4.8427193878936924E-2</v>
      </c>
      <c r="BM57">
        <f>'Weight '!AI59/12</f>
        <v>4.8427193878936924E-2</v>
      </c>
      <c r="BN57" s="554">
        <f t="shared" si="33"/>
        <v>0.78818350132093529</v>
      </c>
      <c r="BO57" s="554">
        <f t="shared" si="34"/>
        <v>2.4424607375190455</v>
      </c>
      <c r="BP57">
        <f t="shared" si="35"/>
        <v>4.8427193878936924E-2</v>
      </c>
      <c r="BQ57">
        <f t="shared" si="35"/>
        <v>4.8427193878936924E-2</v>
      </c>
      <c r="BR57">
        <f t="shared" si="36"/>
        <v>0.2639723954421262</v>
      </c>
      <c r="BS57">
        <f t="shared" si="37"/>
        <v>0.13562079945256231</v>
      </c>
      <c r="BT57">
        <f t="shared" si="38"/>
        <v>0.31628970250782762</v>
      </c>
      <c r="BU57">
        <f t="shared" si="39"/>
        <v>6.3842149538413343E-2</v>
      </c>
      <c r="BV57">
        <f t="shared" si="40"/>
        <v>435.15711454964776</v>
      </c>
      <c r="BW57" s="207">
        <f t="shared" si="41"/>
        <v>178.3620111403163</v>
      </c>
      <c r="BX57">
        <f t="shared" si="42"/>
        <v>0.75692704164085001</v>
      </c>
      <c r="BY57" s="575">
        <f t="shared" si="43"/>
        <v>-3.5908657245962559</v>
      </c>
      <c r="BZ57">
        <f t="shared" si="44"/>
        <v>436.35406979117982</v>
      </c>
      <c r="CA57" s="207">
        <f t="shared" si="45"/>
        <v>177.87140364020556</v>
      </c>
      <c r="CB57">
        <f t="shared" si="46"/>
        <v>0.75756205389489739</v>
      </c>
      <c r="CC57">
        <f t="shared" si="47"/>
        <v>220.99317560348325</v>
      </c>
      <c r="CD57">
        <f t="shared" si="48"/>
        <v>362.68967792335206</v>
      </c>
      <c r="CE57" s="207">
        <f t="shared" si="49"/>
        <v>208.06493292806252</v>
      </c>
      <c r="CF57">
        <f t="shared" si="50"/>
        <v>0.71848140167005869</v>
      </c>
      <c r="CG57">
        <f t="shared" si="51"/>
        <v>105.03750162501817</v>
      </c>
      <c r="CH57">
        <f t="shared" si="52"/>
        <v>327.67717738167937</v>
      </c>
      <c r="CI57" s="207">
        <f t="shared" ref="CI57" si="105" xml:space="preserve"> ($BQ$38-CH57*($BP57+$BR57+$BQ57+$BN57))/($BP57+$BR57+$BQ57+$BO57)</f>
        <v>222.41584160647656</v>
      </c>
      <c r="CJ57">
        <f t="shared" si="54"/>
        <v>0.69990646576824378</v>
      </c>
      <c r="CK57">
        <f t="shared" si="55"/>
        <v>53.961393477196047</v>
      </c>
      <c r="CL57">
        <f t="shared" si="56"/>
        <v>309.690046222614</v>
      </c>
      <c r="CM57" s="207">
        <f t="shared" ref="CM57" si="106" xml:space="preserve"> ($BQ$38-CL57*($BP57+$BR57+$BQ57+$BN57))/($BP57+$BR57+$BQ57+$BO57)</f>
        <v>229.78839919753375</v>
      </c>
      <c r="CN57">
        <f t="shared" si="58"/>
        <v>0.69036387945854805</v>
      </c>
      <c r="CO57">
        <f t="shared" si="59"/>
        <v>28.733339236419525</v>
      </c>
      <c r="CP57">
        <f t="shared" si="60"/>
        <v>300.11226647714085</v>
      </c>
      <c r="CQ57" s="207">
        <f t="shared" ref="CQ57" si="107" xml:space="preserve"> ($BQ$38-CP57*($BP57+$BR57+$BQ57+$BN57))/($BP57+$BR57+$BQ57+$BO57)</f>
        <v>233.71413544438229</v>
      </c>
      <c r="CR57">
        <f t="shared" si="62"/>
        <v>0.68528264726714494</v>
      </c>
      <c r="CS57">
        <f t="shared" si="63"/>
        <v>15.580043355438608</v>
      </c>
      <c r="CT57">
        <f t="shared" si="64"/>
        <v>294.91891869199463</v>
      </c>
      <c r="CU57" s="636">
        <f t="shared" si="65"/>
        <v>235.84278260316407</v>
      </c>
      <c r="CV57" s="575">
        <f t="shared" si="66"/>
        <v>0.68252745695704109</v>
      </c>
      <c r="CW57">
        <f t="shared" si="67"/>
        <v>8.5293423685857679</v>
      </c>
      <c r="CX57" s="576">
        <f t="shared" si="68"/>
        <v>0.34048177123307122</v>
      </c>
    </row>
    <row r="58" spans="1:102" x14ac:dyDescent="0.25">
      <c r="A58" s="186">
        <v>14</v>
      </c>
      <c r="B58" s="187">
        <f>A58/100*'Inputs-Imperial'!$E$5</f>
        <v>1.3779528000000001</v>
      </c>
      <c r="C58" s="188">
        <f>'Inputs-Imperial'!$E$10+('Inputs-Imperial'!$E$9-'Inputs-Imperial'!$E$10)*(100-A58)/100</f>
        <v>1.9947507199999999</v>
      </c>
      <c r="D58" s="187">
        <f t="shared" si="69"/>
        <v>9.8425200000000101E-2</v>
      </c>
      <c r="E58" s="188">
        <f t="shared" si="70"/>
        <v>0.19681811456589621</v>
      </c>
      <c r="F58" s="423">
        <f>Sizing!F74</f>
        <v>99.760217538823909</v>
      </c>
      <c r="G58" s="423">
        <f>Sizing!G74</f>
        <v>997.60217538823815</v>
      </c>
      <c r="H58" s="423">
        <f>Sizing!H74</f>
        <v>3742.231619024169</v>
      </c>
      <c r="I58" s="423">
        <f>Sizing!I74</f>
        <v>-900.28620724591212</v>
      </c>
      <c r="J58" s="189">
        <f>Sizing!J74</f>
        <v>374.22316190241702</v>
      </c>
      <c r="K58" s="128">
        <v>14</v>
      </c>
      <c r="L58" s="12">
        <f t="shared" si="11"/>
        <v>16.535433600000001</v>
      </c>
      <c r="M58" s="11">
        <f t="shared" si="11"/>
        <v>23.937008639999998</v>
      </c>
      <c r="N58" s="11">
        <f t="shared" si="11"/>
        <v>1.1811024000000012</v>
      </c>
      <c r="O58" s="152">
        <f t="shared" si="71"/>
        <v>28.341808497489051</v>
      </c>
      <c r="P58" s="170">
        <f t="shared" si="0"/>
        <v>4.3086615551999996</v>
      </c>
      <c r="Q58" s="8">
        <f t="shared" si="1"/>
        <v>2.1543307775999998</v>
      </c>
      <c r="R58" s="170">
        <f>Sizing!X74</f>
        <v>5.9842521599999996</v>
      </c>
      <c r="S58" s="8">
        <f>Sizing!Y74</f>
        <v>17.952756479999998</v>
      </c>
      <c r="T58" s="8">
        <f>Sizing!Z74</f>
        <v>11.968504319999997</v>
      </c>
      <c r="U58" s="17">
        <f>Sizing!CN74</f>
        <v>0.25</v>
      </c>
      <c r="V58" s="17">
        <f>Sizing!CO74</f>
        <v>2.3622047244094495E-2</v>
      </c>
      <c r="W58" s="17">
        <f>Sizing!CP74</f>
        <v>1.5748031496062995E-2</v>
      </c>
      <c r="X58" s="170">
        <f>Sizing!DU74</f>
        <v>0.33770780740629297</v>
      </c>
      <c r="Y58" s="170">
        <f>Sizing!DV74</f>
        <v>0.58112632654724306</v>
      </c>
      <c r="Z58" s="170">
        <f>Sizing!DW74</f>
        <v>0.33770780740629297</v>
      </c>
      <c r="AA58" s="272">
        <f>Sizing!DX74</f>
        <v>0.58112632654724306</v>
      </c>
      <c r="AB58" s="272">
        <f t="shared" si="12"/>
        <v>3.148795071172442</v>
      </c>
      <c r="AC58" s="216">
        <f>Sizing!GJ74</f>
        <v>0.25</v>
      </c>
      <c r="AD58" s="216">
        <f>Sizing!GK74</f>
        <v>2.3622047244094495E-2</v>
      </c>
      <c r="AE58" s="17">
        <f>Sizing!GL74</f>
        <v>2.3622047244094495E-2</v>
      </c>
      <c r="AF58" s="170">
        <f>Sizing!JC74</f>
        <v>5.2747672707505648E-3</v>
      </c>
      <c r="AG58" s="272">
        <f>Sizing!JD74</f>
        <v>7.2627593039770802E-2</v>
      </c>
      <c r="AH58" s="170">
        <f>Sizing!JC74</f>
        <v>5.2747672707505648E-3</v>
      </c>
      <c r="AI58" s="272">
        <f>Sizing!JD74</f>
        <v>7.2627593039770802E-2</v>
      </c>
      <c r="AJ58" s="216">
        <f>Sizing!IT74</f>
        <v>0.25</v>
      </c>
      <c r="AK58" s="216">
        <f>Sizing!IU74</f>
        <v>1.5748031496062995E-2</v>
      </c>
      <c r="AL58" s="17">
        <f>Sizing!IV74</f>
        <v>1.5748031496062995E-2</v>
      </c>
      <c r="AM58" s="170">
        <f t="shared" si="13"/>
        <v>0</v>
      </c>
      <c r="AN58" s="11">
        <f t="shared" si="14"/>
        <v>0.83708566297371378</v>
      </c>
      <c r="AO58" s="11">
        <f t="shared" si="15"/>
        <v>0.83708566297371378</v>
      </c>
      <c r="AP58" s="11">
        <f t="shared" si="16"/>
        <v>1.6741713259474276</v>
      </c>
      <c r="AQ58" s="555">
        <f t="shared" si="17"/>
        <v>26710030.685003929</v>
      </c>
      <c r="AR58" s="311">
        <f t="shared" si="18"/>
        <v>6.1683171228524634</v>
      </c>
      <c r="AS58" s="11">
        <f t="shared" si="19"/>
        <v>2.2883020613841849E-2</v>
      </c>
      <c r="AT58" s="11">
        <f t="shared" si="20"/>
        <v>1.4650456260289197</v>
      </c>
      <c r="AU58" s="11">
        <f t="shared" si="21"/>
        <v>1.4879286466427617</v>
      </c>
      <c r="AV58" s="555">
        <f t="shared" si="22"/>
        <v>23738681.455695014</v>
      </c>
      <c r="AW58" s="138">
        <f t="shared" si="23"/>
        <v>3.9370078740157494E-2</v>
      </c>
      <c r="AX58" s="138">
        <f t="shared" si="24"/>
        <v>4.724409448818899E-2</v>
      </c>
      <c r="AY58" s="554">
        <f t="shared" si="25"/>
        <v>3.1496062992125991E-2</v>
      </c>
      <c r="AZ58" s="12">
        <f t="shared" si="26"/>
        <v>243.00957969800777</v>
      </c>
      <c r="BA58" s="11">
        <f t="shared" si="27"/>
        <v>76.666105136735553</v>
      </c>
      <c r="BB58">
        <f t="shared" si="28"/>
        <v>121.30247522437271</v>
      </c>
      <c r="BC58" s="555">
        <f t="shared" si="29"/>
        <v>457430178.44140685</v>
      </c>
      <c r="BD58">
        <f t="shared" si="30"/>
        <v>14</v>
      </c>
      <c r="BE58" s="207">
        <f t="shared" si="31"/>
        <v>1.9947507199999999</v>
      </c>
      <c r="BF58" s="207">
        <f>'Inputs-Imperial'!$E$15*BE58</f>
        <v>1.4960630399999999</v>
      </c>
      <c r="BG58" s="207">
        <f>'Inputs-Imperial'!$E$12*BE58</f>
        <v>0.49868767999999997</v>
      </c>
      <c r="BH58">
        <f>'Inputs-Imperial'!$E$11*BE58</f>
        <v>0.35905512959999997</v>
      </c>
      <c r="BI58">
        <f t="shared" si="32"/>
        <v>0.38083547543996199</v>
      </c>
      <c r="BJ58">
        <f>'Weight '!U60+'Weight '!V60 /12</f>
        <v>2.4934383202099744E-2</v>
      </c>
      <c r="BK58">
        <f>('Weight '!AK60+'Weight '!AL60)/12</f>
        <v>3.9370078740157488E-3</v>
      </c>
      <c r="BL58">
        <f>'Weight '!AG60/12</f>
        <v>4.8427193878936924E-2</v>
      </c>
      <c r="BM58">
        <f>'Weight '!AI60/12</f>
        <v>4.8427193878936924E-2</v>
      </c>
      <c r="BN58" s="554">
        <f t="shared" si="33"/>
        <v>0.78190257842627164</v>
      </c>
      <c r="BO58" s="554">
        <f t="shared" si="34"/>
        <v>2.4328792500757057</v>
      </c>
      <c r="BP58">
        <f t="shared" si="35"/>
        <v>4.8427193878936924E-2</v>
      </c>
      <c r="BQ58">
        <f t="shared" si="35"/>
        <v>4.8427193878936924E-2</v>
      </c>
      <c r="BR58">
        <f t="shared" si="36"/>
        <v>0.26220074184212616</v>
      </c>
      <c r="BS58">
        <f t="shared" si="37"/>
        <v>0.13429227717924247</v>
      </c>
      <c r="BT58">
        <f t="shared" si="38"/>
        <v>0.31319137307532546</v>
      </c>
      <c r="BU58">
        <f t="shared" si="39"/>
        <v>6.259749832621421E-2</v>
      </c>
      <c r="BV58">
        <f t="shared" si="40"/>
        <v>438.22833789776809</v>
      </c>
      <c r="BW58" s="207">
        <f t="shared" si="41"/>
        <v>179.08730364145487</v>
      </c>
      <c r="BX58">
        <f t="shared" si="42"/>
        <v>0.75355568578588161</v>
      </c>
      <c r="BY58" s="575">
        <f t="shared" si="43"/>
        <v>-3.1550045263584536</v>
      </c>
      <c r="BZ58">
        <f t="shared" si="44"/>
        <v>439.28000607322087</v>
      </c>
      <c r="CA58" s="207">
        <f t="shared" si="45"/>
        <v>178.65752673845756</v>
      </c>
      <c r="CB58">
        <f t="shared" si="46"/>
        <v>0.75410735245085014</v>
      </c>
      <c r="CC58">
        <f t="shared" si="47"/>
        <v>221.95334939065376</v>
      </c>
      <c r="CD58">
        <f t="shared" si="48"/>
        <v>365.2955562763363</v>
      </c>
      <c r="CE58" s="207">
        <f t="shared" si="49"/>
        <v>208.89216580602874</v>
      </c>
      <c r="CF58">
        <f t="shared" si="50"/>
        <v>0.71529781572467721</v>
      </c>
      <c r="CG58">
        <f t="shared" si="51"/>
        <v>106.0791198051414</v>
      </c>
      <c r="CH58">
        <f t="shared" si="52"/>
        <v>329.93584967462249</v>
      </c>
      <c r="CI58" s="207">
        <f t="shared" ref="CI58" si="108" xml:space="preserve"> ($BQ$38-CH58*($BP58+$BR58+$BQ58+$BN58))/($BP58+$BR58+$BQ58+$BO58)</f>
        <v>223.34233701866978</v>
      </c>
      <c r="CJ58">
        <f t="shared" si="54"/>
        <v>0.69674940675828789</v>
      </c>
      <c r="CK58">
        <f t="shared" si="55"/>
        <v>54.755170671383866</v>
      </c>
      <c r="CL58">
        <f t="shared" si="56"/>
        <v>311.68412611749454</v>
      </c>
      <c r="CM58" s="207">
        <f t="shared" ref="CM58" si="109" xml:space="preserve"> ($BQ$38-CL58*($BP58+$BR58+$BQ58+$BN58))/($BP58+$BR58+$BQ58+$BO58)</f>
        <v>230.80112431283561</v>
      </c>
      <c r="CN58">
        <f t="shared" si="58"/>
        <v>0.68717522005214926</v>
      </c>
      <c r="CO58">
        <f t="shared" si="59"/>
        <v>29.289708866355369</v>
      </c>
      <c r="CP58">
        <f t="shared" si="60"/>
        <v>301.92088982870939</v>
      </c>
      <c r="CQ58" s="207">
        <f t="shared" ref="CQ58" si="110" xml:space="preserve"> ($BQ$38-CP58*($BP58+$BR58+$BQ58+$BN58))/($BP58+$BR58+$BQ58+$BO58)</f>
        <v>234.7909887523663</v>
      </c>
      <c r="CR58">
        <f t="shared" si="62"/>
        <v>0.68205378334002731</v>
      </c>
      <c r="CS58">
        <f t="shared" si="63"/>
        <v>15.954643788125342</v>
      </c>
      <c r="CT58">
        <f t="shared" si="64"/>
        <v>296.60267523266759</v>
      </c>
      <c r="CU58" s="636">
        <f t="shared" si="65"/>
        <v>236.96434138574602</v>
      </c>
      <c r="CV58" s="575">
        <f t="shared" si="66"/>
        <v>0.67926404245191652</v>
      </c>
      <c r="CW58">
        <f t="shared" si="67"/>
        <v>8.7749349557834169</v>
      </c>
      <c r="CX58" s="576">
        <f t="shared" si="68"/>
        <v>0.34052577880604379</v>
      </c>
    </row>
    <row r="59" spans="1:102" x14ac:dyDescent="0.25">
      <c r="A59" s="186">
        <v>15</v>
      </c>
      <c r="B59" s="187">
        <f>A59/100*'Inputs-Imperial'!$E$5</f>
        <v>1.476378</v>
      </c>
      <c r="C59" s="188">
        <f>'Inputs-Imperial'!$E$10+('Inputs-Imperial'!$E$9-'Inputs-Imperial'!$E$10)*(100-A59)/100</f>
        <v>1.9849082</v>
      </c>
      <c r="D59" s="187">
        <f t="shared" si="69"/>
        <v>9.8425199999999879E-2</v>
      </c>
      <c r="E59" s="188">
        <f t="shared" si="70"/>
        <v>0.19584936256639177</v>
      </c>
      <c r="F59" s="423">
        <f>Sizing!F75</f>
        <v>98.261383412584777</v>
      </c>
      <c r="G59" s="423">
        <f>Sizing!G75</f>
        <v>982.61383412584678</v>
      </c>
      <c r="H59" s="423">
        <f>Sizing!H75</f>
        <v>3644.0424253911469</v>
      </c>
      <c r="I59" s="423">
        <f>Sizing!I75</f>
        <v>-883.59325192637573</v>
      </c>
      <c r="J59" s="189">
        <f>Sizing!J75</f>
        <v>364.40424253911476</v>
      </c>
      <c r="K59" s="128">
        <v>15</v>
      </c>
      <c r="L59" s="12">
        <f t="shared" si="11"/>
        <v>17.716535999999998</v>
      </c>
      <c r="M59" s="11">
        <f t="shared" si="11"/>
        <v>23.818898400000002</v>
      </c>
      <c r="N59" s="11">
        <f t="shared" si="11"/>
        <v>1.1811023999999986</v>
      </c>
      <c r="O59" s="152">
        <f t="shared" si="71"/>
        <v>28.202308209560414</v>
      </c>
      <c r="P59" s="170">
        <f t="shared" si="0"/>
        <v>4.2874017120000003</v>
      </c>
      <c r="Q59" s="8">
        <f t="shared" si="1"/>
        <v>2.1437008560000002</v>
      </c>
      <c r="R59" s="170">
        <f>Sizing!X75</f>
        <v>5.9547246000000005</v>
      </c>
      <c r="S59" s="8">
        <f>Sizing!Y75</f>
        <v>17.864173800000003</v>
      </c>
      <c r="T59" s="8">
        <f>Sizing!Z75</f>
        <v>11.909449200000003</v>
      </c>
      <c r="U59" s="17">
        <f>Sizing!CN75</f>
        <v>0.25</v>
      </c>
      <c r="V59" s="17">
        <f>Sizing!CO75</f>
        <v>2.3622047244094495E-2</v>
      </c>
      <c r="W59" s="17">
        <f>Sizing!CP75</f>
        <v>1.5748031496062995E-2</v>
      </c>
      <c r="X59" s="170">
        <f>Sizing!DU75</f>
        <v>0.33770780740629297</v>
      </c>
      <c r="Y59" s="170">
        <f>Sizing!DV75</f>
        <v>0.58112632654724306</v>
      </c>
      <c r="Z59" s="170">
        <f>Sizing!DW75</f>
        <v>0.33770780740629297</v>
      </c>
      <c r="AA59" s="272">
        <f>Sizing!DX75</f>
        <v>0.58112632654724306</v>
      </c>
      <c r="AB59" s="272">
        <f t="shared" si="12"/>
        <v>3.1275352279724427</v>
      </c>
      <c r="AC59" s="216">
        <f>Sizing!GJ75</f>
        <v>0.25</v>
      </c>
      <c r="AD59" s="216">
        <f>Sizing!GK75</f>
        <v>2.3622047244094495E-2</v>
      </c>
      <c r="AE59" s="17">
        <f>Sizing!GL75</f>
        <v>2.3622047244094495E-2</v>
      </c>
      <c r="AF59" s="170">
        <f>Sizing!JC75</f>
        <v>5.2747672707505648E-3</v>
      </c>
      <c r="AG59" s="272">
        <f>Sizing!JD75</f>
        <v>7.2627593039770802E-2</v>
      </c>
      <c r="AH59" s="170">
        <f>Sizing!JC75</f>
        <v>5.2747672707505648E-3</v>
      </c>
      <c r="AI59" s="272">
        <f>Sizing!JD75</f>
        <v>7.2627593039770802E-2</v>
      </c>
      <c r="AJ59" s="216">
        <f>Sizing!IT75</f>
        <v>0.25</v>
      </c>
      <c r="AK59" s="216">
        <f>Sizing!IU75</f>
        <v>1.5748031496062995E-2</v>
      </c>
      <c r="AL59" s="17">
        <f>Sizing!IV75</f>
        <v>1.5748031496062995E-2</v>
      </c>
      <c r="AM59" s="170">
        <f t="shared" si="13"/>
        <v>0</v>
      </c>
      <c r="AN59" s="11">
        <f t="shared" si="14"/>
        <v>0.82582025413195892</v>
      </c>
      <c r="AO59" s="11">
        <f t="shared" si="15"/>
        <v>0.82582025413195892</v>
      </c>
      <c r="AP59" s="11">
        <f t="shared" si="16"/>
        <v>1.6516405082639178</v>
      </c>
      <c r="AQ59" s="555">
        <f t="shared" si="17"/>
        <v>26350569.964134034</v>
      </c>
      <c r="AR59" s="311">
        <f t="shared" si="18"/>
        <v>6.137881347575231</v>
      </c>
      <c r="AS59" s="11">
        <f t="shared" si="19"/>
        <v>2.2657758451408296E-2</v>
      </c>
      <c r="AT59" s="11">
        <f t="shared" si="20"/>
        <v>1.4506236075658867</v>
      </c>
      <c r="AU59" s="11">
        <f t="shared" si="21"/>
        <v>1.473281366017295</v>
      </c>
      <c r="AV59" s="555">
        <f t="shared" si="22"/>
        <v>23504996.104085807</v>
      </c>
      <c r="AW59" s="138">
        <f t="shared" si="23"/>
        <v>3.9370078740157494E-2</v>
      </c>
      <c r="AX59" s="138">
        <f t="shared" si="24"/>
        <v>4.724409448818899E-2</v>
      </c>
      <c r="AY59" s="554">
        <f t="shared" si="25"/>
        <v>3.1496062992125991E-2</v>
      </c>
      <c r="AZ59" s="12">
        <f t="shared" si="26"/>
        <v>240.61737526230127</v>
      </c>
      <c r="BA59" s="11">
        <f t="shared" si="27"/>
        <v>76.287818433758247</v>
      </c>
      <c r="BB59">
        <f t="shared" si="28"/>
        <v>119.51572464983956</v>
      </c>
      <c r="BC59" s="555">
        <f t="shared" si="29"/>
        <v>450692363.46584922</v>
      </c>
      <c r="BD59">
        <f t="shared" si="30"/>
        <v>15</v>
      </c>
      <c r="BE59" s="207">
        <f t="shared" si="31"/>
        <v>1.9849082</v>
      </c>
      <c r="BF59" s="207">
        <f>'Inputs-Imperial'!$E$15*BE59</f>
        <v>1.4886811500000001</v>
      </c>
      <c r="BG59" s="207">
        <f>'Inputs-Imperial'!$E$12*BE59</f>
        <v>0.49622705</v>
      </c>
      <c r="BH59">
        <f>'Inputs-Imperial'!$E$11*BE59</f>
        <v>0.35728347599999999</v>
      </c>
      <c r="BI59">
        <f t="shared" si="32"/>
        <v>0.37895635302825165</v>
      </c>
      <c r="BJ59">
        <f>'Weight '!U61+'Weight '!V61 /12</f>
        <v>2.4934383202099744E-2</v>
      </c>
      <c r="BK59">
        <f>('Weight '!AK61+'Weight '!AL61)/12</f>
        <v>3.9370078740157488E-3</v>
      </c>
      <c r="BL59">
        <f>'Weight '!AG61/12</f>
        <v>4.8427193878936924E-2</v>
      </c>
      <c r="BM59">
        <f>'Weight '!AI61/12</f>
        <v>4.8427193878936924E-2</v>
      </c>
      <c r="BN59" s="554">
        <f t="shared" si="33"/>
        <v>0.77563215231284266</v>
      </c>
      <c r="BO59" s="554">
        <f t="shared" si="34"/>
        <v>2.423287265851132</v>
      </c>
      <c r="BP59">
        <f t="shared" si="35"/>
        <v>4.8427193878936924E-2</v>
      </c>
      <c r="BQ59">
        <f t="shared" si="35"/>
        <v>4.8427193878936924E-2</v>
      </c>
      <c r="BR59">
        <f t="shared" si="36"/>
        <v>0.26042908824212618</v>
      </c>
      <c r="BS59">
        <f t="shared" si="37"/>
        <v>0.13297029398191934</v>
      </c>
      <c r="BT59">
        <f t="shared" si="38"/>
        <v>0.31010829382870936</v>
      </c>
      <c r="BU59">
        <f t="shared" si="39"/>
        <v>6.1371135498201015E-2</v>
      </c>
      <c r="BV59">
        <f t="shared" si="40"/>
        <v>441.33913197455712</v>
      </c>
      <c r="BW59" s="207">
        <f t="shared" si="41"/>
        <v>179.81919771878594</v>
      </c>
      <c r="BX59">
        <f t="shared" si="42"/>
        <v>0.75018371404432382</v>
      </c>
      <c r="BY59" s="575">
        <f t="shared" si="43"/>
        <v>-2.7156396894030195</v>
      </c>
      <c r="BZ59">
        <f t="shared" si="44"/>
        <v>442.24434520435813</v>
      </c>
      <c r="CA59" s="207">
        <f t="shared" si="45"/>
        <v>179.45037767779164</v>
      </c>
      <c r="CB59">
        <f t="shared" si="46"/>
        <v>0.75065319529017493</v>
      </c>
      <c r="CC59">
        <f t="shared" si="47"/>
        <v>222.92590002601077</v>
      </c>
      <c r="CD59">
        <f t="shared" si="48"/>
        <v>367.93571186235454</v>
      </c>
      <c r="CE59" s="207">
        <f t="shared" si="49"/>
        <v>209.72668418013194</v>
      </c>
      <c r="CF59">
        <f t="shared" si="50"/>
        <v>0.71211364614266159</v>
      </c>
      <c r="CG59">
        <f t="shared" si="51"/>
        <v>107.1311224630049</v>
      </c>
      <c r="CH59">
        <f t="shared" si="52"/>
        <v>332.22533770801959</v>
      </c>
      <c r="CI59" s="207">
        <f t="shared" ref="CI59" si="111" xml:space="preserve"> ($BQ$38-CH59*($BP59+$BR59+$BQ59+$BN59))/($BP59+$BR59+$BQ59+$BO59)</f>
        <v>224.27651755189913</v>
      </c>
      <c r="CJ59">
        <f t="shared" si="54"/>
        <v>0.69359276023882765</v>
      </c>
      <c r="CK59">
        <f t="shared" si="55"/>
        <v>55.559121167804648</v>
      </c>
      <c r="CL59">
        <f t="shared" si="56"/>
        <v>313.70563065208472</v>
      </c>
      <c r="CM59" s="207">
        <f t="shared" ref="CM59" si="112" xml:space="preserve"> ($BQ$38-CL59*($BP59+$BR59+$BQ59+$BN59))/($BP59+$BR59+$BQ59+$BO59)</f>
        <v>231.82218623050869</v>
      </c>
      <c r="CN59">
        <f t="shared" si="58"/>
        <v>0.68398766957601353</v>
      </c>
      <c r="CO59">
        <f t="shared" si="59"/>
        <v>29.85520759982812</v>
      </c>
      <c r="CP59">
        <f t="shared" si="60"/>
        <v>303.75389478547532</v>
      </c>
      <c r="CQ59" s="207">
        <f t="shared" ref="CQ59" si="113" xml:space="preserve"> ($BQ$38-CP59*($BP59+$BR59+$BQ59+$BN59))/($BP59+$BR59+$BQ59+$BO59)</f>
        <v>235.87692108131756</v>
      </c>
      <c r="CR59">
        <f t="shared" si="62"/>
        <v>0.67882628527536237</v>
      </c>
      <c r="CS59">
        <f t="shared" si="63"/>
        <v>16.336876037644171</v>
      </c>
      <c r="CT59">
        <f t="shared" si="64"/>
        <v>298.30826943959391</v>
      </c>
      <c r="CU59" s="636">
        <f t="shared" si="65"/>
        <v>238.09568644751656</v>
      </c>
      <c r="CV59" s="575">
        <f t="shared" si="66"/>
        <v>0.67600195738481139</v>
      </c>
      <c r="CW59">
        <f t="shared" si="67"/>
        <v>9.0265712050357028</v>
      </c>
      <c r="CX59" s="576">
        <f t="shared" si="68"/>
        <v>0.34057089259080664</v>
      </c>
    </row>
    <row r="60" spans="1:102" x14ac:dyDescent="0.25">
      <c r="A60" s="186">
        <v>16</v>
      </c>
      <c r="B60" s="187">
        <f>A60/100*'Inputs-Imperial'!$E$5</f>
        <v>1.5748032000000001</v>
      </c>
      <c r="C60" s="188">
        <f>'Inputs-Imperial'!$E$10+('Inputs-Imperial'!$E$9-'Inputs-Imperial'!$E$10)*(100-A60)/100</f>
        <v>1.9750656800000002</v>
      </c>
      <c r="D60" s="187">
        <f t="shared" si="69"/>
        <v>9.8425200000000101E-2</v>
      </c>
      <c r="E60" s="188">
        <f t="shared" si="70"/>
        <v>0.19488061056688821</v>
      </c>
      <c r="F60" s="423">
        <f>Sizing!F76</f>
        <v>96.767357048612752</v>
      </c>
      <c r="G60" s="423">
        <f>Sizing!G76</f>
        <v>967.67357048612655</v>
      </c>
      <c r="H60" s="423">
        <f>Sizing!H76</f>
        <v>3547.3284622445435</v>
      </c>
      <c r="I60" s="423">
        <f>Sizing!I76</f>
        <v>-867.00774477488187</v>
      </c>
      <c r="J60" s="189">
        <f>Sizing!J76</f>
        <v>354.73284622445442</v>
      </c>
      <c r="K60" s="128">
        <v>16</v>
      </c>
      <c r="L60" s="12">
        <f t="shared" si="11"/>
        <v>18.897638400000002</v>
      </c>
      <c r="M60" s="11">
        <f t="shared" si="11"/>
        <v>23.700788160000002</v>
      </c>
      <c r="N60" s="11">
        <f t="shared" si="11"/>
        <v>1.1811024000000012</v>
      </c>
      <c r="O60" s="152">
        <f t="shared" si="71"/>
        <v>28.062807921631901</v>
      </c>
      <c r="P60" s="170">
        <f t="shared" si="0"/>
        <v>4.2661418688000001</v>
      </c>
      <c r="Q60" s="8">
        <f t="shared" si="1"/>
        <v>2.1330709344000001</v>
      </c>
      <c r="R60" s="170">
        <f>Sizing!X76</f>
        <v>5.9251970400000005</v>
      </c>
      <c r="S60" s="8">
        <f>Sizing!Y76</f>
        <v>17.775591120000001</v>
      </c>
      <c r="T60" s="8">
        <f>Sizing!Z76</f>
        <v>11.850394080000001</v>
      </c>
      <c r="U60" s="17">
        <f>Sizing!CN76</f>
        <v>0.25</v>
      </c>
      <c r="V60" s="17">
        <f>Sizing!CO76</f>
        <v>2.3622047244094495E-2</v>
      </c>
      <c r="W60" s="17">
        <f>Sizing!CP76</f>
        <v>1.5748031496062995E-2</v>
      </c>
      <c r="X60" s="170">
        <f>Sizing!DU76</f>
        <v>0.33770780740629297</v>
      </c>
      <c r="Y60" s="170">
        <f>Sizing!DV76</f>
        <v>0.58112632654724306</v>
      </c>
      <c r="Z60" s="170">
        <f>Sizing!DW76</f>
        <v>0.33770780740629297</v>
      </c>
      <c r="AA60" s="272">
        <f>Sizing!DX76</f>
        <v>0.58112632654724306</v>
      </c>
      <c r="AB60" s="272">
        <f t="shared" si="12"/>
        <v>3.1062753847724425</v>
      </c>
      <c r="AC60" s="216">
        <f>Sizing!GJ76</f>
        <v>0.25</v>
      </c>
      <c r="AD60" s="216">
        <f>Sizing!GK76</f>
        <v>2.3622047244094495E-2</v>
      </c>
      <c r="AE60" s="17">
        <f>Sizing!GL76</f>
        <v>2.3622047244094495E-2</v>
      </c>
      <c r="AF60" s="170">
        <f>Sizing!JC76</f>
        <v>5.2747672707505648E-3</v>
      </c>
      <c r="AG60" s="272">
        <f>Sizing!JD76</f>
        <v>7.2627593039770802E-2</v>
      </c>
      <c r="AH60" s="170">
        <f>Sizing!JC76</f>
        <v>5.2747672707505648E-3</v>
      </c>
      <c r="AI60" s="272">
        <f>Sizing!JD76</f>
        <v>7.2627593039770802E-2</v>
      </c>
      <c r="AJ60" s="216">
        <f>Sizing!IT76</f>
        <v>0.25</v>
      </c>
      <c r="AK60" s="216">
        <f>Sizing!IU76</f>
        <v>1.5748031496062995E-2</v>
      </c>
      <c r="AL60" s="17">
        <f>Sizing!IV76</f>
        <v>1.5748031496062995E-2</v>
      </c>
      <c r="AM60" s="170">
        <f t="shared" si="13"/>
        <v>0</v>
      </c>
      <c r="AN60" s="11">
        <f t="shared" si="14"/>
        <v>0.81463116403512137</v>
      </c>
      <c r="AO60" s="11">
        <f t="shared" si="15"/>
        <v>0.81463116403512137</v>
      </c>
      <c r="AP60" s="11">
        <f t="shared" si="16"/>
        <v>1.6292623280702427</v>
      </c>
      <c r="AQ60" s="555">
        <f t="shared" si="17"/>
        <v>25993544.449251704</v>
      </c>
      <c r="AR60" s="311">
        <f t="shared" si="18"/>
        <v>6.1074455722980003</v>
      </c>
      <c r="AS60" s="11">
        <f t="shared" si="19"/>
        <v>2.2433610528855532E-2</v>
      </c>
      <c r="AT60" s="11">
        <f t="shared" si="20"/>
        <v>1.4362729263747207</v>
      </c>
      <c r="AU60" s="11">
        <f t="shared" si="21"/>
        <v>1.4587065369035763</v>
      </c>
      <c r="AV60" s="555">
        <f t="shared" si="22"/>
        <v>23272466.656936299</v>
      </c>
      <c r="AW60" s="138">
        <f t="shared" si="23"/>
        <v>3.9370078740157494E-2</v>
      </c>
      <c r="AX60" s="138">
        <f t="shared" si="24"/>
        <v>4.724409448818899E-2</v>
      </c>
      <c r="AY60" s="554">
        <f t="shared" si="25"/>
        <v>3.1496062992125991E-2</v>
      </c>
      <c r="AZ60" s="12">
        <f t="shared" si="26"/>
        <v>238.2370036597473</v>
      </c>
      <c r="BA60" s="11">
        <f t="shared" si="27"/>
        <v>75.909531730780941</v>
      </c>
      <c r="BB60">
        <f t="shared" si="28"/>
        <v>117.74660633848795</v>
      </c>
      <c r="BC60" s="555">
        <f t="shared" si="29"/>
        <v>444021039.54316205</v>
      </c>
      <c r="BD60">
        <f t="shared" si="30"/>
        <v>16</v>
      </c>
      <c r="BE60" s="207">
        <f t="shared" si="31"/>
        <v>1.9750656800000002</v>
      </c>
      <c r="BF60" s="207">
        <f>'Inputs-Imperial'!$E$15*BE60</f>
        <v>1.4812992600000001</v>
      </c>
      <c r="BG60" s="207">
        <f>'Inputs-Imperial'!$E$12*BE60</f>
        <v>0.49376642000000004</v>
      </c>
      <c r="BH60">
        <f>'Inputs-Imperial'!$E$11*BE60</f>
        <v>0.35551182240000001</v>
      </c>
      <c r="BI60">
        <f t="shared" si="32"/>
        <v>0.37707723061654136</v>
      </c>
      <c r="BJ60">
        <f>'Weight '!U62+'Weight '!V62 /12</f>
        <v>2.4934383202099744E-2</v>
      </c>
      <c r="BK60">
        <f>('Weight '!AK62+'Weight '!AL62)/12</f>
        <v>3.9370078740157488E-3</v>
      </c>
      <c r="BL60">
        <f>'Weight '!AG62/12</f>
        <v>4.8427193878936924E-2</v>
      </c>
      <c r="BM60">
        <f>'Weight '!AI62/12</f>
        <v>4.8427193878936924E-2</v>
      </c>
      <c r="BN60" s="554">
        <f t="shared" si="33"/>
        <v>0.7693723643021374</v>
      </c>
      <c r="BO60" s="554">
        <f t="shared" si="34"/>
        <v>2.4136846435238346</v>
      </c>
      <c r="BP60">
        <f t="shared" si="35"/>
        <v>4.8427193878936924E-2</v>
      </c>
      <c r="BQ60">
        <f t="shared" si="35"/>
        <v>4.8427193878936924E-2</v>
      </c>
      <c r="BR60">
        <f t="shared" si="36"/>
        <v>0.2586574346421262</v>
      </c>
      <c r="BS60">
        <f t="shared" si="37"/>
        <v>0.13165484986059287</v>
      </c>
      <c r="BT60">
        <f t="shared" si="38"/>
        <v>0.30704046476797919</v>
      </c>
      <c r="BU60">
        <f t="shared" si="39"/>
        <v>6.0162881022885632E-2</v>
      </c>
      <c r="BV60">
        <f t="shared" si="40"/>
        <v>444.49020255664504</v>
      </c>
      <c r="BW60" s="207">
        <f t="shared" si="41"/>
        <v>180.5577921800483</v>
      </c>
      <c r="BX60">
        <f t="shared" si="42"/>
        <v>0.74681111490731478</v>
      </c>
      <c r="BY60" s="575">
        <f t="shared" si="43"/>
        <v>-2.2727337187643855</v>
      </c>
      <c r="BZ60">
        <f t="shared" si="44"/>
        <v>445.24778046289987</v>
      </c>
      <c r="CA60" s="207">
        <f t="shared" si="45"/>
        <v>180.25005402660651</v>
      </c>
      <c r="CB60">
        <f t="shared" si="46"/>
        <v>0.74719956864964543</v>
      </c>
      <c r="CC60">
        <f t="shared" si="47"/>
        <v>223.91098910949214</v>
      </c>
      <c r="CD60">
        <f t="shared" si="48"/>
        <v>370.61078409306913</v>
      </c>
      <c r="CE60" s="207">
        <f t="shared" si="49"/>
        <v>210.56858793798003</v>
      </c>
      <c r="CF60">
        <f t="shared" si="50"/>
        <v>0.70892889006095028</v>
      </c>
      <c r="CG60">
        <f t="shared" si="51"/>
        <v>108.19367380574639</v>
      </c>
      <c r="CH60">
        <f t="shared" si="52"/>
        <v>334.54622615782034</v>
      </c>
      <c r="CI60" s="207">
        <f t="shared" ref="CI60" si="114" xml:space="preserve"> ($BQ$38-CH60*($BP60+$BR60+$BQ60+$BN60))/($BP60+$BR60+$BQ60+$BO60)</f>
        <v>225.2184877991769</v>
      </c>
      <c r="CJ60">
        <f t="shared" si="54"/>
        <v>0.6904365180160702</v>
      </c>
      <c r="CK60">
        <f t="shared" si="55"/>
        <v>56.373395724345919</v>
      </c>
      <c r="CL60">
        <f t="shared" si="56"/>
        <v>315.75509424970505</v>
      </c>
      <c r="CM60" s="207">
        <f t="shared" ref="CM60" si="115" xml:space="preserve"> ($BQ$38-CL60*($BP60+$BR60+$BQ60+$BN60))/($BP60+$BR60+$BQ60+$BO60)</f>
        <v>232.85169381896756</v>
      </c>
      <c r="CN60">
        <f t="shared" si="58"/>
        <v>0.68080122446795066</v>
      </c>
      <c r="CO60">
        <f t="shared" si="59"/>
        <v>30.429980868585865</v>
      </c>
      <c r="CP60">
        <f t="shared" si="60"/>
        <v>305.61176729350979</v>
      </c>
      <c r="CQ60" s="207">
        <f t="shared" ref="CQ60" si="116" xml:space="preserve"> ($BQ$38-CP60*($BP60+$BR60+$BQ60+$BN60))/($BP60+$BR60+$BQ60+$BO60)</f>
        <v>236.97204722616684</v>
      </c>
      <c r="CR60">
        <f t="shared" si="62"/>
        <v>0.67560015764263148</v>
      </c>
      <c r="CS60">
        <f t="shared" si="63"/>
        <v>16.726879661798705</v>
      </c>
      <c r="CT60">
        <f t="shared" si="64"/>
        <v>300.03614073957687</v>
      </c>
      <c r="CU60" s="636">
        <f t="shared" si="65"/>
        <v>239.2369403887339</v>
      </c>
      <c r="CV60" s="575">
        <f t="shared" si="66"/>
        <v>0.67274121339038906</v>
      </c>
      <c r="CW60">
        <f t="shared" si="67"/>
        <v>9.2843806735979992</v>
      </c>
      <c r="CX60" s="576">
        <f t="shared" si="68"/>
        <v>0.34061713501618285</v>
      </c>
    </row>
    <row r="61" spans="1:102" x14ac:dyDescent="0.25">
      <c r="A61" s="186">
        <v>17</v>
      </c>
      <c r="B61" s="187">
        <f>A61/100*'Inputs-Imperial'!$E$5</f>
        <v>1.6732284000000002</v>
      </c>
      <c r="C61" s="188">
        <f>'Inputs-Imperial'!$E$10+('Inputs-Imperial'!$E$9-'Inputs-Imperial'!$E$10)*(100-A61)/100</f>
        <v>1.9652231600000001</v>
      </c>
      <c r="D61" s="187">
        <f t="shared" si="69"/>
        <v>9.8425200000000101E-2</v>
      </c>
      <c r="E61" s="188">
        <f t="shared" si="70"/>
        <v>0.19391185856738419</v>
      </c>
      <c r="F61" s="423">
        <f>Sizing!F77</f>
        <v>95.278218495496532</v>
      </c>
      <c r="G61" s="423">
        <f>Sizing!G77</f>
        <v>952.78218495496446</v>
      </c>
      <c r="H61" s="423">
        <f>Sizing!H77</f>
        <v>3452.0849975347323</v>
      </c>
      <c r="I61" s="423">
        <f>Sizing!I77</f>
        <v>-850.53111390548361</v>
      </c>
      <c r="J61" s="189">
        <f>Sizing!J77</f>
        <v>345.20849975347329</v>
      </c>
      <c r="K61" s="128">
        <v>17</v>
      </c>
      <c r="L61" s="12">
        <f t="shared" si="11"/>
        <v>20.078740800000002</v>
      </c>
      <c r="M61" s="11">
        <f t="shared" si="11"/>
        <v>23.582677920000002</v>
      </c>
      <c r="N61" s="11">
        <f t="shared" si="11"/>
        <v>1.1811024000000012</v>
      </c>
      <c r="O61" s="152">
        <f t="shared" si="71"/>
        <v>27.92330763370332</v>
      </c>
      <c r="P61" s="170">
        <f t="shared" si="0"/>
        <v>4.2448820255999999</v>
      </c>
      <c r="Q61" s="8">
        <f t="shared" si="1"/>
        <v>2.1224410128</v>
      </c>
      <c r="R61" s="170">
        <f>Sizing!X77</f>
        <v>5.8956694800000005</v>
      </c>
      <c r="S61" s="8">
        <f>Sizing!Y77</f>
        <v>17.68700844</v>
      </c>
      <c r="T61" s="8">
        <f>Sizing!Z77</f>
        <v>11.791338959999999</v>
      </c>
      <c r="U61" s="17">
        <f>Sizing!CN77</f>
        <v>0.25</v>
      </c>
      <c r="V61" s="17">
        <f>Sizing!CO77</f>
        <v>2.3622047244094495E-2</v>
      </c>
      <c r="W61" s="17">
        <f>Sizing!CP77</f>
        <v>1.5748031496062995E-2</v>
      </c>
      <c r="X61" s="170">
        <f>Sizing!DU77</f>
        <v>0.33770780740629297</v>
      </c>
      <c r="Y61" s="170">
        <f>Sizing!DV77</f>
        <v>0.58112632654724306</v>
      </c>
      <c r="Z61" s="170">
        <f>Sizing!DW77</f>
        <v>0.33770780740629297</v>
      </c>
      <c r="AA61" s="272">
        <f>Sizing!DX77</f>
        <v>0.58112632654724306</v>
      </c>
      <c r="AB61" s="272">
        <f t="shared" si="12"/>
        <v>3.0850155415724423</v>
      </c>
      <c r="AC61" s="216">
        <f>Sizing!GJ77</f>
        <v>0.25</v>
      </c>
      <c r="AD61" s="216">
        <f>Sizing!GK77</f>
        <v>2.3622047244094495E-2</v>
      </c>
      <c r="AE61" s="17">
        <f>Sizing!GL77</f>
        <v>2.3622047244094495E-2</v>
      </c>
      <c r="AF61" s="170">
        <f>Sizing!JC77</f>
        <v>5.2747672707505648E-3</v>
      </c>
      <c r="AG61" s="272">
        <f>Sizing!JD77</f>
        <v>7.2627593039770802E-2</v>
      </c>
      <c r="AH61" s="170">
        <f>Sizing!JC77</f>
        <v>5.2747672707505648E-3</v>
      </c>
      <c r="AI61" s="272">
        <f>Sizing!JD77</f>
        <v>7.2627593039770802E-2</v>
      </c>
      <c r="AJ61" s="216">
        <f>Sizing!IT77</f>
        <v>0.25</v>
      </c>
      <c r="AK61" s="216">
        <f>Sizing!IU77</f>
        <v>1.5748031496062995E-2</v>
      </c>
      <c r="AL61" s="17">
        <f>Sizing!IV77</f>
        <v>1.5748031496062995E-2</v>
      </c>
      <c r="AM61" s="170">
        <f t="shared" si="13"/>
        <v>0</v>
      </c>
      <c r="AN61" s="11">
        <f t="shared" si="14"/>
        <v>0.80351839268320135</v>
      </c>
      <c r="AO61" s="11">
        <f t="shared" si="15"/>
        <v>0.80351839268320135</v>
      </c>
      <c r="AP61" s="11">
        <f t="shared" si="16"/>
        <v>1.6070367853664027</v>
      </c>
      <c r="AQ61" s="555">
        <f t="shared" si="17"/>
        <v>25638954.140356954</v>
      </c>
      <c r="AR61" s="311">
        <f t="shared" si="18"/>
        <v>6.077009797020767</v>
      </c>
      <c r="AS61" s="11">
        <f t="shared" si="19"/>
        <v>2.2210576846182245E-2</v>
      </c>
      <c r="AT61" s="11">
        <f t="shared" si="20"/>
        <v>1.421993582455426</v>
      </c>
      <c r="AU61" s="11">
        <f t="shared" si="21"/>
        <v>1.4442041593016082</v>
      </c>
      <c r="AV61" s="555">
        <f t="shared" si="22"/>
        <v>23041093.114246532</v>
      </c>
      <c r="AW61" s="138">
        <f t="shared" si="23"/>
        <v>3.9370078740157494E-2</v>
      </c>
      <c r="AX61" s="138">
        <f t="shared" si="24"/>
        <v>4.724409448818899E-2</v>
      </c>
      <c r="AY61" s="554">
        <f t="shared" si="25"/>
        <v>3.1496062992125991E-2</v>
      </c>
      <c r="AZ61" s="12">
        <f t="shared" si="26"/>
        <v>235.8684648903461</v>
      </c>
      <c r="BA61" s="11">
        <f t="shared" si="27"/>
        <v>75.531245027803635</v>
      </c>
      <c r="BB61">
        <f t="shared" si="28"/>
        <v>115.99503285760814</v>
      </c>
      <c r="BC61" s="555">
        <f t="shared" si="29"/>
        <v>437415876.96564603</v>
      </c>
      <c r="BD61">
        <f t="shared" si="30"/>
        <v>17</v>
      </c>
      <c r="BE61" s="207">
        <f t="shared" si="31"/>
        <v>1.9652231600000001</v>
      </c>
      <c r="BF61" s="207">
        <f>'Inputs-Imperial'!$E$15*BE61</f>
        <v>1.4739173700000001</v>
      </c>
      <c r="BG61" s="207">
        <f>'Inputs-Imperial'!$E$12*BE61</f>
        <v>0.49130579000000002</v>
      </c>
      <c r="BH61">
        <f>'Inputs-Imperial'!$E$11*BE61</f>
        <v>0.35374016879999998</v>
      </c>
      <c r="BI61">
        <f t="shared" si="32"/>
        <v>0.37519810820483096</v>
      </c>
      <c r="BJ61">
        <f>'Weight '!U63+'Weight '!V63 /12</f>
        <v>2.4934383202099744E-2</v>
      </c>
      <c r="BK61">
        <f>('Weight '!AK63+'Weight '!AL63)/12</f>
        <v>3.9370078740157488E-3</v>
      </c>
      <c r="BL61">
        <f>'Weight '!AG63/12</f>
        <v>4.8427193878936924E-2</v>
      </c>
      <c r="BM61">
        <f>'Weight '!AI63/12</f>
        <v>4.8427193878936924E-2</v>
      </c>
      <c r="BN61" s="554">
        <f t="shared" si="33"/>
        <v>0.7631233570840229</v>
      </c>
      <c r="BO61" s="554">
        <f t="shared" si="34"/>
        <v>2.4040712404039448</v>
      </c>
      <c r="BP61">
        <f t="shared" si="35"/>
        <v>4.8427193878936924E-2</v>
      </c>
      <c r="BQ61">
        <f t="shared" si="35"/>
        <v>4.8427193878936924E-2</v>
      </c>
      <c r="BR61">
        <f t="shared" si="36"/>
        <v>0.25688578104212617</v>
      </c>
      <c r="BS61">
        <f t="shared" si="37"/>
        <v>0.13034594481526302</v>
      </c>
      <c r="BT61">
        <f t="shared" si="38"/>
        <v>0.30398788589313502</v>
      </c>
      <c r="BU61">
        <f t="shared" si="39"/>
        <v>5.8972555759290252E-2</v>
      </c>
      <c r="BV61">
        <f t="shared" si="40"/>
        <v>447.68227130010234</v>
      </c>
      <c r="BW61" s="207">
        <f t="shared" si="41"/>
        <v>181.30318785805855</v>
      </c>
      <c r="BX61">
        <f t="shared" si="42"/>
        <v>0.7434378766939953</v>
      </c>
      <c r="BY61" s="575">
        <f t="shared" si="43"/>
        <v>-1.8262485868090153</v>
      </c>
      <c r="BZ61">
        <f t="shared" si="44"/>
        <v>448.2910208290387</v>
      </c>
      <c r="CA61" s="207">
        <f t="shared" si="45"/>
        <v>181.05665535659779</v>
      </c>
      <c r="CB61">
        <f t="shared" si="46"/>
        <v>0.7437464585468514</v>
      </c>
      <c r="CC61">
        <f t="shared" si="47"/>
        <v>224.90878093759255</v>
      </c>
      <c r="CD61">
        <f t="shared" si="48"/>
        <v>373.32142718317454</v>
      </c>
      <c r="CE61" s="207">
        <f t="shared" si="49"/>
        <v>211.41797898227006</v>
      </c>
      <c r="CF61">
        <f t="shared" si="50"/>
        <v>0.70574354435070763</v>
      </c>
      <c r="CG61">
        <f t="shared" si="51"/>
        <v>109.26694082294769</v>
      </c>
      <c r="CH61">
        <f t="shared" si="52"/>
        <v>336.89911357552529</v>
      </c>
      <c r="CI61" s="207">
        <f t="shared" ref="CI61" si="117" xml:space="preserve"> ($BQ$38-CH61*($BP61+$BR61+$BQ61+$BN61))/($BP61+$BR61+$BQ61+$BO61)</f>
        <v>226.16835439261581</v>
      </c>
      <c r="CJ61">
        <f t="shared" si="54"/>
        <v>0.68728067171737173</v>
      </c>
      <c r="CK61">
        <f t="shared" si="55"/>
        <v>57.198147917877208</v>
      </c>
      <c r="CL61">
        <f t="shared" si="56"/>
        <v>317.83306426956619</v>
      </c>
      <c r="CM61" s="207">
        <f t="shared" ref="CM61" si="118" xml:space="preserve"> ($BQ$38-CL61*($BP61+$BR61+$BQ61+$BN61))/($BP61+$BR61+$BQ61+$BO61)</f>
        <v>233.88975803227902</v>
      </c>
      <c r="CN61">
        <f t="shared" si="58"/>
        <v>0.6776158809589149</v>
      </c>
      <c r="CO61">
        <f t="shared" si="59"/>
        <v>31.014176808750872</v>
      </c>
      <c r="CP61">
        <f t="shared" si="60"/>
        <v>307.49500533331593</v>
      </c>
      <c r="CQ61" s="207">
        <f t="shared" ref="CQ61" si="119" xml:space="preserve"> ($BQ$38-CP61*($BP61+$BR61+$BQ61+$BN61))/($BP61+$BR61+$BQ61+$BO61)</f>
        <v>238.07648411362121</v>
      </c>
      <c r="CR61">
        <f t="shared" si="62"/>
        <v>0.67237540481915037</v>
      </c>
      <c r="CS61">
        <f t="shared" si="63"/>
        <v>17.124796846816324</v>
      </c>
      <c r="CT61">
        <f t="shared" si="64"/>
        <v>301.78673971771047</v>
      </c>
      <c r="CU61" s="636">
        <f t="shared" si="65"/>
        <v>240.38822799895382</v>
      </c>
      <c r="CV61" s="575">
        <f t="shared" si="66"/>
        <v>0.6694818219964479</v>
      </c>
      <c r="CW61">
        <f t="shared" si="67"/>
        <v>9.5484955235721198</v>
      </c>
      <c r="CX61" s="576">
        <f t="shared" si="68"/>
        <v>0.34066452890594262</v>
      </c>
    </row>
    <row r="62" spans="1:102" x14ac:dyDescent="0.25">
      <c r="A62" s="186">
        <v>18</v>
      </c>
      <c r="B62" s="187">
        <f>A62/100*'Inputs-Imperial'!$E$5</f>
        <v>1.7716536000000001</v>
      </c>
      <c r="C62" s="188">
        <f>'Inputs-Imperial'!$E$10+('Inputs-Imperial'!$E$9-'Inputs-Imperial'!$E$10)*(100-A62)/100</f>
        <v>1.95538064</v>
      </c>
      <c r="D62" s="187">
        <f t="shared" si="69"/>
        <v>9.8425199999999879E-2</v>
      </c>
      <c r="E62" s="188">
        <f t="shared" si="70"/>
        <v>0.19294310656787977</v>
      </c>
      <c r="F62" s="423">
        <f>Sizing!F78</f>
        <v>93.79404819724239</v>
      </c>
      <c r="G62" s="423">
        <f>Sizing!G78</f>
        <v>937.94048197242307</v>
      </c>
      <c r="H62" s="423">
        <f>Sizing!H78</f>
        <v>3358.307220424103</v>
      </c>
      <c r="I62" s="423">
        <f>Sizing!I78</f>
        <v>-834.16477875047747</v>
      </c>
      <c r="J62" s="189">
        <f>Sizing!J78</f>
        <v>335.83072204241034</v>
      </c>
      <c r="K62" s="128">
        <v>18</v>
      </c>
      <c r="L62" s="12">
        <f t="shared" si="11"/>
        <v>21.259843199999999</v>
      </c>
      <c r="M62" s="11">
        <f t="shared" si="11"/>
        <v>23.464567680000002</v>
      </c>
      <c r="N62" s="11">
        <f t="shared" si="11"/>
        <v>1.1811023999999986</v>
      </c>
      <c r="O62" s="152">
        <f t="shared" si="71"/>
        <v>27.78380734577469</v>
      </c>
      <c r="P62" s="170">
        <f t="shared" si="0"/>
        <v>4.2236221823999998</v>
      </c>
      <c r="Q62" s="8">
        <f t="shared" si="1"/>
        <v>2.1118110911999999</v>
      </c>
      <c r="R62" s="170">
        <f>Sizing!X78</f>
        <v>5.8661419200000005</v>
      </c>
      <c r="S62" s="8">
        <f>Sizing!Y78</f>
        <v>17.598425760000001</v>
      </c>
      <c r="T62" s="8">
        <f>Sizing!Z78</f>
        <v>11.732283840000001</v>
      </c>
      <c r="U62" s="17">
        <f>Sizing!CN78</f>
        <v>0.25</v>
      </c>
      <c r="V62" s="17">
        <f>Sizing!CO78</f>
        <v>2.3622047244094495E-2</v>
      </c>
      <c r="W62" s="17">
        <f>Sizing!CP78</f>
        <v>1.5748031496062995E-2</v>
      </c>
      <c r="X62" s="170">
        <f>Sizing!DU78</f>
        <v>0.33770780740629297</v>
      </c>
      <c r="Y62" s="170">
        <f>Sizing!DV78</f>
        <v>0.58112632654724306</v>
      </c>
      <c r="Z62" s="170">
        <f>Sizing!DW78</f>
        <v>0.33770780740629297</v>
      </c>
      <c r="AA62" s="272">
        <f>Sizing!DX78</f>
        <v>0.58112632654724306</v>
      </c>
      <c r="AB62" s="272">
        <f t="shared" si="12"/>
        <v>3.0637556983724421</v>
      </c>
      <c r="AC62" s="216">
        <f>Sizing!GJ78</f>
        <v>0.25</v>
      </c>
      <c r="AD62" s="216">
        <f>Sizing!GK78</f>
        <v>2.3622047244094495E-2</v>
      </c>
      <c r="AE62" s="17">
        <f>Sizing!GL78</f>
        <v>2.3622047244094495E-2</v>
      </c>
      <c r="AF62" s="170">
        <f>Sizing!JC78</f>
        <v>5.2747672707505648E-3</v>
      </c>
      <c r="AG62" s="272">
        <f>Sizing!JD78</f>
        <v>7.2627593039770802E-2</v>
      </c>
      <c r="AH62" s="170">
        <f>Sizing!JC78</f>
        <v>5.2747672707505648E-3</v>
      </c>
      <c r="AI62" s="272">
        <f>Sizing!JD78</f>
        <v>7.2627593039770802E-2</v>
      </c>
      <c r="AJ62" s="216">
        <f>Sizing!IT78</f>
        <v>0.25</v>
      </c>
      <c r="AK62" s="216">
        <f>Sizing!IU78</f>
        <v>1.5748031496062995E-2</v>
      </c>
      <c r="AL62" s="17">
        <f>Sizing!IV78</f>
        <v>1.5748031496062995E-2</v>
      </c>
      <c r="AM62" s="170">
        <f t="shared" si="13"/>
        <v>0</v>
      </c>
      <c r="AN62" s="11">
        <f t="shared" si="14"/>
        <v>0.79248194007619899</v>
      </c>
      <c r="AO62" s="11">
        <f t="shared" si="15"/>
        <v>0.79248194007619899</v>
      </c>
      <c r="AP62" s="11">
        <f t="shared" si="16"/>
        <v>1.584963880152398</v>
      </c>
      <c r="AQ62" s="555">
        <f t="shared" si="17"/>
        <v>25286799.037449785</v>
      </c>
      <c r="AR62" s="311">
        <f t="shared" si="18"/>
        <v>6.0465740217435338</v>
      </c>
      <c r="AS62" s="11">
        <f t="shared" si="19"/>
        <v>2.1988657403389088E-2</v>
      </c>
      <c r="AT62" s="11">
        <f t="shared" si="20"/>
        <v>1.4077855758080013</v>
      </c>
      <c r="AU62" s="11">
        <f t="shared" si="21"/>
        <v>1.4297742332113905</v>
      </c>
      <c r="AV62" s="555">
        <f t="shared" si="22"/>
        <v>22810875.476016503</v>
      </c>
      <c r="AW62" s="138">
        <f t="shared" si="23"/>
        <v>3.9370078740157494E-2</v>
      </c>
      <c r="AX62" s="138">
        <f t="shared" si="24"/>
        <v>4.724409448818899E-2</v>
      </c>
      <c r="AY62" s="554">
        <f t="shared" si="25"/>
        <v>3.1496062992125991E-2</v>
      </c>
      <c r="AZ62" s="12">
        <f t="shared" si="26"/>
        <v>233.51175895409764</v>
      </c>
      <c r="BA62" s="11">
        <f t="shared" si="27"/>
        <v>75.152958324826272</v>
      </c>
      <c r="BB62">
        <f t="shared" si="28"/>
        <v>114.26091677449018</v>
      </c>
      <c r="BC62" s="555">
        <f t="shared" si="29"/>
        <v>430876546.02560127</v>
      </c>
      <c r="BD62">
        <f t="shared" si="30"/>
        <v>18</v>
      </c>
      <c r="BE62" s="207">
        <f t="shared" si="31"/>
        <v>1.95538064</v>
      </c>
      <c r="BF62" s="207">
        <f>'Inputs-Imperial'!$E$15*BE62</f>
        <v>1.4665354800000001</v>
      </c>
      <c r="BG62" s="207">
        <f>'Inputs-Imperial'!$E$12*BE62</f>
        <v>0.48884516</v>
      </c>
      <c r="BH62">
        <f>'Inputs-Imperial'!$E$11*BE62</f>
        <v>0.3519685152</v>
      </c>
      <c r="BI62">
        <f t="shared" si="32"/>
        <v>0.37331898579312062</v>
      </c>
      <c r="BJ62">
        <f>'Weight '!U64+'Weight '!V64 /12</f>
        <v>2.4934383202099744E-2</v>
      </c>
      <c r="BK62">
        <f>('Weight '!AK64+'Weight '!AL64)/12</f>
        <v>3.9370078740157488E-3</v>
      </c>
      <c r="BL62">
        <f>'Weight '!AG64/12</f>
        <v>4.8427193878936924E-2</v>
      </c>
      <c r="BM62">
        <f>'Weight '!AI64/12</f>
        <v>4.8427193878936924E-2</v>
      </c>
      <c r="BN62" s="554">
        <f t="shared" si="33"/>
        <v>0.75688527472238942</v>
      </c>
      <c r="BO62" s="554">
        <f t="shared" si="34"/>
        <v>2.3944469124275756</v>
      </c>
      <c r="BP62">
        <f t="shared" si="35"/>
        <v>4.8427193878936924E-2</v>
      </c>
      <c r="BQ62">
        <f t="shared" si="35"/>
        <v>4.8427193878936924E-2</v>
      </c>
      <c r="BR62">
        <f t="shared" si="36"/>
        <v>0.25511412744212619</v>
      </c>
      <c r="BS62">
        <f t="shared" si="37"/>
        <v>0.12904357884592982</v>
      </c>
      <c r="BT62">
        <f t="shared" si="38"/>
        <v>0.30095055720417679</v>
      </c>
      <c r="BU62">
        <f t="shared" si="39"/>
        <v>5.7799981456947307E-2</v>
      </c>
      <c r="BV62">
        <f t="shared" si="40"/>
        <v>450.91607617177004</v>
      </c>
      <c r="BW62" s="207">
        <f t="shared" si="41"/>
        <v>182.05548766229913</v>
      </c>
      <c r="BX62">
        <f t="shared" si="42"/>
        <v>0.74006398754864411</v>
      </c>
      <c r="BY62" s="575">
        <f t="shared" si="43"/>
        <v>-1.3761457234170109</v>
      </c>
      <c r="BZ62">
        <f t="shared" si="44"/>
        <v>451.37479141290908</v>
      </c>
      <c r="CA62" s="207">
        <f t="shared" si="45"/>
        <v>181.87028329426525</v>
      </c>
      <c r="CB62">
        <f t="shared" si="46"/>
        <v>0.74029385077693255</v>
      </c>
      <c r="CC62">
        <f t="shared" si="47"/>
        <v>225.91944255939671</v>
      </c>
      <c r="CD62">
        <f t="shared" si="48"/>
        <v>376.06831055977682</v>
      </c>
      <c r="CE62" s="207">
        <f t="shared" si="49"/>
        <v>212.27496128278295</v>
      </c>
      <c r="CF62">
        <f t="shared" si="50"/>
        <v>0.7025576056132552</v>
      </c>
      <c r="CG62">
        <f t="shared" si="51"/>
        <v>110.35109334530625</v>
      </c>
      <c r="CH62">
        <f t="shared" si="52"/>
        <v>339.28461277800807</v>
      </c>
      <c r="CI62" s="207">
        <f t="shared" ref="CI62" si="120" xml:space="preserve"> ($BQ$38-CH62*($BP62+$BR62+$BQ62+$BN62))/($BP62+$BR62+$BQ62+$BO62)</f>
        <v>227.12622605590127</v>
      </c>
      <c r="CJ62">
        <f t="shared" si="54"/>
        <v>0.68412521278604876</v>
      </c>
      <c r="CK62">
        <f t="shared" si="55"/>
        <v>58.03353420408061</v>
      </c>
      <c r="CL62">
        <f t="shared" si="56"/>
        <v>319.94010137664787</v>
      </c>
      <c r="CM62" s="207">
        <f t="shared" ref="CM62" si="121" xml:space="preserve"> ($BQ$38-CL62*($BP62+$BR62+$BQ62+$BN62))/($BP62+$BR62+$BQ62+$BO62)</f>
        <v>234.93649196316949</v>
      </c>
      <c r="CN62">
        <f t="shared" si="58"/>
        <v>0.67443163506812365</v>
      </c>
      <c r="CO62">
        <f t="shared" si="59"/>
        <v>31.607946320825647</v>
      </c>
      <c r="CP62">
        <f t="shared" si="60"/>
        <v>309.40411926970597</v>
      </c>
      <c r="CQ62" s="207">
        <f t="shared" ref="CQ62" si="122" xml:space="preserve"> ($BQ$38-CP62*($BP62+$BR62+$BQ62+$BN62))/($BP62+$BR62+$BQ62+$BO62)</f>
        <v>239.19035085586034</v>
      </c>
      <c r="CR62">
        <f t="shared" si="62"/>
        <v>0.66915203098460418</v>
      </c>
      <c r="CS62">
        <f t="shared" si="63"/>
        <v>17.530772465592904</v>
      </c>
      <c r="CT62">
        <f t="shared" si="64"/>
        <v>303.56052844784165</v>
      </c>
      <c r="CU62" s="636">
        <f t="shared" si="65"/>
        <v>241.54967631128764</v>
      </c>
      <c r="CV62" s="575">
        <f t="shared" si="66"/>
        <v>0.66622379461780123</v>
      </c>
      <c r="CW62">
        <f t="shared" si="67"/>
        <v>9.8190505784864754</v>
      </c>
      <c r="CX62" s="576">
        <f t="shared" si="68"/>
        <v>0.34071309748561346</v>
      </c>
    </row>
    <row r="63" spans="1:102" x14ac:dyDescent="0.25">
      <c r="A63" s="186">
        <v>19</v>
      </c>
      <c r="B63" s="187">
        <f>A63/100*'Inputs-Imperial'!$E$5</f>
        <v>1.8700788000000002</v>
      </c>
      <c r="C63" s="188">
        <f>'Inputs-Imperial'!$E$10+('Inputs-Imperial'!$E$9-'Inputs-Imperial'!$E$10)*(100-A63)/100</f>
        <v>1.9455381200000001</v>
      </c>
      <c r="D63" s="187">
        <f t="shared" si="69"/>
        <v>9.8425200000000101E-2</v>
      </c>
      <c r="E63" s="188">
        <f t="shared" si="70"/>
        <v>0.19197435456837619</v>
      </c>
      <c r="F63" s="423">
        <f>Sizing!F79</f>
        <v>92.314927021567982</v>
      </c>
      <c r="G63" s="423">
        <f>Sizing!G79</f>
        <v>923.14927021567905</v>
      </c>
      <c r="H63" s="423">
        <f>Sizing!H79</f>
        <v>3265.9902408978705</v>
      </c>
      <c r="I63" s="423">
        <f>Sizing!I79</f>
        <v>-817.91015027825233</v>
      </c>
      <c r="J63" s="189">
        <f>Sizing!J79</f>
        <v>326.59902408978712</v>
      </c>
      <c r="K63" s="128">
        <v>19</v>
      </c>
      <c r="L63" s="12">
        <f t="shared" si="11"/>
        <v>22.440945600000003</v>
      </c>
      <c r="M63" s="11">
        <f t="shared" si="11"/>
        <v>23.346457440000002</v>
      </c>
      <c r="N63" s="11">
        <f t="shared" si="11"/>
        <v>1.1811024000000012</v>
      </c>
      <c r="O63" s="152">
        <f t="shared" si="71"/>
        <v>27.64430705784617</v>
      </c>
      <c r="P63" s="170">
        <f t="shared" si="0"/>
        <v>4.2023623392000005</v>
      </c>
      <c r="Q63" s="8">
        <f t="shared" si="1"/>
        <v>2.1011811696000002</v>
      </c>
      <c r="R63" s="170">
        <f>Sizing!X79</f>
        <v>5.8366143600000004</v>
      </c>
      <c r="S63" s="8">
        <f>Sizing!Y79</f>
        <v>17.509843080000003</v>
      </c>
      <c r="T63" s="8">
        <f>Sizing!Z79</f>
        <v>11.673228720000003</v>
      </c>
      <c r="U63" s="17">
        <f>Sizing!CN79</f>
        <v>0.25</v>
      </c>
      <c r="V63" s="17">
        <f>Sizing!CO79</f>
        <v>2.3622047244094495E-2</v>
      </c>
      <c r="W63" s="17">
        <f>Sizing!CP79</f>
        <v>1.5748031496062995E-2</v>
      </c>
      <c r="X63" s="170">
        <f>Sizing!DU79</f>
        <v>0.33770780740629297</v>
      </c>
      <c r="Y63" s="170">
        <f>Sizing!DV79</f>
        <v>0.58112632654724306</v>
      </c>
      <c r="Z63" s="170">
        <f>Sizing!DW79</f>
        <v>0.33770780740629297</v>
      </c>
      <c r="AA63" s="272">
        <f>Sizing!DX79</f>
        <v>0.58112632654724306</v>
      </c>
      <c r="AB63" s="272">
        <f t="shared" si="12"/>
        <v>3.0424958551724428</v>
      </c>
      <c r="AC63" s="216">
        <f>Sizing!GJ79</f>
        <v>0.25</v>
      </c>
      <c r="AD63" s="216">
        <f>Sizing!GK79</f>
        <v>2.3622047244094495E-2</v>
      </c>
      <c r="AE63" s="17">
        <f>Sizing!GL79</f>
        <v>2.3622047244094495E-2</v>
      </c>
      <c r="AF63" s="170">
        <f>Sizing!JC79</f>
        <v>5.2747672707505648E-3</v>
      </c>
      <c r="AG63" s="272">
        <f>Sizing!JD79</f>
        <v>7.2627593039770802E-2</v>
      </c>
      <c r="AH63" s="170">
        <f>Sizing!JC79</f>
        <v>5.2747672707505648E-3</v>
      </c>
      <c r="AI63" s="272">
        <f>Sizing!JD79</f>
        <v>7.2627593039770802E-2</v>
      </c>
      <c r="AJ63" s="216">
        <f>Sizing!IT79</f>
        <v>0.25</v>
      </c>
      <c r="AK63" s="216">
        <f>Sizing!IU79</f>
        <v>1.5748031496062995E-2</v>
      </c>
      <c r="AL63" s="17">
        <f>Sizing!IV79</f>
        <v>1.5748031496062995E-2</v>
      </c>
      <c r="AM63" s="170">
        <f t="shared" si="13"/>
        <v>0</v>
      </c>
      <c r="AN63" s="11">
        <f t="shared" si="14"/>
        <v>0.78152180621411482</v>
      </c>
      <c r="AO63" s="11">
        <f t="shared" si="15"/>
        <v>0.78152180621411482</v>
      </c>
      <c r="AP63" s="11">
        <f t="shared" si="16"/>
        <v>1.5630436124282296</v>
      </c>
      <c r="AQ63" s="555">
        <f t="shared" si="17"/>
        <v>24937079.140530214</v>
      </c>
      <c r="AR63" s="311">
        <f t="shared" si="18"/>
        <v>6.0161382464663014</v>
      </c>
      <c r="AS63" s="11">
        <f t="shared" si="19"/>
        <v>2.1767852200476279E-2</v>
      </c>
      <c r="AT63" s="11">
        <f t="shared" si="20"/>
        <v>1.3936489064324473</v>
      </c>
      <c r="AU63" s="11">
        <f t="shared" si="21"/>
        <v>1.4154167586329236</v>
      </c>
      <c r="AV63" s="555">
        <f t="shared" si="22"/>
        <v>22581813.742246218</v>
      </c>
      <c r="AW63" s="138">
        <f t="shared" si="23"/>
        <v>3.9370078740157494E-2</v>
      </c>
      <c r="AX63" s="138">
        <f t="shared" si="24"/>
        <v>4.724409448818899E-2</v>
      </c>
      <c r="AY63" s="554">
        <f t="shared" si="25"/>
        <v>3.1496062992125991E-2</v>
      </c>
      <c r="AZ63" s="12">
        <f t="shared" si="26"/>
        <v>231.16688585100189</v>
      </c>
      <c r="BA63" s="11">
        <f t="shared" si="27"/>
        <v>74.774671621848995</v>
      </c>
      <c r="BB63">
        <f t="shared" si="28"/>
        <v>112.54417065642386</v>
      </c>
      <c r="BC63" s="555">
        <f t="shared" si="29"/>
        <v>424402717.01532656</v>
      </c>
      <c r="BD63">
        <f t="shared" si="30"/>
        <v>19</v>
      </c>
      <c r="BE63" s="207">
        <f t="shared" si="31"/>
        <v>1.9455381200000001</v>
      </c>
      <c r="BF63" s="207">
        <f>'Inputs-Imperial'!$E$15*BE63</f>
        <v>1.4591535900000001</v>
      </c>
      <c r="BG63" s="207">
        <f>'Inputs-Imperial'!$E$12*BE63</f>
        <v>0.48638453000000004</v>
      </c>
      <c r="BH63">
        <f>'Inputs-Imperial'!$E$11*BE63</f>
        <v>0.35019686160000002</v>
      </c>
      <c r="BI63">
        <f t="shared" si="32"/>
        <v>0.37143986338141033</v>
      </c>
      <c r="BJ63">
        <f>'Weight '!U65+'Weight '!V65 /12</f>
        <v>2.4934383202099744E-2</v>
      </c>
      <c r="BK63">
        <f>('Weight '!AK65+'Weight '!AL65)/12</f>
        <v>3.9370078740157488E-3</v>
      </c>
      <c r="BL63">
        <f>'Weight '!AG65/12</f>
        <v>4.8427193878936924E-2</v>
      </c>
      <c r="BM63">
        <f>'Weight '!AI65/12</f>
        <v>4.8427193878936924E-2</v>
      </c>
      <c r="BN63" s="554">
        <f t="shared" si="33"/>
        <v>0.75065826266062186</v>
      </c>
      <c r="BO63" s="554">
        <f t="shared" si="34"/>
        <v>2.3848115141513397</v>
      </c>
      <c r="BP63">
        <f t="shared" si="35"/>
        <v>4.8427193878936924E-2</v>
      </c>
      <c r="BQ63">
        <f t="shared" si="35"/>
        <v>4.8427193878936924E-2</v>
      </c>
      <c r="BR63">
        <f t="shared" si="36"/>
        <v>0.25334247384212621</v>
      </c>
      <c r="BS63">
        <f t="shared" si="37"/>
        <v>0.1277477519525933</v>
      </c>
      <c r="BT63">
        <f t="shared" si="38"/>
        <v>0.29792847870110456</v>
      </c>
      <c r="BU63">
        <f t="shared" si="39"/>
        <v>5.6644980755899473E-2</v>
      </c>
      <c r="BV63">
        <f t="shared" si="40"/>
        <v>454.192371894367</v>
      </c>
      <c r="BW63" s="207">
        <f t="shared" si="41"/>
        <v>182.81479663207392</v>
      </c>
      <c r="BX63">
        <f t="shared" si="42"/>
        <v>0.73668943543775212</v>
      </c>
      <c r="BY63" s="575">
        <f t="shared" si="43"/>
        <v>-0.92238600594347986</v>
      </c>
      <c r="BZ63">
        <f t="shared" si="44"/>
        <v>454.49983389634815</v>
      </c>
      <c r="CA63" s="207">
        <f t="shared" si="45"/>
        <v>182.69104157399173</v>
      </c>
      <c r="CB63">
        <f t="shared" si="46"/>
        <v>0.73684173090925198</v>
      </c>
      <c r="CC63">
        <f t="shared" si="47"/>
        <v>226.9431438340068</v>
      </c>
      <c r="CD63">
        <f t="shared" si="48"/>
        <v>378.85211928501258</v>
      </c>
      <c r="CE63" s="207">
        <f t="shared" si="49"/>
        <v>213.13964092996875</v>
      </c>
      <c r="CF63">
        <f t="shared" si="50"/>
        <v>0.69937107017594169</v>
      </c>
      <c r="CG63">
        <f t="shared" si="51"/>
        <v>111.44630410481975</v>
      </c>
      <c r="CH63">
        <f t="shared" si="52"/>
        <v>341.70335125007267</v>
      </c>
      <c r="CI63" s="207">
        <f t="shared" ref="CI63" si="123" xml:space="preserve"> ($BQ$38-CH63*($BP63+$BR63+$BQ63+$BN63))/($BP63+$BR63+$BQ63+$BO63)</f>
        <v>228.09221365837885</v>
      </c>
      <c r="CJ63">
        <f t="shared" si="54"/>
        <v>0.68097013247611216</v>
      </c>
      <c r="CK63">
        <f t="shared" si="55"/>
        <v>58.879713978847931</v>
      </c>
      <c r="CL63">
        <f t="shared" si="56"/>
        <v>322.07677992379001</v>
      </c>
      <c r="CM63" s="207">
        <f t="shared" ref="CM63" si="124" xml:space="preserve"> ($BQ$38-CL63*($BP63+$BR63+$BQ63+$BN63))/($BP63+$BR63+$BQ63+$BO63)</f>
        <v>235.99201089767226</v>
      </c>
      <c r="CN63">
        <f t="shared" si="58"/>
        <v>0.67124848259807268</v>
      </c>
      <c r="CO63">
        <f t="shared" si="59"/>
        <v>32.211443131274805</v>
      </c>
      <c r="CP63">
        <f t="shared" si="60"/>
        <v>311.33963221336506</v>
      </c>
      <c r="CQ63" s="207">
        <f t="shared" ref="CQ63" si="125" xml:space="preserve"> ($BQ$38-CP63*($BP63+$BR63+$BQ63+$BN63))/($BP63+$BR63+$BQ63+$BO63)</f>
        <v>240.31376880589713</v>
      </c>
      <c r="CR63">
        <f t="shared" si="62"/>
        <v>0.66593004011546952</v>
      </c>
      <c r="CS63">
        <f t="shared" si="63"/>
        <v>17.944954137494626</v>
      </c>
      <c r="CT63">
        <f t="shared" si="64"/>
        <v>305.35798083420019</v>
      </c>
      <c r="CU63" s="636">
        <f t="shared" si="65"/>
        <v>242.72141465834733</v>
      </c>
      <c r="CV63" s="575">
        <f t="shared" si="66"/>
        <v>0.66296714255002154</v>
      </c>
      <c r="CW63">
        <f t="shared" si="67"/>
        <v>10.096183381373601</v>
      </c>
      <c r="CX63" s="576">
        <f t="shared" si="68"/>
        <v>0.34076286438942738</v>
      </c>
    </row>
    <row r="64" spans="1:102" x14ac:dyDescent="0.25">
      <c r="A64" s="186">
        <v>20</v>
      </c>
      <c r="B64" s="187">
        <f>A64/100*'Inputs-Imperial'!$E$5</f>
        <v>1.9685040000000003</v>
      </c>
      <c r="C64" s="188">
        <f>'Inputs-Imperial'!$E$10+('Inputs-Imperial'!$E$9-'Inputs-Imperial'!$E$10)*(100-A64)/100</f>
        <v>1.9356955999999998</v>
      </c>
      <c r="D64" s="187">
        <f t="shared" si="69"/>
        <v>9.8425200000000101E-2</v>
      </c>
      <c r="E64" s="188">
        <f t="shared" si="70"/>
        <v>0.1910056025688722</v>
      </c>
      <c r="F64" s="423">
        <f>Sizing!F80</f>
        <v>90.840936288896813</v>
      </c>
      <c r="G64" s="423">
        <f>Sizing!G80</f>
        <v>908.40936288896739</v>
      </c>
      <c r="H64" s="423">
        <f>Sizing!H80</f>
        <v>3175.1290893470382</v>
      </c>
      <c r="I64" s="423">
        <f>Sizing!I80</f>
        <v>-801.76863121105146</v>
      </c>
      <c r="J64" s="189">
        <f>Sizing!J80</f>
        <v>317.51290893470389</v>
      </c>
      <c r="K64" s="128">
        <v>20</v>
      </c>
      <c r="L64" s="12">
        <f t="shared" si="11"/>
        <v>23.622048000000003</v>
      </c>
      <c r="M64" s="11">
        <f t="shared" si="11"/>
        <v>23.228347199999998</v>
      </c>
      <c r="N64" s="11">
        <f t="shared" si="11"/>
        <v>1.1811024000000012</v>
      </c>
      <c r="O64" s="152">
        <f t="shared" si="71"/>
        <v>27.504806769917593</v>
      </c>
      <c r="P64" s="170">
        <f t="shared" si="0"/>
        <v>4.1811024959999994</v>
      </c>
      <c r="Q64" s="8">
        <f t="shared" si="1"/>
        <v>2.0905512479999997</v>
      </c>
      <c r="R64" s="170">
        <f>Sizing!X80</f>
        <v>5.8070867999999995</v>
      </c>
      <c r="S64" s="8">
        <f>Sizing!Y80</f>
        <v>17.421260399999998</v>
      </c>
      <c r="T64" s="8">
        <f>Sizing!Z80</f>
        <v>11.614173599999997</v>
      </c>
      <c r="U64" s="17">
        <f>Sizing!CN80</f>
        <v>0.25</v>
      </c>
      <c r="V64" s="17">
        <f>Sizing!CO80</f>
        <v>2.3622047244094495E-2</v>
      </c>
      <c r="W64" s="17">
        <f>Sizing!CP80</f>
        <v>1.5748031496062995E-2</v>
      </c>
      <c r="X64" s="170">
        <f>Sizing!DU80</f>
        <v>0.26897785437563354</v>
      </c>
      <c r="Y64" s="170">
        <f>Sizing!DV80</f>
        <v>0.51863074954695232</v>
      </c>
      <c r="Z64" s="170">
        <f>Sizing!DW80</f>
        <v>0.26897785437563354</v>
      </c>
      <c r="AA64" s="272">
        <f>Sizing!DX80</f>
        <v>0.51863074954695232</v>
      </c>
      <c r="AB64" s="272">
        <f t="shared" si="12"/>
        <v>3.0837315889727321</v>
      </c>
      <c r="AC64" s="216">
        <f>Sizing!GJ80</f>
        <v>0.25</v>
      </c>
      <c r="AD64" s="216">
        <f>Sizing!GK80</f>
        <v>2.3622047244094495E-2</v>
      </c>
      <c r="AE64" s="17">
        <f>Sizing!GL80</f>
        <v>2.3622047244094495E-2</v>
      </c>
      <c r="AF64" s="170">
        <f>Sizing!JC80</f>
        <v>4.2410538734210714E-3</v>
      </c>
      <c r="AG64" s="272">
        <f>Sizing!JD80</f>
        <v>6.5123374247815752E-2</v>
      </c>
      <c r="AH64" s="170">
        <f>Sizing!JC80</f>
        <v>4.2410538734210714E-3</v>
      </c>
      <c r="AI64" s="272">
        <f>Sizing!JD80</f>
        <v>6.5123374247815752E-2</v>
      </c>
      <c r="AJ64" s="216">
        <f>Sizing!IT80</f>
        <v>0.25</v>
      </c>
      <c r="AK64" s="216">
        <f>Sizing!IU80</f>
        <v>1.5748031496062995E-2</v>
      </c>
      <c r="AL64" s="17">
        <f>Sizing!IV80</f>
        <v>1.5748031496062995E-2</v>
      </c>
      <c r="AM64" s="170">
        <f t="shared" si="13"/>
        <v>0</v>
      </c>
      <c r="AN64" s="11">
        <f>X64*((AB64/2-AM64)^2)</f>
        <v>0.6394545365847758</v>
      </c>
      <c r="AO64" s="11">
        <f t="shared" si="15"/>
        <v>0.6394545365847758</v>
      </c>
      <c r="AP64" s="11">
        <f>AN64+AO64</f>
        <v>1.2789090731695516</v>
      </c>
      <c r="AQ64" s="555">
        <f>AP64*$E$23</f>
        <v>20403945.556980196</v>
      </c>
      <c r="AR64" s="311">
        <f t="shared" si="18"/>
        <v>5.9873683780522935</v>
      </c>
      <c r="AS64" s="11">
        <f t="shared" si="19"/>
        <v>1.7484339163453332E-2</v>
      </c>
      <c r="AT64" s="11">
        <f t="shared" si="20"/>
        <v>1.1088989137428629</v>
      </c>
      <c r="AU64" s="11">
        <f t="shared" si="21"/>
        <v>1.1263832529063162</v>
      </c>
      <c r="AV64" s="555">
        <f t="shared" si="22"/>
        <v>17970521.165852893</v>
      </c>
      <c r="AW64" s="138">
        <f t="shared" si="23"/>
        <v>3.9370078740157494E-2</v>
      </c>
      <c r="AX64" s="138">
        <f t="shared" si="24"/>
        <v>4.724409448818899E-2</v>
      </c>
      <c r="AY64" s="554">
        <f t="shared" si="25"/>
        <v>3.1496062992125991E-2</v>
      </c>
      <c r="AZ64" s="12">
        <f t="shared" si="26"/>
        <v>228.83384558105874</v>
      </c>
      <c r="BA64" s="11">
        <f t="shared" si="27"/>
        <v>74.396384918871661</v>
      </c>
      <c r="BB64">
        <f t="shared" si="28"/>
        <v>110.84470707069924</v>
      </c>
      <c r="BC64" s="555">
        <f t="shared" si="29"/>
        <v>417994060.22712207</v>
      </c>
      <c r="BD64">
        <f t="shared" si="30"/>
        <v>20</v>
      </c>
      <c r="BE64" s="207">
        <f t="shared" si="31"/>
        <v>1.9356955999999998</v>
      </c>
      <c r="BF64" s="207">
        <f>'Inputs-Imperial'!$E$15*BE64</f>
        <v>1.4517716999999999</v>
      </c>
      <c r="BG64" s="207">
        <f>'Inputs-Imperial'!$E$12*BE64</f>
        <v>0.48392389999999996</v>
      </c>
      <c r="BH64">
        <f>'Inputs-Imperial'!$E$11*BE64</f>
        <v>0.34842520799999999</v>
      </c>
      <c r="BI64">
        <f t="shared" si="32"/>
        <v>0.36956074096969993</v>
      </c>
      <c r="BJ64">
        <f>'Weight '!U66+'Weight '!V66 /12</f>
        <v>2.4934383202099744E-2</v>
      </c>
      <c r="BK64">
        <f>('Weight '!AK66+'Weight '!AL66)/12</f>
        <v>3.9370078740157488E-3</v>
      </c>
      <c r="BL64">
        <f>'Weight '!AG66/12</f>
        <v>4.3219229128912691E-2</v>
      </c>
      <c r="BM64">
        <f>'Weight '!AI66/12</f>
        <v>4.3219229128912691E-2</v>
      </c>
      <c r="BN64" s="554">
        <f t="shared" si="33"/>
        <v>0.74444246772689604</v>
      </c>
      <c r="BO64" s="554">
        <f t="shared" si="34"/>
        <v>2.3751648987470615</v>
      </c>
      <c r="BP64">
        <f t="shared" si="35"/>
        <v>4.3219229128912691E-2</v>
      </c>
      <c r="BQ64">
        <f t="shared" si="35"/>
        <v>4.3219229128912691E-2</v>
      </c>
      <c r="BR64">
        <f t="shared" si="36"/>
        <v>0.26198674974217462</v>
      </c>
      <c r="BS64">
        <f t="shared" si="37"/>
        <v>0.12645846413525338</v>
      </c>
      <c r="BT64">
        <f t="shared" si="38"/>
        <v>0.29492165038391827</v>
      </c>
      <c r="BU64">
        <f t="shared" si="39"/>
        <v>5.5507377186699625E-2</v>
      </c>
      <c r="BV64">
        <f t="shared" si="40"/>
        <v>457.51193040588049</v>
      </c>
      <c r="BW64" s="207">
        <f t="shared" si="41"/>
        <v>183.58122199128502</v>
      </c>
      <c r="BX64">
        <f t="shared" si="42"/>
        <v>0.73331420814703263</v>
      </c>
      <c r="BY64" s="575">
        <f t="shared" si="43"/>
        <v>-0.46492974895249972</v>
      </c>
      <c r="BZ64">
        <f t="shared" si="44"/>
        <v>457.66690698886464</v>
      </c>
      <c r="CA64" s="207">
        <f t="shared" si="45"/>
        <v>183.51903609274677</v>
      </c>
      <c r="CB64">
        <f t="shared" si="46"/>
        <v>0.73339008428400987</v>
      </c>
      <c r="CC64">
        <f t="shared" si="47"/>
        <v>227.9800574894083</v>
      </c>
      <c r="CD64">
        <f t="shared" si="48"/>
        <v>381.67355449239523</v>
      </c>
      <c r="CE64" s="207">
        <f t="shared" si="49"/>
        <v>214.01212619017826</v>
      </c>
      <c r="CF64">
        <f t="shared" si="50"/>
        <v>0.69618393408794488</v>
      </c>
      <c r="CG64">
        <f t="shared" si="51"/>
        <v>112.55274879652208</v>
      </c>
      <c r="CH64">
        <f t="shared" si="52"/>
        <v>344.15597156022119</v>
      </c>
      <c r="CI64" s="207">
        <f t="shared" ref="CI64" si="126" xml:space="preserve"> ($BQ$38-CH64*($BP64+$BR64+$BQ64+$BN64))/($BP64+$BR64+$BQ64+$BO64)</f>
        <v>229.06643027081205</v>
      </c>
      <c r="CJ64">
        <f t="shared" si="54"/>
        <v>0.67781542184692178</v>
      </c>
      <c r="CK64">
        <f t="shared" si="55"/>
        <v>59.736849641292999</v>
      </c>
      <c r="CL64">
        <f t="shared" si="56"/>
        <v>324.24368834645685</v>
      </c>
      <c r="CM64" s="207">
        <f t="shared" ref="CM64" si="127" xml:space="preserve"> ($BQ$38-CL64*($BP64+$BR64+$BQ64+$BN64))/($BP64+$BR64+$BQ64+$BO64)</f>
        <v>237.05643237147075</v>
      </c>
      <c r="CN64">
        <f t="shared" si="58"/>
        <v>0.66806641912944964</v>
      </c>
      <c r="CO64">
        <f t="shared" si="59"/>
        <v>32.824823855735524</v>
      </c>
      <c r="CP64">
        <f t="shared" si="60"/>
        <v>313.30208039454499</v>
      </c>
      <c r="CQ64" s="207">
        <f t="shared" ref="CQ64" si="128" xml:space="preserve"> ($BQ$38-CP64*($BP64+$BR64+$BQ64+$BN64))/($BP64+$BR64+$BQ64+$BO64)</f>
        <v>241.44686161465916</v>
      </c>
      <c r="CR64">
        <f t="shared" si="62"/>
        <v>0.66270943597932197</v>
      </c>
      <c r="CS64">
        <f t="shared" si="63"/>
        <v>18.367492289768279</v>
      </c>
      <c r="CT64">
        <f t="shared" si="64"/>
        <v>307.17958296462223</v>
      </c>
      <c r="CU64" s="636">
        <f t="shared" si="65"/>
        <v>243.90357472993594</v>
      </c>
      <c r="CV64" s="575">
        <f t="shared" si="66"/>
        <v>0.65971187696304734</v>
      </c>
      <c r="CW64">
        <f t="shared" si="67"/>
        <v>10.380034254395982</v>
      </c>
      <c r="CX64" s="576">
        <f t="shared" si="68"/>
        <v>0.34081385366740896</v>
      </c>
    </row>
    <row r="65" spans="1:102" x14ac:dyDescent="0.25">
      <c r="A65" s="186">
        <v>21</v>
      </c>
      <c r="B65" s="187">
        <f>A65/100*'Inputs-Imperial'!$E$5</f>
        <v>2.0669292000000001</v>
      </c>
      <c r="C65" s="188">
        <f>'Inputs-Imperial'!$E$10+('Inputs-Imperial'!$E$9-'Inputs-Imperial'!$E$10)*(100-A65)/100</f>
        <v>1.92585308</v>
      </c>
      <c r="D65" s="187">
        <f t="shared" si="69"/>
        <v>9.8425199999999879E-2</v>
      </c>
      <c r="E65" s="188">
        <f t="shared" si="70"/>
        <v>0.19003685056936775</v>
      </c>
      <c r="F65" s="423">
        <f>Sizing!F81</f>
        <v>89.372157802109982</v>
      </c>
      <c r="G65" s="423">
        <f>Sizing!G81</f>
        <v>893.72157802109916</v>
      </c>
      <c r="H65" s="423">
        <f>Sizing!H81</f>
        <v>3085.7187161228189</v>
      </c>
      <c r="I65" s="423">
        <f>Sizing!I81</f>
        <v>-785.74161624302576</v>
      </c>
      <c r="J65" s="189">
        <f>Sizing!J81</f>
        <v>308.571871612282</v>
      </c>
      <c r="K65" s="128">
        <v>21</v>
      </c>
      <c r="L65" s="12">
        <f t="shared" si="11"/>
        <v>24.8031504</v>
      </c>
      <c r="M65" s="11">
        <f t="shared" si="11"/>
        <v>23.110236960000002</v>
      </c>
      <c r="N65" s="11">
        <f t="shared" si="11"/>
        <v>1.1811023999999986</v>
      </c>
      <c r="O65" s="152">
        <f t="shared" si="71"/>
        <v>27.365306481988959</v>
      </c>
      <c r="P65" s="170">
        <f t="shared" si="0"/>
        <v>4.1598426528000001</v>
      </c>
      <c r="Q65" s="8">
        <f t="shared" si="1"/>
        <v>2.0799213264</v>
      </c>
      <c r="R65" s="170">
        <f>Sizing!X81</f>
        <v>5.7775592400000004</v>
      </c>
      <c r="S65" s="8">
        <f>Sizing!Y81</f>
        <v>17.33267772</v>
      </c>
      <c r="T65" s="8">
        <f>Sizing!Z81</f>
        <v>11.555118479999999</v>
      </c>
      <c r="U65" s="17">
        <f>Sizing!CN81</f>
        <v>0.25</v>
      </c>
      <c r="V65" s="17">
        <f>Sizing!CO81</f>
        <v>2.3622047244094495E-2</v>
      </c>
      <c r="W65" s="17">
        <f>Sizing!CP81</f>
        <v>1.5748031496062995E-2</v>
      </c>
      <c r="X65" s="170">
        <f>Sizing!DU81</f>
        <v>0.26897785437563354</v>
      </c>
      <c r="Y65" s="170">
        <f>Sizing!DV81</f>
        <v>0.51863074954695232</v>
      </c>
      <c r="Z65" s="170">
        <f>Sizing!DW81</f>
        <v>0.26897785437563354</v>
      </c>
      <c r="AA65" s="272">
        <f>Sizing!DX81</f>
        <v>0.51863074954695232</v>
      </c>
      <c r="AB65" s="272">
        <f t="shared" si="12"/>
        <v>3.0624717457727328</v>
      </c>
      <c r="AC65" s="216">
        <f>Sizing!GJ81</f>
        <v>0.25</v>
      </c>
      <c r="AD65" s="216">
        <f>Sizing!GK81</f>
        <v>2.3622047244094495E-2</v>
      </c>
      <c r="AE65" s="17">
        <f>Sizing!GL81</f>
        <v>2.3622047244094495E-2</v>
      </c>
      <c r="AF65" s="170">
        <f>Sizing!JC81</f>
        <v>4.2410538734210714E-3</v>
      </c>
      <c r="AG65" s="272">
        <f>Sizing!JD81</f>
        <v>6.5123374247815752E-2</v>
      </c>
      <c r="AH65" s="170">
        <f>Sizing!JC81</f>
        <v>4.2410538734210714E-3</v>
      </c>
      <c r="AI65" s="272">
        <f>Sizing!JD81</f>
        <v>6.5123374247815752E-2</v>
      </c>
      <c r="AJ65" s="216">
        <f>Sizing!IT81</f>
        <v>0.25</v>
      </c>
      <c r="AK65" s="216">
        <f>Sizing!IU81</f>
        <v>1.5748031496062995E-2</v>
      </c>
      <c r="AL65" s="17">
        <f>Sizing!IV81</f>
        <v>1.5748031496062995E-2</v>
      </c>
      <c r="AM65" s="170">
        <f t="shared" si="13"/>
        <v>0</v>
      </c>
      <c r="AN65" s="11">
        <f t="shared" si="14"/>
        <v>0.63066788279780051</v>
      </c>
      <c r="AO65" s="11">
        <f t="shared" si="15"/>
        <v>0.63066788279780051</v>
      </c>
      <c r="AP65" s="11">
        <f t="shared" si="16"/>
        <v>1.261335765595601</v>
      </c>
      <c r="AQ65" s="555">
        <f t="shared" si="17"/>
        <v>20123577.844750024</v>
      </c>
      <c r="AR65" s="311">
        <f t="shared" si="18"/>
        <v>5.9569241320621975</v>
      </c>
      <c r="AS65" s="11">
        <f t="shared" si="19"/>
        <v>1.7306984375788335E-2</v>
      </c>
      <c r="AT65" s="11">
        <f t="shared" si="20"/>
        <v>1.0976506458186286</v>
      </c>
      <c r="AU65" s="11">
        <f t="shared" si="21"/>
        <v>1.1149576301944168</v>
      </c>
      <c r="AV65" s="555">
        <f t="shared" si="22"/>
        <v>17788234.724495161</v>
      </c>
      <c r="AW65" s="138">
        <f t="shared" si="23"/>
        <v>3.9370078740157494E-2</v>
      </c>
      <c r="AX65" s="138">
        <f t="shared" si="24"/>
        <v>4.724409448818899E-2</v>
      </c>
      <c r="AY65" s="554">
        <f t="shared" si="25"/>
        <v>3.1496062992125991E-2</v>
      </c>
      <c r="AZ65" s="12">
        <f t="shared" si="26"/>
        <v>226.51263814426846</v>
      </c>
      <c r="BA65" s="11">
        <f t="shared" si="27"/>
        <v>74.018098215894369</v>
      </c>
      <c r="BB65">
        <f t="shared" si="28"/>
        <v>109.16243858460649</v>
      </c>
      <c r="BC65" s="555">
        <f t="shared" si="29"/>
        <v>411650245.95328814</v>
      </c>
      <c r="BD65">
        <f t="shared" si="30"/>
        <v>21</v>
      </c>
      <c r="BE65" s="207">
        <f t="shared" si="31"/>
        <v>1.92585308</v>
      </c>
      <c r="BF65" s="207">
        <f>'Inputs-Imperial'!$E$15*BE65</f>
        <v>1.4443898100000001</v>
      </c>
      <c r="BG65" s="207">
        <f>'Inputs-Imperial'!$E$12*BE65</f>
        <v>0.48146327</v>
      </c>
      <c r="BH65">
        <f>'Inputs-Imperial'!$E$11*BE65</f>
        <v>0.34665355440000001</v>
      </c>
      <c r="BI65">
        <f t="shared" si="32"/>
        <v>0.36768161855798964</v>
      </c>
      <c r="BJ65">
        <f>'Weight '!U67+'Weight '!V67 /12</f>
        <v>2.4934383202099744E-2</v>
      </c>
      <c r="BK65">
        <f>('Weight '!AK67+'Weight '!AL67)/12</f>
        <v>3.9370078740157488E-3</v>
      </c>
      <c r="BL65">
        <f>'Weight '!AG67/12</f>
        <v>4.3219229128912691E-2</v>
      </c>
      <c r="BM65">
        <f>'Weight '!AI67/12</f>
        <v>4.3219229128912691E-2</v>
      </c>
      <c r="BN65" s="554">
        <f t="shared" si="33"/>
        <v>0.73823803813929001</v>
      </c>
      <c r="BO65" s="554">
        <f t="shared" si="34"/>
        <v>2.3655069179966657</v>
      </c>
      <c r="BP65">
        <f t="shared" si="35"/>
        <v>4.3219229128912691E-2</v>
      </c>
      <c r="BQ65">
        <f t="shared" si="35"/>
        <v>4.3219229128912691E-2</v>
      </c>
      <c r="BR65">
        <f t="shared" si="36"/>
        <v>0.26021509614217464</v>
      </c>
      <c r="BS65">
        <f t="shared" si="37"/>
        <v>0.12517571539391018</v>
      </c>
      <c r="BT65">
        <f t="shared" si="38"/>
        <v>0.29193007225261813</v>
      </c>
      <c r="BU65">
        <f t="shared" si="39"/>
        <v>5.4386995170411005E-2</v>
      </c>
      <c r="BV65">
        <f t="shared" si="40"/>
        <v>460.87554133376904</v>
      </c>
      <c r="BW65" s="207">
        <f t="shared" si="41"/>
        <v>184.35487320488932</v>
      </c>
      <c r="BX65">
        <f t="shared" si="42"/>
        <v>0.72993829327836923</v>
      </c>
      <c r="BY65" s="575">
        <f t="shared" si="43"/>
        <v>-3.7366937179115212E-3</v>
      </c>
      <c r="BZ65">
        <f t="shared" si="44"/>
        <v>460.87678689834166</v>
      </c>
      <c r="CA65" s="207">
        <f t="shared" si="45"/>
        <v>184.35437496647509</v>
      </c>
      <c r="CB65">
        <f t="shared" si="46"/>
        <v>0.72993889600879458</v>
      </c>
      <c r="CC65">
        <f t="shared" si="47"/>
        <v>229.03035918281159</v>
      </c>
      <c r="CD65">
        <f t="shared" si="48"/>
        <v>384.53333383740448</v>
      </c>
      <c r="CE65" s="207">
        <f t="shared" si="49"/>
        <v>214.89252756260043</v>
      </c>
      <c r="CF65">
        <f t="shared" si="50"/>
        <v>0.69299619311600946</v>
      </c>
      <c r="CG65">
        <f t="shared" si="51"/>
        <v>113.67060614182199</v>
      </c>
      <c r="CH65">
        <f t="shared" si="52"/>
        <v>346.6431317901305</v>
      </c>
      <c r="CI65" s="207">
        <f t="shared" ref="CI65" si="129" xml:space="preserve"> ($BQ$38-CH65*($BP65+$BR65+$BQ65+$BN65))/($BP65+$BR65+$BQ65+$BO65)</f>
        <v>230.04899122287102</v>
      </c>
      <c r="CJ65">
        <f t="shared" si="54"/>
        <v>0.67466107175776091</v>
      </c>
      <c r="CK65">
        <f t="shared" si="55"/>
        <v>60.60510665842817</v>
      </c>
      <c r="CL65">
        <f t="shared" si="56"/>
        <v>326.44142957065446</v>
      </c>
      <c r="CM65" s="207">
        <f t="shared" ref="CM65" si="130" xml:space="preserve"> ($BQ$38-CL65*($BP65+$BR65+$BQ65+$BN65))/($BP65+$BR65+$BQ65+$BO65)</f>
        <v>238.12987622799938</v>
      </c>
      <c r="CN65">
        <f t="shared" si="58"/>
        <v>0.66488544001594119</v>
      </c>
      <c r="CO65">
        <f t="shared" si="59"/>
        <v>33.448248063905822</v>
      </c>
      <c r="CP65">
        <f t="shared" si="60"/>
        <v>315.29201354935253</v>
      </c>
      <c r="CQ65" s="207">
        <f t="shared" ref="CQ65" si="131" xml:space="preserve"> ($BQ$38-CP65*($BP65+$BR65+$BQ65+$BN65))/($BP65+$BR65+$BQ65+$BO65)</f>
        <v>242.58975528985459</v>
      </c>
      <c r="CR65">
        <f t="shared" si="62"/>
        <v>0.65949022212902886</v>
      </c>
      <c r="CS65">
        <f t="shared" si="63"/>
        <v>18.798540220613127</v>
      </c>
      <c r="CT65">
        <f t="shared" si="64"/>
        <v>309.02583347581481</v>
      </c>
      <c r="CU65" s="636">
        <f t="shared" si="65"/>
        <v>245.096290632548</v>
      </c>
      <c r="CV65" s="575">
        <f t="shared" si="66"/>
        <v>0.65645800889465211</v>
      </c>
      <c r="CW65">
        <f t="shared" si="67"/>
        <v>10.670746360070844</v>
      </c>
      <c r="CX65" s="576">
        <f t="shared" si="68"/>
        <v>0.34086608979260874</v>
      </c>
    </row>
    <row r="66" spans="1:102" x14ac:dyDescent="0.25">
      <c r="A66" s="186">
        <v>22</v>
      </c>
      <c r="B66" s="187">
        <f>A66/100*'Inputs-Imperial'!$E$5</f>
        <v>2.1653544</v>
      </c>
      <c r="C66" s="188">
        <f>'Inputs-Imperial'!$E$10+('Inputs-Imperial'!$E$9-'Inputs-Imperial'!$E$10)*(100-A66)/100</f>
        <v>1.9160105600000001</v>
      </c>
      <c r="D66" s="187">
        <f t="shared" si="69"/>
        <v>9.8425199999999879E-2</v>
      </c>
      <c r="E66" s="188">
        <f t="shared" si="70"/>
        <v>0.18906809856986379</v>
      </c>
      <c r="F66" s="423">
        <f>Sizing!F82</f>
        <v>87.90867387711512</v>
      </c>
      <c r="G66" s="423">
        <f>Sizing!G82</f>
        <v>879.08673877115052</v>
      </c>
      <c r="H66" s="423">
        <f>Sizing!H82</f>
        <v>2997.7539910617766</v>
      </c>
      <c r="I66" s="423">
        <f>Sizing!I82</f>
        <v>-769.83049225896798</v>
      </c>
      <c r="J66" s="189">
        <f>Sizing!J82</f>
        <v>299.77539910617776</v>
      </c>
      <c r="K66" s="128">
        <v>22</v>
      </c>
      <c r="L66" s="12">
        <f t="shared" si="11"/>
        <v>25.9842528</v>
      </c>
      <c r="M66" s="11">
        <f t="shared" si="11"/>
        <v>22.992126720000002</v>
      </c>
      <c r="N66" s="11">
        <f t="shared" si="11"/>
        <v>1.1811023999999986</v>
      </c>
      <c r="O66" s="152">
        <f t="shared" si="71"/>
        <v>27.225806194060382</v>
      </c>
      <c r="P66" s="170">
        <f t="shared" si="0"/>
        <v>4.1385828095999999</v>
      </c>
      <c r="Q66" s="8">
        <f t="shared" si="1"/>
        <v>2.0692914048</v>
      </c>
      <c r="R66" s="170">
        <f>Sizing!X82</f>
        <v>5.7480316800000004</v>
      </c>
      <c r="S66" s="8">
        <f>Sizing!Y82</f>
        <v>17.244095040000001</v>
      </c>
      <c r="T66" s="8">
        <f>Sizing!Z82</f>
        <v>11.496063360000001</v>
      </c>
      <c r="U66" s="17">
        <f>Sizing!CN82</f>
        <v>0.25</v>
      </c>
      <c r="V66" s="17">
        <f>Sizing!CO82</f>
        <v>2.3622047244094495E-2</v>
      </c>
      <c r="W66" s="17">
        <f>Sizing!CP82</f>
        <v>1.5748031496062995E-2</v>
      </c>
      <c r="X66" s="170">
        <f>Sizing!DU82</f>
        <v>0.26897785437563354</v>
      </c>
      <c r="Y66" s="170">
        <f>Sizing!DV82</f>
        <v>0.51863074954695232</v>
      </c>
      <c r="Z66" s="170">
        <f>Sizing!DW82</f>
        <v>0.26897785437563354</v>
      </c>
      <c r="AA66" s="272">
        <f>Sizing!DX82</f>
        <v>0.51863074954695232</v>
      </c>
      <c r="AB66" s="272">
        <f t="shared" si="12"/>
        <v>3.0412119025727327</v>
      </c>
      <c r="AC66" s="216">
        <f>Sizing!GJ82</f>
        <v>0.25</v>
      </c>
      <c r="AD66" s="216">
        <f>Sizing!GK82</f>
        <v>2.3622047244094495E-2</v>
      </c>
      <c r="AE66" s="17">
        <f>Sizing!GL82</f>
        <v>2.3622047244094495E-2</v>
      </c>
      <c r="AF66" s="170">
        <f>Sizing!JC82</f>
        <v>4.2410538734210714E-3</v>
      </c>
      <c r="AG66" s="272">
        <f>Sizing!JD82</f>
        <v>6.5123374247815752E-2</v>
      </c>
      <c r="AH66" s="170">
        <f>Sizing!JC82</f>
        <v>4.2410538734210714E-3</v>
      </c>
      <c r="AI66" s="272">
        <f>Sizing!JD82</f>
        <v>6.5123374247815752E-2</v>
      </c>
      <c r="AJ66" s="216">
        <f>Sizing!IT82</f>
        <v>0.25</v>
      </c>
      <c r="AK66" s="216">
        <f>Sizing!IU82</f>
        <v>1.5748031496062995E-2</v>
      </c>
      <c r="AL66" s="17">
        <f>Sizing!IV82</f>
        <v>1.5748031496062995E-2</v>
      </c>
      <c r="AM66" s="170">
        <f t="shared" si="13"/>
        <v>0</v>
      </c>
      <c r="AN66" s="11">
        <f t="shared" si="14"/>
        <v>0.62194201544159844</v>
      </c>
      <c r="AO66" s="11">
        <f t="shared" si="15"/>
        <v>0.62194201544159844</v>
      </c>
      <c r="AP66" s="11">
        <f t="shared" si="16"/>
        <v>1.2438840308831969</v>
      </c>
      <c r="AQ66" s="555">
        <f t="shared" si="17"/>
        <v>19845149.727836084</v>
      </c>
      <c r="AR66" s="311">
        <f t="shared" si="18"/>
        <v>5.9264798860721015</v>
      </c>
      <c r="AS66" s="11">
        <f t="shared" si="19"/>
        <v>1.7130533690694446E-2</v>
      </c>
      <c r="AT66" s="11">
        <f t="shared" si="20"/>
        <v>1.0864597182576445</v>
      </c>
      <c r="AU66" s="11">
        <f t="shared" si="21"/>
        <v>1.1035902519483389</v>
      </c>
      <c r="AV66" s="555">
        <f t="shared" si="22"/>
        <v>17606877.525829151</v>
      </c>
      <c r="AW66" s="138">
        <f t="shared" si="23"/>
        <v>3.9370078740157494E-2</v>
      </c>
      <c r="AX66" s="138">
        <f t="shared" si="24"/>
        <v>4.724409448818899E-2</v>
      </c>
      <c r="AY66" s="554">
        <f t="shared" si="25"/>
        <v>3.1496062992125991E-2</v>
      </c>
      <c r="AZ66" s="12">
        <f t="shared" si="26"/>
        <v>224.20326354063084</v>
      </c>
      <c r="BA66" s="11">
        <f t="shared" si="27"/>
        <v>73.639811512917035</v>
      </c>
      <c r="BB66">
        <f t="shared" si="28"/>
        <v>107.49727776543553</v>
      </c>
      <c r="BC66" s="555">
        <f t="shared" si="29"/>
        <v>405370944.48612422</v>
      </c>
      <c r="BD66">
        <f t="shared" si="30"/>
        <v>22</v>
      </c>
      <c r="BE66" s="207">
        <f t="shared" si="31"/>
        <v>1.9160105600000001</v>
      </c>
      <c r="BF66" s="207">
        <f>'Inputs-Imperial'!$E$15*BE66</f>
        <v>1.4370079200000001</v>
      </c>
      <c r="BG66" s="207">
        <f>'Inputs-Imperial'!$E$12*BE66</f>
        <v>0.47900264000000004</v>
      </c>
      <c r="BH66">
        <f>'Inputs-Imperial'!$E$11*BE66</f>
        <v>0.34488190080000003</v>
      </c>
      <c r="BI66">
        <f t="shared" si="32"/>
        <v>0.3658024961462793</v>
      </c>
      <c r="BJ66">
        <f>'Weight '!U68+'Weight '!V68 /12</f>
        <v>2.4934383202099744E-2</v>
      </c>
      <c r="BK66">
        <f>('Weight '!AK68+'Weight '!AL68)/12</f>
        <v>3.9370078740157488E-3</v>
      </c>
      <c r="BL66">
        <f>'Weight '!AG68/12</f>
        <v>4.3219229128912691E-2</v>
      </c>
      <c r="BM66">
        <f>'Weight '!AI68/12</f>
        <v>4.3219229128912691E-2</v>
      </c>
      <c r="BN66" s="554">
        <f t="shared" si="33"/>
        <v>0.73204512351070361</v>
      </c>
      <c r="BO66" s="554">
        <f t="shared" si="34"/>
        <v>2.3558374222872485</v>
      </c>
      <c r="BP66">
        <f t="shared" si="35"/>
        <v>4.3219229128912691E-2</v>
      </c>
      <c r="BQ66">
        <f t="shared" si="35"/>
        <v>4.3219229128912691E-2</v>
      </c>
      <c r="BR66">
        <f t="shared" si="36"/>
        <v>0.25844344254217466</v>
      </c>
      <c r="BS66">
        <f t="shared" si="37"/>
        <v>0.12389950572856362</v>
      </c>
      <c r="BT66">
        <f t="shared" si="38"/>
        <v>0.28895374430720389</v>
      </c>
      <c r="BU66">
        <f t="shared" si="39"/>
        <v>5.3283660018606953E-2</v>
      </c>
      <c r="BV66">
        <f t="shared" si="40"/>
        <v>464.28401248453144</v>
      </c>
      <c r="BW66" s="207">
        <f t="shared" si="41"/>
        <v>185.13586203709596</v>
      </c>
      <c r="BX66">
        <f t="shared" si="42"/>
        <v>0.72656167824669382</v>
      </c>
      <c r="BY66" s="575">
        <f t="shared" si="43"/>
        <v>0.46123400251445901</v>
      </c>
      <c r="BZ66">
        <f t="shared" si="44"/>
        <v>464.13026781702661</v>
      </c>
      <c r="CA66" s="207">
        <f t="shared" si="45"/>
        <v>185.19716858823003</v>
      </c>
      <c r="CB66">
        <f t="shared" si="46"/>
        <v>0.72648815095506791</v>
      </c>
      <c r="CC66">
        <f t="shared" si="47"/>
        <v>230.09422756251507</v>
      </c>
      <c r="CD66">
        <f t="shared" si="48"/>
        <v>387.43219196285492</v>
      </c>
      <c r="CE66" s="207">
        <f t="shared" si="49"/>
        <v>215.7809578379659</v>
      </c>
      <c r="CF66">
        <f t="shared" si="50"/>
        <v>0.6898078427401132</v>
      </c>
      <c r="CG66">
        <f t="shared" si="51"/>
        <v>114.80005795349106</v>
      </c>
      <c r="CH66">
        <f t="shared" si="52"/>
        <v>349.16550597835788</v>
      </c>
      <c r="CI66" s="207">
        <f t="shared" ref="CI66" si="132" xml:space="preserve"> ($BQ$38-CH66*($BP66+$BR66+$BQ66+$BN66))/($BP66+$BR66+$BQ66+$BO66)</f>
        <v>231.04001416241505</v>
      </c>
      <c r="CJ66">
        <f t="shared" si="54"/>
        <v>0.67150707286232625</v>
      </c>
      <c r="CK66">
        <f t="shared" si="55"/>
        <v>61.484653631557727</v>
      </c>
      <c r="CL66">
        <f t="shared" si="56"/>
        <v>328.67062143450534</v>
      </c>
      <c r="CM66" s="207">
        <f t="shared" ref="CM66" si="133" xml:space="preserve"> ($BQ$38-CL66*($BP66+$BR66+$BQ66+$BN66))/($BP66+$BR66+$BQ66+$BO66)</f>
        <v>239.21246467836582</v>
      </c>
      <c r="CN66">
        <f t="shared" si="58"/>
        <v>0.66170554037893303</v>
      </c>
      <c r="CO66">
        <f t="shared" si="59"/>
        <v>34.081878346166661</v>
      </c>
      <c r="CP66">
        <f t="shared" si="60"/>
        <v>317.30999531911647</v>
      </c>
      <c r="CQ66" s="207">
        <f t="shared" ref="CQ66" si="134" xml:space="preserve"> ($BQ$38-CP66*($BP66+$BR66+$BQ66+$BN66))/($BP66+$BR66+$BQ66+$BO66)</f>
        <v>243.74257825668707</v>
      </c>
      <c r="CR66">
        <f t="shared" si="62"/>
        <v>0.65627240189682001</v>
      </c>
      <c r="CS66">
        <f t="shared" si="63"/>
        <v>19.238254163965131</v>
      </c>
      <c r="CT66">
        <f t="shared" si="64"/>
        <v>310.89724393112812</v>
      </c>
      <c r="CU66" s="636">
        <f t="shared" si="65"/>
        <v>246.29969895074578</v>
      </c>
      <c r="CV66" s="575">
        <f t="shared" si="66"/>
        <v>0.65320554924376872</v>
      </c>
      <c r="CW66">
        <f t="shared" si="67"/>
        <v>10.9684657641464</v>
      </c>
      <c r="CX66" s="576">
        <f t="shared" si="68"/>
        <v>0.34091959766848501</v>
      </c>
    </row>
    <row r="67" spans="1:102" x14ac:dyDescent="0.25">
      <c r="A67" s="186">
        <v>23</v>
      </c>
      <c r="B67" s="187">
        <f>A67/100*'Inputs-Imperial'!$E$5</f>
        <v>2.2637796000000003</v>
      </c>
      <c r="C67" s="188">
        <f>'Inputs-Imperial'!$E$10+('Inputs-Imperial'!$E$9-'Inputs-Imperial'!$E$10)*(100-A67)/100</f>
        <v>1.9061680400000001</v>
      </c>
      <c r="D67" s="187">
        <f t="shared" si="69"/>
        <v>9.8425200000000324E-2</v>
      </c>
      <c r="E67" s="188">
        <f t="shared" si="70"/>
        <v>0.18809934657036062</v>
      </c>
      <c r="F67" s="423">
        <f>Sizing!F83</f>
        <v>86.450567374295701</v>
      </c>
      <c r="G67" s="423">
        <f>Sizing!G83</f>
        <v>864.50567374295633</v>
      </c>
      <c r="H67" s="423">
        <f>Sizing!H83</f>
        <v>2911.2297029808778</v>
      </c>
      <c r="I67" s="423">
        <f>Sizing!I83</f>
        <v>-754.03663855413072</v>
      </c>
      <c r="J67" s="189">
        <f>Sizing!J83</f>
        <v>291.12297029808792</v>
      </c>
      <c r="K67" s="128">
        <v>23</v>
      </c>
      <c r="L67" s="12">
        <f t="shared" si="11"/>
        <v>27.165355200000004</v>
      </c>
      <c r="M67" s="11">
        <f t="shared" si="11"/>
        <v>22.874016480000002</v>
      </c>
      <c r="N67" s="11">
        <f t="shared" si="11"/>
        <v>1.1811024000000039</v>
      </c>
      <c r="O67" s="152">
        <f t="shared" si="71"/>
        <v>27.086305906131926</v>
      </c>
      <c r="P67" s="170">
        <f t="shared" si="0"/>
        <v>4.1173229663999997</v>
      </c>
      <c r="Q67" s="8">
        <f t="shared" si="1"/>
        <v>2.0586614831999999</v>
      </c>
      <c r="R67" s="170">
        <f>Sizing!X83</f>
        <v>5.7185041200000004</v>
      </c>
      <c r="S67" s="8">
        <f>Sizing!Y83</f>
        <v>17.155512360000003</v>
      </c>
      <c r="T67" s="8">
        <f>Sizing!Z83</f>
        <v>11.437008240000003</v>
      </c>
      <c r="U67" s="17">
        <f>Sizing!CN83</f>
        <v>0.25</v>
      </c>
      <c r="V67" s="17">
        <f>Sizing!CO83</f>
        <v>2.3622047244094495E-2</v>
      </c>
      <c r="W67" s="17">
        <f>Sizing!CP83</f>
        <v>1.5748031496062995E-2</v>
      </c>
      <c r="X67" s="170">
        <f>Sizing!DU83</f>
        <v>0.26897785437563354</v>
      </c>
      <c r="Y67" s="170">
        <f>Sizing!DV83</f>
        <v>0.51863074954695232</v>
      </c>
      <c r="Z67" s="170">
        <f>Sizing!DW83</f>
        <v>0.26897785437563354</v>
      </c>
      <c r="AA67" s="272">
        <f>Sizing!DX83</f>
        <v>0.51863074954695232</v>
      </c>
      <c r="AB67" s="272">
        <f t="shared" si="12"/>
        <v>3.0199520593727325</v>
      </c>
      <c r="AC67" s="216">
        <f>Sizing!GJ83</f>
        <v>0.25</v>
      </c>
      <c r="AD67" s="216">
        <f>Sizing!GK83</f>
        <v>2.3622047244094495E-2</v>
      </c>
      <c r="AE67" s="17">
        <f>Sizing!GL83</f>
        <v>2.3622047244094495E-2</v>
      </c>
      <c r="AF67" s="170">
        <f>Sizing!JC83</f>
        <v>4.2410538734210714E-3</v>
      </c>
      <c r="AG67" s="272">
        <f>Sizing!JD83</f>
        <v>6.5123374247815752E-2</v>
      </c>
      <c r="AH67" s="170">
        <f>Sizing!JC83</f>
        <v>4.2410538734210714E-3</v>
      </c>
      <c r="AI67" s="272">
        <f>Sizing!JD83</f>
        <v>6.5123374247815752E-2</v>
      </c>
      <c r="AJ67" s="216">
        <f>Sizing!IT83</f>
        <v>0.25</v>
      </c>
      <c r="AK67" s="216">
        <f>Sizing!IU83</f>
        <v>1.5748031496062995E-2</v>
      </c>
      <c r="AL67" s="17">
        <f>Sizing!IV83</f>
        <v>1.5748031496062995E-2</v>
      </c>
      <c r="AM67" s="170">
        <f t="shared" si="13"/>
        <v>0</v>
      </c>
      <c r="AN67" s="11">
        <f t="shared" si="14"/>
        <v>0.61327693451616982</v>
      </c>
      <c r="AO67" s="11">
        <f t="shared" si="15"/>
        <v>0.61327693451616982</v>
      </c>
      <c r="AP67" s="11">
        <f t="shared" si="16"/>
        <v>1.2265538690323396</v>
      </c>
      <c r="AQ67" s="555">
        <f t="shared" si="17"/>
        <v>19568661.206238374</v>
      </c>
      <c r="AR67" s="311">
        <f t="shared" si="18"/>
        <v>5.8960356400820055</v>
      </c>
      <c r="AS67" s="11">
        <f t="shared" si="19"/>
        <v>1.6954987108171494E-2</v>
      </c>
      <c r="AT67" s="11">
        <f t="shared" si="20"/>
        <v>1.0753261310599107</v>
      </c>
      <c r="AU67" s="11">
        <f t="shared" si="21"/>
        <v>1.0922811181680823</v>
      </c>
      <c r="AV67" s="555">
        <f t="shared" si="22"/>
        <v>17426449.569854856</v>
      </c>
      <c r="AW67" s="138">
        <f t="shared" si="23"/>
        <v>3.9370078740157494E-2</v>
      </c>
      <c r="AX67" s="138">
        <f t="shared" si="24"/>
        <v>4.724409448818899E-2</v>
      </c>
      <c r="AY67" s="554">
        <f t="shared" si="25"/>
        <v>3.1496062992125991E-2</v>
      </c>
      <c r="AZ67" s="12">
        <f t="shared" si="26"/>
        <v>221.90572177014593</v>
      </c>
      <c r="BA67" s="11">
        <f t="shared" si="27"/>
        <v>73.261524809939758</v>
      </c>
      <c r="BB67">
        <f t="shared" si="28"/>
        <v>105.84913718047626</v>
      </c>
      <c r="BC67" s="555">
        <f t="shared" si="29"/>
        <v>399155826.11792988</v>
      </c>
      <c r="BD67">
        <f t="shared" si="30"/>
        <v>23</v>
      </c>
      <c r="BE67" s="207">
        <f t="shared" si="31"/>
        <v>1.9061680400000001</v>
      </c>
      <c r="BF67" s="207">
        <f>'Inputs-Imperial'!$E$15*BE67</f>
        <v>1.4296260300000001</v>
      </c>
      <c r="BG67" s="207">
        <f>'Inputs-Imperial'!$E$12*BE67</f>
        <v>0.47654201000000002</v>
      </c>
      <c r="BH67">
        <f>'Inputs-Imperial'!$E$11*BE67</f>
        <v>0.3431102472</v>
      </c>
      <c r="BI67">
        <f t="shared" si="32"/>
        <v>0.36392337373456896</v>
      </c>
      <c r="BJ67">
        <f>'Weight '!U69+'Weight '!V69 /12</f>
        <v>2.4934383202099744E-2</v>
      </c>
      <c r="BK67">
        <f>('Weight '!AK69+'Weight '!AL69)/12</f>
        <v>3.9370078740157488E-3</v>
      </c>
      <c r="BL67">
        <f>'Weight '!AG69/12</f>
        <v>4.3219229128912691E-2</v>
      </c>
      <c r="BM67">
        <f>'Weight '!AI69/12</f>
        <v>4.3219229128912691E-2</v>
      </c>
      <c r="BN67" s="554">
        <f t="shared" si="33"/>
        <v>0.72586387485358639</v>
      </c>
      <c r="BO67" s="554">
        <f t="shared" si="34"/>
        <v>2.3461562606063628</v>
      </c>
      <c r="BP67">
        <f t="shared" si="35"/>
        <v>4.3219229128912691E-2</v>
      </c>
      <c r="BQ67">
        <f t="shared" si="35"/>
        <v>4.3219229128912691E-2</v>
      </c>
      <c r="BR67">
        <f t="shared" si="36"/>
        <v>0.25667178894217463</v>
      </c>
      <c r="BS67">
        <f t="shared" si="37"/>
        <v>0.12262983513921365</v>
      </c>
      <c r="BT67">
        <f t="shared" si="38"/>
        <v>0.28599266654767558</v>
      </c>
      <c r="BU67">
        <f t="shared" si="39"/>
        <v>5.2197197933371124E-2</v>
      </c>
      <c r="BV67">
        <f t="shared" si="40"/>
        <v>467.73817034921223</v>
      </c>
      <c r="BW67" s="207">
        <f t="shared" si="41"/>
        <v>185.92430261136539</v>
      </c>
      <c r="BX67">
        <f t="shared" si="42"/>
        <v>0.72318435027680006</v>
      </c>
      <c r="BY67" s="575">
        <f t="shared" si="43"/>
        <v>0.93002377751014365</v>
      </c>
      <c r="BZ67">
        <f t="shared" si="44"/>
        <v>467.42816242337551</v>
      </c>
      <c r="CA67" s="207">
        <f t="shared" si="45"/>
        <v>186.04752968811252</v>
      </c>
      <c r="CB67">
        <f t="shared" si="46"/>
        <v>0.72303783375458597</v>
      </c>
      <c r="CC67">
        <f t="shared" si="47"/>
        <v>231.17184433133289</v>
      </c>
      <c r="CD67">
        <f t="shared" si="48"/>
        <v>390.37088097959787</v>
      </c>
      <c r="CE67" s="207">
        <f t="shared" si="49"/>
        <v>216.67753215907976</v>
      </c>
      <c r="CF67">
        <f t="shared" si="50"/>
        <v>0.68661887814906553</v>
      </c>
      <c r="CG67">
        <f t="shared" si="51"/>
        <v>115.94128920235077</v>
      </c>
      <c r="CH67">
        <f t="shared" si="52"/>
        <v>351.72378457881427</v>
      </c>
      <c r="CI67" s="207">
        <f t="shared" ref="CI67" si="135" xml:space="preserve"> ($BQ$38-CH67*($BP67+$BR67+$BQ67+$BN67))/($BP67+$BR67+$BQ67+$BO67)</f>
        <v>232.03961911662969</v>
      </c>
      <c r="CJ67">
        <f t="shared" si="54"/>
        <v>0.66835341560313677</v>
      </c>
      <c r="CK67">
        <f t="shared" si="55"/>
        <v>62.375662364442668</v>
      </c>
      <c r="CL67">
        <f t="shared" si="56"/>
        <v>330.93189712400005</v>
      </c>
      <c r="CM67" s="207">
        <f t="shared" ref="CM67" si="136" xml:space="preserve"> ($BQ$38-CL67*($BP67+$BR67+$BQ67+$BN67))/($BP67+$BR67+$BQ67+$BO67)</f>
        <v>240.30432236315798</v>
      </c>
      <c r="CN67">
        <f t="shared" si="58"/>
        <v>0.65852671510210314</v>
      </c>
      <c r="CO67">
        <f t="shared" si="59"/>
        <v>34.725880381992035</v>
      </c>
      <c r="CP67">
        <f t="shared" si="60"/>
        <v>319.35660366333605</v>
      </c>
      <c r="CQ67" s="207">
        <f t="shared" ref="CQ67" si="137" xml:space="preserve"> ($BQ$38-CP67*($BP67+$BR67+$BQ67+$BN67))/($BP67+$BR67+$BQ67+$BO67)</f>
        <v>244.90546142048373</v>
      </c>
      <c r="CR67">
        <f t="shared" si="62"/>
        <v>0.65305597838824214</v>
      </c>
      <c r="CS67">
        <f t="shared" si="63"/>
        <v>19.686793356054658</v>
      </c>
      <c r="CT67">
        <f t="shared" si="64"/>
        <v>312.79433921131783</v>
      </c>
      <c r="CU67" s="636">
        <f t="shared" si="65"/>
        <v>247.51393881047721</v>
      </c>
      <c r="CV67" s="575">
        <f t="shared" si="66"/>
        <v>0.64995450876367322</v>
      </c>
      <c r="CW67">
        <f t="shared" si="67"/>
        <v>11.273341500185687</v>
      </c>
      <c r="CX67" s="576">
        <f t="shared" si="68"/>
        <v>0.34097440263643974</v>
      </c>
    </row>
    <row r="68" spans="1:102" x14ac:dyDescent="0.25">
      <c r="A68" s="186">
        <v>24</v>
      </c>
      <c r="B68" s="187">
        <f>A68/100*'Inputs-Imperial'!$E$5</f>
        <v>2.3622048000000002</v>
      </c>
      <c r="C68" s="188">
        <f>'Inputs-Imperial'!$E$10+('Inputs-Imperial'!$E$9-'Inputs-Imperial'!$E$10)*(100-A68)/100</f>
        <v>1.89632552</v>
      </c>
      <c r="D68" s="187">
        <f t="shared" si="69"/>
        <v>9.8425199999999879E-2</v>
      </c>
      <c r="E68" s="188">
        <f t="shared" si="70"/>
        <v>0.18713059457085579</v>
      </c>
      <c r="F68" s="423">
        <f>Sizing!F84</f>
        <v>84.997921730907734</v>
      </c>
      <c r="G68" s="423">
        <f>Sizing!G84</f>
        <v>849.9792173090766</v>
      </c>
      <c r="H68" s="423">
        <f>Sizing!H84</f>
        <v>2826.1405591415928</v>
      </c>
      <c r="I68" s="423">
        <f>Sizing!I84</f>
        <v>-738.36142705554573</v>
      </c>
      <c r="J68" s="189">
        <f>Sizing!J84</f>
        <v>282.61405591415939</v>
      </c>
      <c r="K68" s="128">
        <v>24</v>
      </c>
      <c r="L68" s="12">
        <f t="shared" si="11"/>
        <v>28.346457600000001</v>
      </c>
      <c r="M68" s="11">
        <f t="shared" si="11"/>
        <v>22.755906240000002</v>
      </c>
      <c r="N68" s="11">
        <f t="shared" si="11"/>
        <v>1.1811023999999986</v>
      </c>
      <c r="O68" s="152">
        <f t="shared" si="71"/>
        <v>26.946805618203236</v>
      </c>
      <c r="P68" s="170">
        <f t="shared" si="0"/>
        <v>4.0960631232000004</v>
      </c>
      <c r="Q68" s="8">
        <f t="shared" si="1"/>
        <v>2.0480315616000002</v>
      </c>
      <c r="R68" s="170">
        <f>Sizing!X84</f>
        <v>5.6889765600000004</v>
      </c>
      <c r="S68" s="8">
        <f>Sizing!Y84</f>
        <v>17.066929680000001</v>
      </c>
      <c r="T68" s="8">
        <f>Sizing!Z84</f>
        <v>11.377953120000001</v>
      </c>
      <c r="U68" s="17">
        <f>Sizing!CN84</f>
        <v>0.25</v>
      </c>
      <c r="V68" s="17">
        <f>Sizing!CO84</f>
        <v>2.3622047244094495E-2</v>
      </c>
      <c r="W68" s="17">
        <f>Sizing!CP84</f>
        <v>1.5748031496062995E-2</v>
      </c>
      <c r="X68" s="170">
        <f>Sizing!DU84</f>
        <v>0.26897785437563354</v>
      </c>
      <c r="Y68" s="170">
        <f>Sizing!DV84</f>
        <v>0.51863074954695232</v>
      </c>
      <c r="Z68" s="170">
        <f>Sizing!DW84</f>
        <v>0.26897785437563354</v>
      </c>
      <c r="AA68" s="272">
        <f>Sizing!DX84</f>
        <v>0.51863074954695232</v>
      </c>
      <c r="AB68" s="272">
        <f t="shared" si="12"/>
        <v>2.9986922161727332</v>
      </c>
      <c r="AC68" s="216">
        <f>Sizing!GJ84</f>
        <v>0.25</v>
      </c>
      <c r="AD68" s="216">
        <f>Sizing!GK84</f>
        <v>2.3622047244094495E-2</v>
      </c>
      <c r="AE68" s="17">
        <f>Sizing!GL84</f>
        <v>2.3622047244094495E-2</v>
      </c>
      <c r="AF68" s="170">
        <f>Sizing!JC84</f>
        <v>4.2410538734210714E-3</v>
      </c>
      <c r="AG68" s="272">
        <f>Sizing!JD84</f>
        <v>6.5123374247815752E-2</v>
      </c>
      <c r="AH68" s="170">
        <f>Sizing!JC84</f>
        <v>4.2410538734210714E-3</v>
      </c>
      <c r="AI68" s="272">
        <f>Sizing!JD84</f>
        <v>6.5123374247815752E-2</v>
      </c>
      <c r="AJ68" s="216">
        <f>Sizing!IT84</f>
        <v>0.25</v>
      </c>
      <c r="AK68" s="216">
        <f>Sizing!IU84</f>
        <v>1.5748031496062995E-2</v>
      </c>
      <c r="AL68" s="17">
        <f>Sizing!IV84</f>
        <v>1.5748031496062995E-2</v>
      </c>
      <c r="AM68" s="170">
        <f t="shared" si="13"/>
        <v>0</v>
      </c>
      <c r="AN68" s="11">
        <f t="shared" si="14"/>
        <v>0.60467264002151522</v>
      </c>
      <c r="AO68" s="11">
        <f t="shared" si="15"/>
        <v>0.60467264002151522</v>
      </c>
      <c r="AP68" s="11">
        <f t="shared" si="16"/>
        <v>1.2093452800430304</v>
      </c>
      <c r="AQ68" s="555">
        <f t="shared" si="17"/>
        <v>19294112.279956914</v>
      </c>
      <c r="AR68" s="311">
        <f t="shared" si="18"/>
        <v>5.8655913940919095</v>
      </c>
      <c r="AS68" s="11">
        <f t="shared" si="19"/>
        <v>1.6780344628219472E-2</v>
      </c>
      <c r="AT68" s="11">
        <f t="shared" si="20"/>
        <v>1.0642498842254258</v>
      </c>
      <c r="AU68" s="11">
        <f t="shared" si="21"/>
        <v>1.0810302288536453</v>
      </c>
      <c r="AV68" s="555">
        <f t="shared" si="22"/>
        <v>17246950.856572252</v>
      </c>
      <c r="AW68" s="138">
        <f t="shared" si="23"/>
        <v>3.9370078740157494E-2</v>
      </c>
      <c r="AX68" s="138">
        <f t="shared" si="24"/>
        <v>4.724409448818899E-2</v>
      </c>
      <c r="AY68" s="554">
        <f t="shared" si="25"/>
        <v>3.1496062992125991E-2</v>
      </c>
      <c r="AZ68" s="12">
        <f t="shared" si="26"/>
        <v>219.62001283281373</v>
      </c>
      <c r="BA68" s="11">
        <f t="shared" si="27"/>
        <v>72.883238106962438</v>
      </c>
      <c r="BB68">
        <f t="shared" si="28"/>
        <v>104.21792939701885</v>
      </c>
      <c r="BC68" s="555">
        <f t="shared" si="29"/>
        <v>393004561.14100534</v>
      </c>
      <c r="BD68">
        <f t="shared" si="30"/>
        <v>24</v>
      </c>
      <c r="BE68" s="207">
        <f t="shared" si="31"/>
        <v>1.89632552</v>
      </c>
      <c r="BF68" s="207">
        <f>'Inputs-Imperial'!$E$15*BE68</f>
        <v>1.4222441400000001</v>
      </c>
      <c r="BG68" s="207">
        <f>'Inputs-Imperial'!$E$12*BE68</f>
        <v>0.47408138</v>
      </c>
      <c r="BH68">
        <f>'Inputs-Imperial'!$E$11*BE68</f>
        <v>0.34133859359999996</v>
      </c>
      <c r="BI68">
        <f t="shared" si="32"/>
        <v>0.36204425132285856</v>
      </c>
      <c r="BJ68">
        <f>'Weight '!U70+'Weight '!V70 /12</f>
        <v>2.4934383202099744E-2</v>
      </c>
      <c r="BK68">
        <f>('Weight '!AK70+'Weight '!AL70)/12</f>
        <v>3.9370078740157488E-3</v>
      </c>
      <c r="BL68">
        <f>'Weight '!AG70/12</f>
        <v>4.3219229128912691E-2</v>
      </c>
      <c r="BM68">
        <f>'Weight '!AI70/12</f>
        <v>4.3219229128912691E-2</v>
      </c>
      <c r="BN68" s="554">
        <f t="shared" si="33"/>
        <v>0.71969444458445775</v>
      </c>
      <c r="BO68" s="554">
        <f t="shared" si="34"/>
        <v>2.3364632805374885</v>
      </c>
      <c r="BP68">
        <f t="shared" si="35"/>
        <v>4.3219229128912691E-2</v>
      </c>
      <c r="BQ68">
        <f t="shared" si="35"/>
        <v>4.3219229128912691E-2</v>
      </c>
      <c r="BR68">
        <f t="shared" si="36"/>
        <v>0.25490013534217459</v>
      </c>
      <c r="BS68">
        <f t="shared" si="37"/>
        <v>0.12136670362586036</v>
      </c>
      <c r="BT68">
        <f t="shared" si="38"/>
        <v>0.28304683897403327</v>
      </c>
      <c r="BU68">
        <f t="shared" si="39"/>
        <v>5.1127436007297453E-2</v>
      </c>
      <c r="BV68">
        <f t="shared" si="40"/>
        <v>471.23886062544676</v>
      </c>
      <c r="BW68" s="207">
        <f t="shared" si="41"/>
        <v>186.72031147227742</v>
      </c>
      <c r="BX68">
        <f t="shared" si="42"/>
        <v>0.71980629640008342</v>
      </c>
      <c r="BY68" s="575">
        <f t="shared" si="43"/>
        <v>1.402674675281105</v>
      </c>
      <c r="BZ68">
        <f t="shared" si="44"/>
        <v>470.77130240035308</v>
      </c>
      <c r="CA68" s="207">
        <f t="shared" si="45"/>
        <v>186.90557339508456</v>
      </c>
      <c r="CB68">
        <f t="shared" si="46"/>
        <v>0.71958792879575217</v>
      </c>
      <c r="CC68">
        <f t="shared" si="47"/>
        <v>232.26339431163365</v>
      </c>
      <c r="CD68">
        <f t="shared" si="48"/>
        <v>393.35017096314186</v>
      </c>
      <c r="CE68" s="207">
        <f t="shared" si="49"/>
        <v>217.58236808325077</v>
      </c>
      <c r="CF68">
        <f t="shared" si="50"/>
        <v>0.68342929423603294</v>
      </c>
      <c r="CG68">
        <f t="shared" si="51"/>
        <v>117.09448808571042</v>
      </c>
      <c r="CH68">
        <f t="shared" si="52"/>
        <v>354.31867493457173</v>
      </c>
      <c r="CI68" s="207">
        <f t="shared" ref="CI68" si="138" xml:space="preserve"> ($BQ$38-CH68*($BP68+$BR68+$BQ68+$BN68))/($BP68+$BR68+$BQ68+$BO68)</f>
        <v>233.04792855509024</v>
      </c>
      <c r="CJ68">
        <f t="shared" si="54"/>
        <v>0.66520009020585424</v>
      </c>
      <c r="CK68">
        <f t="shared" si="55"/>
        <v>63.278307933289831</v>
      </c>
      <c r="CL68">
        <f t="shared" si="56"/>
        <v>333.22590562347511</v>
      </c>
      <c r="CM68" s="207">
        <f t="shared" ref="CM68" si="139" xml:space="preserve"> ($BQ$38-CL68*($BP68+$BR68+$BQ68+$BN68))/($BP68+$BR68+$BQ68+$BO68)</f>
        <v>241.40557641620592</v>
      </c>
      <c r="CN68">
        <f t="shared" si="58"/>
        <v>0.65534895882590349</v>
      </c>
      <c r="CO68">
        <f t="shared" si="59"/>
        <v>35.38042301020667</v>
      </c>
      <c r="CP68">
        <f t="shared" si="60"/>
        <v>321.43243128673953</v>
      </c>
      <c r="CQ68" s="207">
        <f t="shared" ref="CQ68" si="140" xml:space="preserve"> ($BQ$38-CP68*($BP68+$BR68+$BQ68+$BN68))/($BP68+$BR68+$BQ68+$BO68)</f>
        <v>246.07853823130935</v>
      </c>
      <c r="CR68">
        <f t="shared" si="62"/>
        <v>0.64984095447598911</v>
      </c>
      <c r="CS68">
        <f t="shared" si="63"/>
        <v>20.144320103791816</v>
      </c>
      <c r="CT68">
        <f t="shared" si="64"/>
        <v>314.71765791880892</v>
      </c>
      <c r="CU68" s="636">
        <f t="shared" si="65"/>
        <v>248.73915194440951</v>
      </c>
      <c r="CV68" s="575">
        <f t="shared" si="66"/>
        <v>0.64670489805502029</v>
      </c>
      <c r="CW68">
        <f t="shared" si="67"/>
        <v>11.585525635914733</v>
      </c>
      <c r="CX68" s="576">
        <f t="shared" si="68"/>
        <v>0.34103053048351123</v>
      </c>
    </row>
    <row r="69" spans="1:102" x14ac:dyDescent="0.25">
      <c r="A69" s="186">
        <v>25</v>
      </c>
      <c r="B69" s="187">
        <f>A69/100*'Inputs-Imperial'!$E$5</f>
        <v>2.4606300000000001</v>
      </c>
      <c r="C69" s="188">
        <f>'Inputs-Imperial'!$E$10+('Inputs-Imperial'!$E$9-'Inputs-Imperial'!$E$10)*(100-A69)/100</f>
        <v>1.8864830000000001</v>
      </c>
      <c r="D69" s="187">
        <f t="shared" si="69"/>
        <v>9.8425199999999879E-2</v>
      </c>
      <c r="E69" s="188">
        <f t="shared" si="70"/>
        <v>0.18616184257135177</v>
      </c>
      <c r="F69" s="423">
        <f>Sizing!F85</f>
        <v>83.550820994494572</v>
      </c>
      <c r="G69" s="423">
        <f>Sizing!G85</f>
        <v>835.50820994494495</v>
      </c>
      <c r="H69" s="423">
        <f>Sizing!H85</f>
        <v>2742.4811846821035</v>
      </c>
      <c r="I69" s="423">
        <f>Sizing!I85</f>
        <v>-722.80622254527884</v>
      </c>
      <c r="J69" s="189">
        <f>Sizing!J85</f>
        <v>274.24811846821046</v>
      </c>
      <c r="K69" s="128">
        <v>25</v>
      </c>
      <c r="L69" s="12">
        <f t="shared" si="11"/>
        <v>29.527560000000001</v>
      </c>
      <c r="M69" s="11">
        <f t="shared" si="11"/>
        <v>22.637796000000002</v>
      </c>
      <c r="N69" s="11">
        <f t="shared" si="11"/>
        <v>1.1811023999999986</v>
      </c>
      <c r="O69" s="152">
        <f t="shared" si="71"/>
        <v>26.807305330274652</v>
      </c>
      <c r="P69" s="170">
        <f t="shared" si="0"/>
        <v>4.0748032800000002</v>
      </c>
      <c r="Q69" s="8">
        <f t="shared" si="1"/>
        <v>2.0374016400000001</v>
      </c>
      <c r="R69" s="170">
        <f>Sizing!X85</f>
        <v>5.6594490000000004</v>
      </c>
      <c r="S69" s="8">
        <f>Sizing!Y85</f>
        <v>16.978346999999999</v>
      </c>
      <c r="T69" s="8">
        <f>Sizing!Z85</f>
        <v>11.318897999999999</v>
      </c>
      <c r="U69" s="17">
        <f>Sizing!CN85</f>
        <v>0.25</v>
      </c>
      <c r="V69" s="17">
        <f>Sizing!CO85</f>
        <v>2.3622047244094495E-2</v>
      </c>
      <c r="W69" s="17">
        <f>Sizing!CP85</f>
        <v>1.5748031496062995E-2</v>
      </c>
      <c r="X69" s="170">
        <f>Sizing!DU85</f>
        <v>0.26897785437563354</v>
      </c>
      <c r="Y69" s="170">
        <f>Sizing!DV85</f>
        <v>0.51863074954695232</v>
      </c>
      <c r="Z69" s="170">
        <f>Sizing!DW85</f>
        <v>0.26897785437563354</v>
      </c>
      <c r="AA69" s="272">
        <f>Sizing!DX85</f>
        <v>0.51863074954695232</v>
      </c>
      <c r="AB69" s="272">
        <f>P69-2*(U69+V69+W69)-Y69/2-AA69/2</f>
        <v>2.977432372972733</v>
      </c>
      <c r="AC69" s="216">
        <f>Sizing!GJ85</f>
        <v>0.25</v>
      </c>
      <c r="AD69" s="216">
        <f>Sizing!GK85</f>
        <v>1.5748031496062995E-2</v>
      </c>
      <c r="AE69" s="17">
        <f>Sizing!GL85</f>
        <v>1.5748031496062995E-2</v>
      </c>
      <c r="AF69" s="170">
        <f>Sizing!JC85</f>
        <v>4.2410538734210714E-3</v>
      </c>
      <c r="AG69" s="272">
        <f>Sizing!JD85</f>
        <v>6.5123374247815752E-2</v>
      </c>
      <c r="AH69" s="170">
        <f>Sizing!JC85</f>
        <v>4.2410538734210714E-3</v>
      </c>
      <c r="AI69" s="272">
        <f>Sizing!JD85</f>
        <v>6.5123374247815752E-2</v>
      </c>
      <c r="AJ69" s="216">
        <f>Sizing!IT85</f>
        <v>0.25</v>
      </c>
      <c r="AK69" s="216">
        <f>Sizing!IU85</f>
        <v>1.5748031496062995E-2</v>
      </c>
      <c r="AL69" s="17">
        <f>Sizing!IV85</f>
        <v>1.5748031496062995E-2</v>
      </c>
      <c r="AM69" s="170">
        <f t="shared" si="13"/>
        <v>0</v>
      </c>
      <c r="AN69" s="11">
        <f>X69*((AB69/2-AM69)^2)</f>
        <v>0.59612913195763373</v>
      </c>
      <c r="AO69" s="11">
        <f>Z69*((AB69/2+AM69)^2)</f>
        <v>0.59612913195763373</v>
      </c>
      <c r="AP69" s="11">
        <f>AN69+AO69</f>
        <v>1.1922582639152675</v>
      </c>
      <c r="AQ69" s="555">
        <f>AP69*$E$23</f>
        <v>19021502.948991682</v>
      </c>
      <c r="AR69" s="311">
        <f t="shared" si="18"/>
        <v>5.8351471481018127</v>
      </c>
      <c r="AS69" s="11">
        <f t="shared" si="19"/>
        <v>1.6606606250838214E-2</v>
      </c>
      <c r="AT69" s="11">
        <f t="shared" si="20"/>
        <v>1.0532309777541917</v>
      </c>
      <c r="AU69" s="11">
        <f t="shared" si="21"/>
        <v>1.06983758400503</v>
      </c>
      <c r="AV69" s="555">
        <f t="shared" si="22"/>
        <v>17068381.38598137</v>
      </c>
      <c r="AW69" s="138">
        <f t="shared" si="23"/>
        <v>3.9370078740157494E-2</v>
      </c>
      <c r="AX69" s="138">
        <f t="shared" si="24"/>
        <v>3.1496062992125991E-2</v>
      </c>
      <c r="AY69" s="554">
        <f t="shared" si="25"/>
        <v>3.1496062992125991E-2</v>
      </c>
      <c r="AZ69" s="12">
        <f t="shared" si="26"/>
        <v>217.34613672863421</v>
      </c>
      <c r="BA69" s="11">
        <f t="shared" si="27"/>
        <v>72.504951403985132</v>
      </c>
      <c r="BB69">
        <f t="shared" si="28"/>
        <v>102.60356698235319</v>
      </c>
      <c r="BC69" s="555">
        <f t="shared" si="29"/>
        <v>386916819.84765011</v>
      </c>
      <c r="BD69">
        <f t="shared" si="30"/>
        <v>25</v>
      </c>
      <c r="BE69" s="207">
        <f t="shared" si="31"/>
        <v>1.8864830000000001</v>
      </c>
      <c r="BF69" s="207">
        <f>'Inputs-Imperial'!$E$15*BE69</f>
        <v>1.4148622500000001</v>
      </c>
      <c r="BG69" s="207">
        <f>'Inputs-Imperial'!$E$12*BE69</f>
        <v>0.47162075000000003</v>
      </c>
      <c r="BH69">
        <f>'Inputs-Imperial'!$E$11*BE69</f>
        <v>0.33956693999999998</v>
      </c>
      <c r="BI69">
        <f t="shared" si="32"/>
        <v>0.36016512891114827</v>
      </c>
      <c r="BJ69">
        <f>'Weight '!U71+'Weight '!V71 /12</f>
        <v>2.4934383202099744E-2</v>
      </c>
      <c r="BK69">
        <f>('Weight '!AK71+'Weight '!AL71)/12</f>
        <v>2.6246719160104991E-3</v>
      </c>
      <c r="BL69">
        <f>'Weight '!AG71/12</f>
        <v>4.3219229128912691E-2</v>
      </c>
      <c r="BM69">
        <f>'Weight '!AI71/12</f>
        <v>4.3219229128912691E-2</v>
      </c>
      <c r="BN69" s="554">
        <f t="shared" si="33"/>
        <v>0.71353698652822506</v>
      </c>
      <c r="BO69" s="554">
        <f t="shared" si="34"/>
        <v>2.3267583282557176</v>
      </c>
      <c r="BP69">
        <f t="shared" si="35"/>
        <v>4.3219229128912691E-2</v>
      </c>
      <c r="BQ69">
        <f t="shared" si="35"/>
        <v>4.3219229128912691E-2</v>
      </c>
      <c r="BR69">
        <f t="shared" si="36"/>
        <v>0.25312848174217462</v>
      </c>
      <c r="BS69">
        <f t="shared" si="37"/>
        <v>0.12011011118850375</v>
      </c>
      <c r="BT69">
        <f t="shared" si="38"/>
        <v>0.280116261586277</v>
      </c>
      <c r="BU69">
        <f t="shared" si="39"/>
        <v>5.0074202223490072E-2</v>
      </c>
      <c r="BV69">
        <f t="shared" si="40"/>
        <v>474.78694875666594</v>
      </c>
      <c r="BW69" s="207">
        <f t="shared" si="41"/>
        <v>187.52400764933486</v>
      </c>
      <c r="BX69">
        <f t="shared" si="42"/>
        <v>0.71642750345121098</v>
      </c>
      <c r="BY69" s="575">
        <f t="shared" si="43"/>
        <v>1.8792293575785095</v>
      </c>
      <c r="BZ69">
        <f t="shared" si="44"/>
        <v>474.16053897080644</v>
      </c>
      <c r="CA69" s="207">
        <f t="shared" si="45"/>
        <v>187.77141730072216</v>
      </c>
      <c r="CB69">
        <f t="shared" si="46"/>
        <v>0.71613842021989882</v>
      </c>
      <c r="CC69">
        <f t="shared" si="47"/>
        <v>233.36906551203424</v>
      </c>
      <c r="CD69">
        <f t="shared" si="48"/>
        <v>396.37085046679505</v>
      </c>
      <c r="CE69" s="207">
        <f t="shared" si="49"/>
        <v>218.49558564668453</v>
      </c>
      <c r="CF69">
        <f t="shared" si="50"/>
        <v>0.68023908559399016</v>
      </c>
      <c r="CG69">
        <f t="shared" si="51"/>
        <v>118.2598460976084</v>
      </c>
      <c r="CH69">
        <f t="shared" si="52"/>
        <v>356.95090176759226</v>
      </c>
      <c r="CI69" s="207">
        <f t="shared" ref="CI69" si="141" xml:space="preserve"> ($BQ$38-CH69*($BP69+$BR69+$BQ69+$BN69))/($BP69+$BR69+$BQ69+$BO69)</f>
        <v>234.06506745481713</v>
      </c>
      <c r="CJ69">
        <f t="shared" si="54"/>
        <v>0.66204708667351819</v>
      </c>
      <c r="CK69">
        <f t="shared" si="55"/>
        <v>64.192768758625931</v>
      </c>
      <c r="CL69">
        <f t="shared" si="56"/>
        <v>335.5533121813836</v>
      </c>
      <c r="CM69" s="207">
        <f t="shared" ref="CM69" si="142" xml:space="preserve"> ($BQ$38-CL69*($BP69+$BR69+$BQ69+$BN69))/($BP69+$BR69+$BQ69+$BO69)</f>
        <v>242.5163565303684</v>
      </c>
      <c r="CN69">
        <f t="shared" si="58"/>
        <v>0.65217226594193045</v>
      </c>
      <c r="CO69">
        <f t="shared" si="59"/>
        <v>36.045678301148556</v>
      </c>
      <c r="CP69">
        <f t="shared" si="60"/>
        <v>323.53808608100076</v>
      </c>
      <c r="CQ69" s="207">
        <f t="shared" ref="CQ69" si="143" xml:space="preserve"> ($BQ$38-CP69*($BP69+$BR69+$BQ69+$BN69))/($BP69+$BR69+$BQ69+$BO69)</f>
        <v>247.26194475063647</v>
      </c>
      <c r="CR69">
        <f t="shared" si="62"/>
        <v>0.64662733279360773</v>
      </c>
      <c r="CS69">
        <f t="shared" si="63"/>
        <v>20.610999855041257</v>
      </c>
      <c r="CT69">
        <f t="shared" si="64"/>
        <v>316.66775279598698</v>
      </c>
      <c r="CU69" s="636">
        <f t="shared" si="65"/>
        <v>249.97548275935014</v>
      </c>
      <c r="CV69" s="575">
        <f t="shared" si="66"/>
        <v>0.64345672755873129</v>
      </c>
      <c r="CW69">
        <f t="shared" si="67"/>
        <v>11.905173341394184</v>
      </c>
      <c r="CX69" s="576">
        <f t="shared" si="68"/>
        <v>0.34108800745022949</v>
      </c>
    </row>
    <row r="70" spans="1:102" x14ac:dyDescent="0.25">
      <c r="A70" s="186">
        <v>26</v>
      </c>
      <c r="B70" s="187">
        <f>A70/100*'Inputs-Imperial'!$E$5</f>
        <v>2.5590552</v>
      </c>
      <c r="C70" s="188">
        <f>'Inputs-Imperial'!$E$10+('Inputs-Imperial'!$E$9-'Inputs-Imperial'!$E$10)*(100-A70)/100</f>
        <v>1.8766404800000001</v>
      </c>
      <c r="D70" s="187">
        <f t="shared" si="69"/>
        <v>9.8425199999999879E-2</v>
      </c>
      <c r="E70" s="188">
        <f t="shared" si="70"/>
        <v>0.18519309057184777</v>
      </c>
      <c r="F70" s="423">
        <f>Sizing!F86</f>
        <v>82.1093498573955</v>
      </c>
      <c r="G70" s="423">
        <f>Sizing!G86</f>
        <v>821.09349857395432</v>
      </c>
      <c r="H70" s="423">
        <f>Sizing!H86</f>
        <v>2660.2461220166306</v>
      </c>
      <c r="I70" s="423">
        <f>Sizing!I86</f>
        <v>-707.3723828860775</v>
      </c>
      <c r="J70" s="189">
        <f>Sizing!J86</f>
        <v>266.02461220166316</v>
      </c>
      <c r="K70" s="128">
        <v>26</v>
      </c>
      <c r="L70" s="12">
        <f t="shared" si="11"/>
        <v>30.708662400000001</v>
      </c>
      <c r="M70" s="11">
        <f t="shared" si="11"/>
        <v>22.519685760000002</v>
      </c>
      <c r="N70" s="11">
        <f t="shared" si="11"/>
        <v>1.1811023999999986</v>
      </c>
      <c r="O70" s="152">
        <f t="shared" si="71"/>
        <v>26.667805042346082</v>
      </c>
      <c r="P70" s="170">
        <f t="shared" si="0"/>
        <v>4.0535434368000001</v>
      </c>
      <c r="Q70" s="8">
        <f t="shared" si="1"/>
        <v>2.0267717184</v>
      </c>
      <c r="R70" s="170">
        <f>Sizing!X86</f>
        <v>5.6299214400000004</v>
      </c>
      <c r="S70" s="8">
        <f>Sizing!Y86</f>
        <v>16.889764320000001</v>
      </c>
      <c r="T70" s="8">
        <f>Sizing!Z86</f>
        <v>11.259842880000001</v>
      </c>
      <c r="U70" s="17">
        <f>Sizing!CN86</f>
        <v>0.25</v>
      </c>
      <c r="V70" s="17">
        <f>Sizing!CO86</f>
        <v>2.3622047244094495E-2</v>
      </c>
      <c r="W70" s="17">
        <f>Sizing!CP86</f>
        <v>1.5748031496062995E-2</v>
      </c>
      <c r="X70" s="170">
        <f>Sizing!DU86</f>
        <v>0.26897785437563354</v>
      </c>
      <c r="Y70" s="170">
        <f>Sizing!DV86</f>
        <v>0.51863074954695232</v>
      </c>
      <c r="Z70" s="170">
        <f>Sizing!DW86</f>
        <v>0.26897785437563354</v>
      </c>
      <c r="AA70" s="272">
        <f>Sizing!DX86</f>
        <v>0.51863074954695232</v>
      </c>
      <c r="AB70" s="272">
        <f t="shared" si="12"/>
        <v>2.9561725297727328</v>
      </c>
      <c r="AC70" s="216">
        <f>Sizing!GJ86</f>
        <v>0.25</v>
      </c>
      <c r="AD70" s="216">
        <f>Sizing!GK86</f>
        <v>1.5748031496062995E-2</v>
      </c>
      <c r="AE70" s="17">
        <f>Sizing!GL86</f>
        <v>1.5748031496062995E-2</v>
      </c>
      <c r="AF70" s="170">
        <f>Sizing!JC86</f>
        <v>4.2410538734210714E-3</v>
      </c>
      <c r="AG70" s="272">
        <f>Sizing!JD86</f>
        <v>6.5123374247815752E-2</v>
      </c>
      <c r="AH70" s="170">
        <f>Sizing!JC86</f>
        <v>4.2410538734210714E-3</v>
      </c>
      <c r="AI70" s="272">
        <f>Sizing!JD86</f>
        <v>6.5123374247815752E-2</v>
      </c>
      <c r="AJ70" s="216">
        <f>Sizing!IT86</f>
        <v>0.25</v>
      </c>
      <c r="AK70" s="216">
        <f>Sizing!IU86</f>
        <v>1.5748031496062995E-2</v>
      </c>
      <c r="AL70" s="17">
        <f>Sizing!IV86</f>
        <v>1.5748031496062995E-2</v>
      </c>
      <c r="AM70" s="170">
        <f t="shared" si="13"/>
        <v>0</v>
      </c>
      <c r="AN70" s="11">
        <f t="shared" si="14"/>
        <v>0.5876464103245258</v>
      </c>
      <c r="AO70" s="11">
        <f t="shared" si="15"/>
        <v>0.5876464103245258</v>
      </c>
      <c r="AP70" s="11">
        <f t="shared" si="16"/>
        <v>1.1752928206490516</v>
      </c>
      <c r="AQ70" s="555">
        <f t="shared" si="17"/>
        <v>18750833.213342685</v>
      </c>
      <c r="AR70" s="311">
        <f t="shared" si="18"/>
        <v>5.8047029021117158</v>
      </c>
      <c r="AS70" s="11">
        <f t="shared" si="19"/>
        <v>1.6433771976027894E-2</v>
      </c>
      <c r="AT70" s="11">
        <f t="shared" si="20"/>
        <v>1.0422694116462081</v>
      </c>
      <c r="AU70" s="11">
        <f t="shared" si="21"/>
        <v>1.058703183622236</v>
      </c>
      <c r="AV70" s="555">
        <f t="shared" si="22"/>
        <v>16890741.158082206</v>
      </c>
      <c r="AW70" s="138">
        <f t="shared" si="23"/>
        <v>3.9370078740157494E-2</v>
      </c>
      <c r="AX70" s="138">
        <f t="shared" si="24"/>
        <v>3.1496062992125991E-2</v>
      </c>
      <c r="AY70" s="554">
        <f t="shared" si="25"/>
        <v>3.1496062992125991E-2</v>
      </c>
      <c r="AZ70" s="12">
        <f t="shared" si="26"/>
        <v>215.08409345760742</v>
      </c>
      <c r="BA70" s="11">
        <f t="shared" si="27"/>
        <v>72.126664701007797</v>
      </c>
      <c r="BB70">
        <f t="shared" si="28"/>
        <v>101.00596250376938</v>
      </c>
      <c r="BC70" s="555">
        <f t="shared" si="29"/>
        <v>380892272.53016436</v>
      </c>
      <c r="BD70">
        <f t="shared" si="30"/>
        <v>26</v>
      </c>
      <c r="BE70" s="207">
        <f t="shared" si="31"/>
        <v>1.8766404800000001</v>
      </c>
      <c r="BF70" s="207">
        <f>'Inputs-Imperial'!$E$15*BE70</f>
        <v>1.4074803600000001</v>
      </c>
      <c r="BG70" s="207">
        <f>'Inputs-Imperial'!$E$12*BE70</f>
        <v>0.46916012000000001</v>
      </c>
      <c r="BH70">
        <f>'Inputs-Imperial'!$E$11*BE70</f>
        <v>0.33779528640000001</v>
      </c>
      <c r="BI70">
        <f t="shared" si="32"/>
        <v>0.35828600649943793</v>
      </c>
      <c r="BJ70">
        <f>'Weight '!U72+'Weight '!V72 /12</f>
        <v>2.4934383202099744E-2</v>
      </c>
      <c r="BK70">
        <f>('Weight '!AK72+'Weight '!AL72)/12</f>
        <v>2.6246719160104991E-3</v>
      </c>
      <c r="BL70">
        <f>'Weight '!AG72/12</f>
        <v>4.3219229128912691E-2</v>
      </c>
      <c r="BM70">
        <f>'Weight '!AI72/12</f>
        <v>4.3219229128912691E-2</v>
      </c>
      <c r="BN70" s="554">
        <f t="shared" si="33"/>
        <v>0.70739165592227926</v>
      </c>
      <c r="BO70" s="554">
        <f t="shared" si="34"/>
        <v>2.31704124852366</v>
      </c>
      <c r="BP70">
        <f t="shared" si="35"/>
        <v>4.3219229128912691E-2</v>
      </c>
      <c r="BQ70">
        <f t="shared" si="35"/>
        <v>4.3219229128912691E-2</v>
      </c>
      <c r="BR70">
        <f t="shared" si="36"/>
        <v>0.25135682814217464</v>
      </c>
      <c r="BS70">
        <f t="shared" si="37"/>
        <v>0.11886005782714378</v>
      </c>
      <c r="BT70">
        <f t="shared" si="38"/>
        <v>0.27720093438440663</v>
      </c>
      <c r="BU70">
        <f t="shared" si="39"/>
        <v>4.9037325455563364E-2</v>
      </c>
      <c r="BV70">
        <f t="shared" si="40"/>
        <v>478.38332048911781</v>
      </c>
      <c r="BW70" s="207">
        <f t="shared" si="41"/>
        <v>188.33551272277393</v>
      </c>
      <c r="BX70">
        <f t="shared" si="42"/>
        <v>0.71304795806471677</v>
      </c>
      <c r="BY70" s="575">
        <f t="shared" si="43"/>
        <v>2.3597311156517549</v>
      </c>
      <c r="BZ70">
        <f t="shared" si="44"/>
        <v>477.5967434505672</v>
      </c>
      <c r="CA70" s="207">
        <f t="shared" si="45"/>
        <v>188.6451815249803</v>
      </c>
      <c r="CB70">
        <f t="shared" si="46"/>
        <v>0.71268929191749886</v>
      </c>
      <c r="CC70">
        <f t="shared" si="47"/>
        <v>234.48904919580386</v>
      </c>
      <c r="CD70">
        <f t="shared" si="48"/>
        <v>399.43372705196589</v>
      </c>
      <c r="CE70" s="207">
        <f t="shared" si="49"/>
        <v>219.41730743091276</v>
      </c>
      <c r="CF70">
        <f t="shared" si="50"/>
        <v>0.6770482465110973</v>
      </c>
      <c r="CG70">
        <f t="shared" si="51"/>
        <v>119.43755810091487</v>
      </c>
      <c r="CH70">
        <f t="shared" si="52"/>
        <v>359.62120768499426</v>
      </c>
      <c r="CI70" s="207">
        <f t="shared" ref="CI70" si="144" xml:space="preserve"> ($BQ$38-CH70*($BP70+$BR70+$BQ70+$BN70))/($BP70+$BR70+$BQ70+$BO70)</f>
        <v>235.09116336739817</v>
      </c>
      <c r="CJ70">
        <f t="shared" si="54"/>
        <v>0.65889439478069156</v>
      </c>
      <c r="CK70">
        <f t="shared" si="55"/>
        <v>65.119226679115343</v>
      </c>
      <c r="CL70">
        <f t="shared" si="56"/>
        <v>337.91479879195583</v>
      </c>
      <c r="CM70" s="207">
        <f t="shared" ref="CM70" si="145" xml:space="preserve"> ($BQ$38-CL70*($BP70+$BR70+$BQ70+$BN70))/($BP70+$BR70+$BQ70+$BO70)</f>
        <v>243.63679502541831</v>
      </c>
      <c r="CN70">
        <f t="shared" si="58"/>
        <v>0.64899663058718282</v>
      </c>
      <c r="CO70">
        <f t="shared" si="59"/>
        <v>36.721821630802751</v>
      </c>
      <c r="CP70">
        <f t="shared" si="60"/>
        <v>325.67419158168826</v>
      </c>
      <c r="CQ70" s="207">
        <f t="shared" ref="CQ70" si="146" xml:space="preserve"> ($BQ$38-CP70*($BP70+$BR70+$BQ70+$BN70))/($BP70+$BR70+$BQ70+$BO70)</f>
        <v>248.4558197201479</v>
      </c>
      <c r="CR70">
        <f t="shared" si="62"/>
        <v>0.64341511572907817</v>
      </c>
      <c r="CS70">
        <f t="shared" si="63"/>
        <v>21.087001270849761</v>
      </c>
      <c r="CT70">
        <f t="shared" si="64"/>
        <v>318.64519115807167</v>
      </c>
      <c r="CU70" s="636">
        <f t="shared" si="65"/>
        <v>251.22307840583309</v>
      </c>
      <c r="CV70" s="575">
        <f t="shared" si="66"/>
        <v>0.64021000754873147</v>
      </c>
      <c r="CW70">
        <f t="shared" si="67"/>
        <v>12.232442959076833</v>
      </c>
      <c r="CX70" s="576">
        <f t="shared" si="68"/>
        <v>0.34114686023863849</v>
      </c>
    </row>
    <row r="71" spans="1:102" x14ac:dyDescent="0.25">
      <c r="A71" s="186">
        <v>27</v>
      </c>
      <c r="B71" s="187">
        <f>A71/100*'Inputs-Imperial'!$E$5</f>
        <v>2.6574804000000003</v>
      </c>
      <c r="C71" s="188">
        <f>'Inputs-Imperial'!$E$10+('Inputs-Imperial'!$E$9-'Inputs-Imperial'!$E$10)*(100-A71)/100</f>
        <v>1.86679796</v>
      </c>
      <c r="D71" s="187">
        <f t="shared" si="69"/>
        <v>9.8425200000000324E-2</v>
      </c>
      <c r="E71" s="188">
        <f t="shared" si="70"/>
        <v>0.18422433857234463</v>
      </c>
      <c r="F71" s="423">
        <f>Sizing!F87</f>
        <v>80.673593692428213</v>
      </c>
      <c r="G71" s="423">
        <f>Sizing!G87</f>
        <v>806.73593692428153</v>
      </c>
      <c r="H71" s="423">
        <f>Sizing!H87</f>
        <v>2579.4298302007892</v>
      </c>
      <c r="I71" s="423">
        <f>Sizing!I87</f>
        <v>-692.06125924988567</v>
      </c>
      <c r="J71" s="189">
        <f>Sizing!J87</f>
        <v>257.942983020079</v>
      </c>
      <c r="K71" s="128">
        <v>27</v>
      </c>
      <c r="L71" s="12">
        <f t="shared" si="11"/>
        <v>31.889764800000002</v>
      </c>
      <c r="M71" s="11">
        <f t="shared" si="11"/>
        <v>22.401575520000002</v>
      </c>
      <c r="N71" s="11">
        <f t="shared" si="11"/>
        <v>1.1811024000000039</v>
      </c>
      <c r="O71" s="152">
        <f t="shared" si="71"/>
        <v>26.528304754417626</v>
      </c>
      <c r="P71" s="170">
        <f t="shared" si="0"/>
        <v>4.0322835935999999</v>
      </c>
      <c r="Q71" s="8">
        <f t="shared" si="1"/>
        <v>2.0161417967999999</v>
      </c>
      <c r="R71" s="170">
        <f>Sizing!X87</f>
        <v>5.6003938800000004</v>
      </c>
      <c r="S71" s="8">
        <f>Sizing!Y87</f>
        <v>16.801181640000003</v>
      </c>
      <c r="T71" s="8">
        <f>Sizing!Z87</f>
        <v>11.200787760000003</v>
      </c>
      <c r="U71" s="17">
        <f>Sizing!CN87</f>
        <v>0.25</v>
      </c>
      <c r="V71" s="17">
        <f>Sizing!CO87</f>
        <v>2.3622047244094495E-2</v>
      </c>
      <c r="W71" s="17">
        <f>Sizing!CP87</f>
        <v>1.5748031496062995E-2</v>
      </c>
      <c r="X71" s="170">
        <f>Sizing!DU87</f>
        <v>0.26897785437563354</v>
      </c>
      <c r="Y71" s="170">
        <f>Sizing!DV87</f>
        <v>0.51863074954695232</v>
      </c>
      <c r="Z71" s="170">
        <f>Sizing!DW87</f>
        <v>0.26897785437563354</v>
      </c>
      <c r="AA71" s="272">
        <f>Sizing!DX87</f>
        <v>0.51863074954695232</v>
      </c>
      <c r="AB71" s="272">
        <f t="shared" si="12"/>
        <v>2.9349126865727326</v>
      </c>
      <c r="AC71" s="216">
        <f>Sizing!GJ87</f>
        <v>0.25</v>
      </c>
      <c r="AD71" s="216">
        <f>Sizing!GK87</f>
        <v>1.5748031496062995E-2</v>
      </c>
      <c r="AE71" s="17">
        <f>Sizing!GL87</f>
        <v>1.5748031496062995E-2</v>
      </c>
      <c r="AF71" s="170">
        <f>Sizing!JC87</f>
        <v>4.2410538734210714E-3</v>
      </c>
      <c r="AG71" s="272">
        <f>Sizing!JD87</f>
        <v>6.5123374247815752E-2</v>
      </c>
      <c r="AH71" s="170">
        <f>Sizing!JC87</f>
        <v>4.2410538734210714E-3</v>
      </c>
      <c r="AI71" s="272">
        <f>Sizing!JD87</f>
        <v>6.5123374247815752E-2</v>
      </c>
      <c r="AJ71" s="216">
        <f>Sizing!IT87</f>
        <v>0.25</v>
      </c>
      <c r="AK71" s="216">
        <f>Sizing!IU87</f>
        <v>1.5748031496062995E-2</v>
      </c>
      <c r="AL71" s="17">
        <f>Sizing!IV87</f>
        <v>1.5748031496062995E-2</v>
      </c>
      <c r="AM71" s="170">
        <f t="shared" si="13"/>
        <v>0</v>
      </c>
      <c r="AN71" s="11">
        <f t="shared" si="14"/>
        <v>0.57922447512219133</v>
      </c>
      <c r="AO71" s="11">
        <f t="shared" si="15"/>
        <v>0.57922447512219133</v>
      </c>
      <c r="AP71" s="11">
        <f t="shared" si="16"/>
        <v>1.1584489502443827</v>
      </c>
      <c r="AQ71" s="555">
        <f t="shared" si="17"/>
        <v>18482103.073009923</v>
      </c>
      <c r="AR71" s="311">
        <f t="shared" si="18"/>
        <v>5.7742586561216189</v>
      </c>
      <c r="AS71" s="11">
        <f t="shared" si="19"/>
        <v>1.6261841803788507E-2</v>
      </c>
      <c r="AT71" s="11">
        <f t="shared" si="20"/>
        <v>1.0313651859014747</v>
      </c>
      <c r="AU71" s="11">
        <f t="shared" si="21"/>
        <v>1.0476270277052633</v>
      </c>
      <c r="AV71" s="555">
        <f t="shared" si="22"/>
        <v>16714030.172874758</v>
      </c>
      <c r="AW71" s="138">
        <f t="shared" si="23"/>
        <v>3.9370078740157494E-2</v>
      </c>
      <c r="AX71" s="138">
        <f t="shared" si="24"/>
        <v>3.1496062992125991E-2</v>
      </c>
      <c r="AY71" s="554">
        <f t="shared" si="25"/>
        <v>3.1496062992125991E-2</v>
      </c>
      <c r="AZ71" s="12">
        <f t="shared" si="26"/>
        <v>212.83388301973338</v>
      </c>
      <c r="BA71" s="11">
        <f t="shared" si="27"/>
        <v>71.748377998030463</v>
      </c>
      <c r="BB71">
        <f t="shared" si="28"/>
        <v>99.425028528557419</v>
      </c>
      <c r="BC71" s="555">
        <f t="shared" si="29"/>
        <v>374930589.48084772</v>
      </c>
      <c r="BD71">
        <f t="shared" si="30"/>
        <v>27</v>
      </c>
      <c r="BE71" s="207">
        <f t="shared" si="31"/>
        <v>1.86679796</v>
      </c>
      <c r="BF71" s="207">
        <f>'Inputs-Imperial'!$E$15*BE71</f>
        <v>1.4000984700000001</v>
      </c>
      <c r="BG71" s="207">
        <f>'Inputs-Imperial'!$E$12*BE71</f>
        <v>0.46669948999999999</v>
      </c>
      <c r="BH71">
        <f>'Inputs-Imperial'!$E$11*BE71</f>
        <v>0.33602363279999997</v>
      </c>
      <c r="BI71">
        <f t="shared" si="32"/>
        <v>0.35640688408772758</v>
      </c>
      <c r="BJ71">
        <f>'Weight '!U73+'Weight '!V73 /12</f>
        <v>2.4934383202099744E-2</v>
      </c>
      <c r="BK71">
        <f>('Weight '!AK73+'Weight '!AL73)/12</f>
        <v>2.6246719160104991E-3</v>
      </c>
      <c r="BL71">
        <f>'Weight '!AG73/12</f>
        <v>4.3219229128912691E-2</v>
      </c>
      <c r="BM71">
        <f>'Weight '!AI73/12</f>
        <v>4.3219229128912691E-2</v>
      </c>
      <c r="BN71" s="554">
        <f t="shared" si="33"/>
        <v>0.70125860942037477</v>
      </c>
      <c r="BO71" s="554">
        <f t="shared" si="34"/>
        <v>2.3073118846875613</v>
      </c>
      <c r="BP71">
        <f t="shared" si="35"/>
        <v>4.3219229128912691E-2</v>
      </c>
      <c r="BQ71">
        <f t="shared" si="35"/>
        <v>4.3219229128912691E-2</v>
      </c>
      <c r="BR71">
        <f t="shared" si="36"/>
        <v>0.2495851745421746</v>
      </c>
      <c r="BS71">
        <f t="shared" si="37"/>
        <v>0.11761654354178044</v>
      </c>
      <c r="BT71">
        <f t="shared" si="38"/>
        <v>0.27430085736842225</v>
      </c>
      <c r="BU71">
        <f t="shared" si="39"/>
        <v>4.8016635467641969E-2</v>
      </c>
      <c r="BV71">
        <f t="shared" si="40"/>
        <v>482.02888244738023</v>
      </c>
      <c r="BW71" s="207">
        <f t="shared" si="41"/>
        <v>189.15495089145563</v>
      </c>
      <c r="BX71">
        <f t="shared" si="42"/>
        <v>0.70966764667152005</v>
      </c>
      <c r="BY71" s="575">
        <f t="shared" si="43"/>
        <v>2.8442238822792092</v>
      </c>
      <c r="BZ71">
        <f t="shared" si="44"/>
        <v>481.0808078199538</v>
      </c>
      <c r="CA71" s="207">
        <f t="shared" si="45"/>
        <v>189.52698878404362</v>
      </c>
      <c r="CB71">
        <f t="shared" si="46"/>
        <v>0.709240527524304</v>
      </c>
      <c r="CC71">
        <f t="shared" si="47"/>
        <v>235.62353995102262</v>
      </c>
      <c r="CD71">
        <f t="shared" si="48"/>
        <v>402.53962783627958</v>
      </c>
      <c r="CE71" s="207">
        <f t="shared" si="49"/>
        <v>220.34765863133364</v>
      </c>
      <c r="CF71">
        <f t="shared" si="50"/>
        <v>0.67385677096599728</v>
      </c>
      <c r="CG71">
        <f t="shared" si="51"/>
        <v>120.62782240134808</v>
      </c>
      <c r="CH71">
        <f t="shared" si="52"/>
        <v>362.33035370249689</v>
      </c>
      <c r="CI71" s="207">
        <f t="shared" ref="CI71" si="147" xml:space="preserve"> ($BQ$38-CH71*($BP71+$BR71+$BQ71+$BN71))/($BP71+$BR71+$BQ71+$BO71)</f>
        <v>236.12634648825266</v>
      </c>
      <c r="CJ71">
        <f t="shared" si="54"/>
        <v>0.65574200406751526</v>
      </c>
      <c r="CK71">
        <f t="shared" si="55"/>
        <v>66.057867027382656</v>
      </c>
      <c r="CL71">
        <f t="shared" si="56"/>
        <v>340.31106469336936</v>
      </c>
      <c r="CM71" s="207">
        <f t="shared" ref="CM71" si="148" xml:space="preserve"> ($BQ$38-CL71*($BP71+$BR71+$BQ71+$BN71))/($BP71+$BR71+$BQ71+$BO71)</f>
        <v>244.76702691810419</v>
      </c>
      <c r="CN71">
        <f t="shared" si="58"/>
        <v>0.64582204663820342</v>
      </c>
      <c r="CO71">
        <f t="shared" si="59"/>
        <v>37.40903175696652</v>
      </c>
      <c r="CP71">
        <f t="shared" si="60"/>
        <v>327.84138744104717</v>
      </c>
      <c r="CQ71" s="207">
        <f t="shared" ref="CQ71" si="149" xml:space="preserve"> ($BQ$38-CP71*($BP71+$BR71+$BQ71+$BN71))/($BP71+$BR71+$BQ71+$BO71)</f>
        <v>249.66030463274987</v>
      </c>
      <c r="CR71">
        <f t="shared" si="62"/>
        <v>0.64020430541826578</v>
      </c>
      <c r="CS71">
        <f t="shared" si="63"/>
        <v>21.572496299691814</v>
      </c>
      <c r="CT71">
        <f t="shared" si="64"/>
        <v>320.65055534114992</v>
      </c>
      <c r="CU71" s="636">
        <f t="shared" si="65"/>
        <v>252.48208884995029</v>
      </c>
      <c r="CV71" s="575">
        <f t="shared" si="66"/>
        <v>0.63696474812453385</v>
      </c>
      <c r="CW71">
        <f t="shared" si="67"/>
        <v>12.567496075815502</v>
      </c>
      <c r="CX71" s="576">
        <f t="shared" si="68"/>
        <v>0.34120711602048992</v>
      </c>
    </row>
    <row r="72" spans="1:102" x14ac:dyDescent="0.25">
      <c r="A72" s="186">
        <v>28</v>
      </c>
      <c r="B72" s="187">
        <f>A72/100*'Inputs-Imperial'!$E$5</f>
        <v>2.7559056000000002</v>
      </c>
      <c r="C72" s="188">
        <f>'Inputs-Imperial'!$E$10+('Inputs-Imperial'!$E$9-'Inputs-Imperial'!$E$10)*(100-A72)/100</f>
        <v>1.8569554400000001</v>
      </c>
      <c r="D72" s="187">
        <f t="shared" si="69"/>
        <v>9.8425199999999879E-2</v>
      </c>
      <c r="E72" s="188">
        <f t="shared" si="70"/>
        <v>0.18325558657283977</v>
      </c>
      <c r="F72" s="423">
        <f>Sizing!F88</f>
        <v>79.243638589830752</v>
      </c>
      <c r="G72" s="423">
        <f>Sizing!G88</f>
        <v>792.43638589830698</v>
      </c>
      <c r="H72" s="423">
        <f>Sizing!H88</f>
        <v>2500.0266842618294</v>
      </c>
      <c r="I72" s="423">
        <f>Sizing!I88</f>
        <v>-676.87419634972912</v>
      </c>
      <c r="J72" s="189">
        <f>Sizing!J88</f>
        <v>250.00266842618305</v>
      </c>
      <c r="K72" s="128">
        <v>28</v>
      </c>
      <c r="L72" s="12">
        <f t="shared" si="11"/>
        <v>33.070867200000002</v>
      </c>
      <c r="M72" s="11">
        <f t="shared" si="11"/>
        <v>22.283465280000001</v>
      </c>
      <c r="N72" s="11">
        <f t="shared" si="11"/>
        <v>1.1811023999999986</v>
      </c>
      <c r="O72" s="152">
        <f t="shared" si="71"/>
        <v>26.388804466488928</v>
      </c>
      <c r="P72" s="170">
        <f t="shared" si="0"/>
        <v>4.0110237503999997</v>
      </c>
      <c r="Q72" s="8">
        <f t="shared" si="1"/>
        <v>2.0055118751999998</v>
      </c>
      <c r="R72" s="170">
        <f>Sizing!X88</f>
        <v>5.5708663200000004</v>
      </c>
      <c r="S72" s="8">
        <f>Sizing!Y88</f>
        <v>16.712598960000001</v>
      </c>
      <c r="T72" s="8">
        <f>Sizing!Z88</f>
        <v>11.141732640000001</v>
      </c>
      <c r="U72" s="17">
        <f>Sizing!CN88</f>
        <v>0.25</v>
      </c>
      <c r="V72" s="17">
        <f>Sizing!CO88</f>
        <v>2.3622047244094495E-2</v>
      </c>
      <c r="W72" s="17">
        <f>Sizing!CP88</f>
        <v>1.5748031496062995E-2</v>
      </c>
      <c r="X72" s="170">
        <f>Sizing!DU88</f>
        <v>0.26897785437563354</v>
      </c>
      <c r="Y72" s="170">
        <f>Sizing!DV88</f>
        <v>0.51863074954695232</v>
      </c>
      <c r="Z72" s="170">
        <f>Sizing!DW88</f>
        <v>0.26897785437563354</v>
      </c>
      <c r="AA72" s="272">
        <f>Sizing!DX88</f>
        <v>0.51863074954695232</v>
      </c>
      <c r="AB72" s="272">
        <f t="shared" si="12"/>
        <v>2.9136528433727324</v>
      </c>
      <c r="AC72" s="216">
        <f>Sizing!GJ88</f>
        <v>0.25</v>
      </c>
      <c r="AD72" s="216">
        <f>Sizing!GK88</f>
        <v>1.5748031496062995E-2</v>
      </c>
      <c r="AE72" s="17">
        <f>Sizing!GL88</f>
        <v>1.5748031496062995E-2</v>
      </c>
      <c r="AF72" s="170">
        <f>Sizing!JC88</f>
        <v>4.2410538734210714E-3</v>
      </c>
      <c r="AG72" s="272">
        <f>Sizing!JD88</f>
        <v>6.5123374247815752E-2</v>
      </c>
      <c r="AH72" s="170">
        <f>Sizing!JC88</f>
        <v>4.2410538734210714E-3</v>
      </c>
      <c r="AI72" s="272">
        <f>Sizing!JD88</f>
        <v>6.5123374247815752E-2</v>
      </c>
      <c r="AJ72" s="216">
        <f>Sizing!IT88</f>
        <v>0.25</v>
      </c>
      <c r="AK72" s="216">
        <f>Sizing!IU88</f>
        <v>1.5748031496062995E-2</v>
      </c>
      <c r="AL72" s="17">
        <f>Sizing!IV88</f>
        <v>1.5748031496062995E-2</v>
      </c>
      <c r="AM72" s="170">
        <f t="shared" si="13"/>
        <v>0</v>
      </c>
      <c r="AN72" s="11">
        <f t="shared" si="14"/>
        <v>0.57086332635063053</v>
      </c>
      <c r="AO72" s="11">
        <f t="shared" si="15"/>
        <v>0.57086332635063053</v>
      </c>
      <c r="AP72" s="11">
        <f t="shared" si="16"/>
        <v>1.1417266527012611</v>
      </c>
      <c r="AQ72" s="555">
        <f t="shared" si="17"/>
        <v>18215312.527993403</v>
      </c>
      <c r="AR72" s="311">
        <f t="shared" si="18"/>
        <v>5.7438144101315238</v>
      </c>
      <c r="AS72" s="11">
        <f t="shared" si="19"/>
        <v>1.6090815734120387E-2</v>
      </c>
      <c r="AT72" s="11">
        <f t="shared" si="20"/>
        <v>1.0205183005199907</v>
      </c>
      <c r="AU72" s="11">
        <f t="shared" si="21"/>
        <v>1.0366091162541111</v>
      </c>
      <c r="AV72" s="555">
        <f t="shared" si="22"/>
        <v>16538248.430359015</v>
      </c>
      <c r="AW72" s="138">
        <f t="shared" si="23"/>
        <v>3.9370078740157494E-2</v>
      </c>
      <c r="AX72" s="138">
        <f t="shared" si="24"/>
        <v>3.1496062992125991E-2</v>
      </c>
      <c r="AY72" s="554">
        <f t="shared" si="25"/>
        <v>3.1496062992125991E-2</v>
      </c>
      <c r="AZ72" s="12">
        <f t="shared" si="26"/>
        <v>210.59550541501198</v>
      </c>
      <c r="BA72" s="11">
        <f t="shared" si="27"/>
        <v>71.370091295053157</v>
      </c>
      <c r="BB72">
        <f t="shared" si="28"/>
        <v>97.860677624007181</v>
      </c>
      <c r="BC72" s="555">
        <f t="shared" si="29"/>
        <v>369031440.99199963</v>
      </c>
      <c r="BD72">
        <f t="shared" si="30"/>
        <v>28</v>
      </c>
      <c r="BE72" s="207">
        <f t="shared" si="31"/>
        <v>1.8569554400000001</v>
      </c>
      <c r="BF72" s="207">
        <f>'Inputs-Imperial'!$E$15*BE72</f>
        <v>1.3927165800000001</v>
      </c>
      <c r="BG72" s="207">
        <f>'Inputs-Imperial'!$E$12*BE72</f>
        <v>0.46423886000000003</v>
      </c>
      <c r="BH72">
        <f>'Inputs-Imperial'!$E$11*BE72</f>
        <v>0.33425197919999999</v>
      </c>
      <c r="BI72">
        <f t="shared" si="32"/>
        <v>0.35452776167601724</v>
      </c>
      <c r="BJ72">
        <f>'Weight '!U74+'Weight '!V74 /12</f>
        <v>2.4934383202099744E-2</v>
      </c>
      <c r="BK72">
        <f>('Weight '!AK74+'Weight '!AL74)/12</f>
        <v>2.6246719160104991E-3</v>
      </c>
      <c r="BL72">
        <f>'Weight '!AG74/12</f>
        <v>4.3219229128912691E-2</v>
      </c>
      <c r="BM72">
        <f>'Weight '!AI74/12</f>
        <v>4.3219229128912691E-2</v>
      </c>
      <c r="BN72" s="554">
        <f t="shared" si="33"/>
        <v>0.69513800509627899</v>
      </c>
      <c r="BO72" s="554">
        <f t="shared" si="34"/>
        <v>2.2975700786736546</v>
      </c>
      <c r="BP72">
        <f t="shared" si="35"/>
        <v>4.3219229128912691E-2</v>
      </c>
      <c r="BQ72">
        <f t="shared" si="35"/>
        <v>4.3219229128912691E-2</v>
      </c>
      <c r="BR72">
        <f t="shared" si="36"/>
        <v>0.24781352094217463</v>
      </c>
      <c r="BS72">
        <f t="shared" si="37"/>
        <v>0.11637956833241378</v>
      </c>
      <c r="BT72">
        <f t="shared" si="38"/>
        <v>0.27141603053832386</v>
      </c>
      <c r="BU72">
        <f t="shared" si="39"/>
        <v>4.7011962914360786E-2</v>
      </c>
      <c r="BV72">
        <f t="shared" si="40"/>
        <v>485.72456272907544</v>
      </c>
      <c r="BW72" s="207">
        <f t="shared" si="41"/>
        <v>189.98244904291454</v>
      </c>
      <c r="BX72">
        <f t="shared" si="42"/>
        <v>0.70628655549536601</v>
      </c>
      <c r="BY72" s="575">
        <f t="shared" si="43"/>
        <v>3.3327522440784492</v>
      </c>
      <c r="BZ72">
        <f t="shared" si="44"/>
        <v>484.61364531438261</v>
      </c>
      <c r="CA72" s="207">
        <f t="shared" si="45"/>
        <v>190.41696446033947</v>
      </c>
      <c r="CB72">
        <f t="shared" si="46"/>
        <v>0.70579211041740586</v>
      </c>
      <c r="CC72">
        <f t="shared" si="47"/>
        <v>236.77273576254862</v>
      </c>
      <c r="CD72">
        <f t="shared" si="48"/>
        <v>405.68940006019972</v>
      </c>
      <c r="CE72" s="207">
        <f t="shared" si="49"/>
        <v>221.28676712794032</v>
      </c>
      <c r="CF72">
        <f t="shared" si="50"/>
        <v>0.67066465262303598</v>
      </c>
      <c r="CG72">
        <f t="shared" si="51"/>
        <v>121.83084082346787</v>
      </c>
      <c r="CH72">
        <f t="shared" si="52"/>
        <v>365.07911978571042</v>
      </c>
      <c r="CI72" s="207">
        <f t="shared" ref="CI72" si="150" xml:space="preserve"> ($BQ$38-CH72*($BP72+$BR72+$BQ72+$BN72))/($BP72+$BR72+$BQ72+$BO72)</f>
        <v>237.17074972811616</v>
      </c>
      <c r="CJ72">
        <f t="shared" si="54"/>
        <v>0.6525899038336701</v>
      </c>
      <c r="CK72">
        <f t="shared" si="55"/>
        <v>67.008878707903222</v>
      </c>
      <c r="CL72">
        <f t="shared" si="56"/>
        <v>342.74282688307602</v>
      </c>
      <c r="CM72" s="207">
        <f t="shared" ref="CM72" si="151" xml:space="preserve"> ($BQ$38-CL72*($BP72+$BR72+$BQ72+$BN72))/($BP72+$BR72+$BQ72+$BO72)</f>
        <v>245.90718999446784</v>
      </c>
      <c r="CN72">
        <f t="shared" si="58"/>
        <v>0.64264850770510351</v>
      </c>
      <c r="CO72">
        <f t="shared" si="59"/>
        <v>38.107490897514182</v>
      </c>
      <c r="CP72">
        <f t="shared" si="60"/>
        <v>330.04032991723795</v>
      </c>
      <c r="CQ72" s="207">
        <f t="shared" ref="CQ72" si="152" xml:space="preserve"> ($BQ$38-CP72*($BP72+$BR72+$BQ72+$BN72))/($BP72+$BR72+$BQ72+$BO72)</f>
        <v>250.87554380587713</v>
      </c>
      <c r="CR72">
        <f t="shared" si="62"/>
        <v>0.63699490373824208</v>
      </c>
      <c r="CS72">
        <f t="shared" si="63"/>
        <v>22.067660253799893</v>
      </c>
      <c r="CT72">
        <f t="shared" si="64"/>
        <v>322.68444316597135</v>
      </c>
      <c r="CU72" s="636">
        <f t="shared" si="65"/>
        <v>253.7526669475113</v>
      </c>
      <c r="CV72" s="575">
        <f t="shared" si="66"/>
        <v>0.63372095920366844</v>
      </c>
      <c r="CW72">
        <f t="shared" si="67"/>
        <v>12.910497596887671</v>
      </c>
      <c r="CX72" s="576">
        <f t="shared" si="68"/>
        <v>0.34126880244561408</v>
      </c>
    </row>
    <row r="73" spans="1:102" x14ac:dyDescent="0.25">
      <c r="A73" s="186">
        <v>29</v>
      </c>
      <c r="B73" s="187">
        <f>A73/100*'Inputs-Imperial'!$E$5</f>
        <v>2.8543308000000001</v>
      </c>
      <c r="C73" s="188">
        <f>'Inputs-Imperial'!$E$10+('Inputs-Imperial'!$E$9-'Inputs-Imperial'!$E$10)*(100-A73)/100</f>
        <v>1.84711292</v>
      </c>
      <c r="D73" s="187">
        <f t="shared" si="69"/>
        <v>9.8425199999999879E-2</v>
      </c>
      <c r="E73" s="188">
        <f t="shared" si="70"/>
        <v>0.18228683457333578</v>
      </c>
      <c r="F73" s="423">
        <f>Sizing!F89</f>
        <v>77.81957139555432</v>
      </c>
      <c r="G73" s="423">
        <f>Sizing!G89</f>
        <v>778.19571395554271</v>
      </c>
      <c r="H73" s="423">
        <f>Sizing!H89</f>
        <v>2422.0309744925116</v>
      </c>
      <c r="I73" s="423">
        <f>Sizing!I89</f>
        <v>-661.81253267549937</v>
      </c>
      <c r="J73" s="189">
        <f>Sizing!J89</f>
        <v>242.20309744925126</v>
      </c>
      <c r="K73" s="128">
        <v>29</v>
      </c>
      <c r="L73" s="12">
        <f t="shared" si="11"/>
        <v>34.251969600000002</v>
      </c>
      <c r="M73" s="11">
        <f t="shared" si="11"/>
        <v>22.165355040000001</v>
      </c>
      <c r="N73" s="11">
        <f t="shared" si="11"/>
        <v>1.1811023999999986</v>
      </c>
      <c r="O73" s="152">
        <f t="shared" si="71"/>
        <v>26.249304178560354</v>
      </c>
      <c r="P73" s="170">
        <f t="shared" si="0"/>
        <v>3.9897639072</v>
      </c>
      <c r="Q73" s="8">
        <f t="shared" si="1"/>
        <v>1.9948819536</v>
      </c>
      <c r="R73" s="170">
        <f>Sizing!X89</f>
        <v>5.5413387600000004</v>
      </c>
      <c r="S73" s="8">
        <f>Sizing!Y89</f>
        <v>16.624016279999999</v>
      </c>
      <c r="T73" s="8">
        <f>Sizing!Z89</f>
        <v>11.082677519999999</v>
      </c>
      <c r="U73" s="17">
        <f>Sizing!CN89</f>
        <v>0.25</v>
      </c>
      <c r="V73" s="17">
        <f>Sizing!CO89</f>
        <v>2.3622047244094495E-2</v>
      </c>
      <c r="W73" s="17">
        <f>Sizing!CP89</f>
        <v>1.5748031496062995E-2</v>
      </c>
      <c r="X73" s="170">
        <f>Sizing!DU89</f>
        <v>0.26897785437563354</v>
      </c>
      <c r="Y73" s="170">
        <f>Sizing!DV89</f>
        <v>0.51863074954695232</v>
      </c>
      <c r="Z73" s="170">
        <f>Sizing!DW89</f>
        <v>0.26897785437563354</v>
      </c>
      <c r="AA73" s="272">
        <f>Sizing!DX89</f>
        <v>0.51863074954695232</v>
      </c>
      <c r="AB73" s="272">
        <f t="shared" si="12"/>
        <v>2.8923930001727323</v>
      </c>
      <c r="AC73" s="216">
        <f>Sizing!GJ89</f>
        <v>0.25</v>
      </c>
      <c r="AD73" s="216">
        <f>Sizing!GK89</f>
        <v>1.5748031496062995E-2</v>
      </c>
      <c r="AE73" s="17">
        <f>Sizing!GL89</f>
        <v>1.5748031496062995E-2</v>
      </c>
      <c r="AF73" s="170">
        <f>Sizing!JC89</f>
        <v>4.2410538734210714E-3</v>
      </c>
      <c r="AG73" s="272">
        <f>Sizing!JD89</f>
        <v>6.5123374247815752E-2</v>
      </c>
      <c r="AH73" s="170">
        <f>Sizing!JC89</f>
        <v>4.2410538734210714E-3</v>
      </c>
      <c r="AI73" s="272">
        <f>Sizing!JD89</f>
        <v>6.5123374247815752E-2</v>
      </c>
      <c r="AJ73" s="216">
        <f>Sizing!IT89</f>
        <v>0.25</v>
      </c>
      <c r="AK73" s="216">
        <f>Sizing!IU89</f>
        <v>1.5748031496062995E-2</v>
      </c>
      <c r="AL73" s="17">
        <f>Sizing!IV89</f>
        <v>1.5748031496062995E-2</v>
      </c>
      <c r="AM73" s="170">
        <f t="shared" si="13"/>
        <v>0</v>
      </c>
      <c r="AN73" s="11">
        <f t="shared" si="14"/>
        <v>0.56256296400984318</v>
      </c>
      <c r="AO73" s="11">
        <f t="shared" si="15"/>
        <v>0.56256296400984318</v>
      </c>
      <c r="AP73" s="11">
        <f t="shared" si="16"/>
        <v>1.1251259280196864</v>
      </c>
      <c r="AQ73" s="555">
        <f t="shared" si="17"/>
        <v>17950461.578293119</v>
      </c>
      <c r="AR73" s="311">
        <f t="shared" si="18"/>
        <v>5.713370164141427</v>
      </c>
      <c r="AS73" s="11">
        <f t="shared" si="19"/>
        <v>1.5920693767022868E-2</v>
      </c>
      <c r="AT73" s="11">
        <f t="shared" si="20"/>
        <v>1.0097287555017569</v>
      </c>
      <c r="AU73" s="11">
        <f t="shared" si="21"/>
        <v>1.0256494492687798</v>
      </c>
      <c r="AV73" s="555">
        <f t="shared" si="22"/>
        <v>16363395.930534981</v>
      </c>
      <c r="AW73" s="138">
        <f t="shared" si="23"/>
        <v>3.9370078740157494E-2</v>
      </c>
      <c r="AX73" s="138">
        <f t="shared" si="24"/>
        <v>3.1496062992125991E-2</v>
      </c>
      <c r="AY73" s="554">
        <f t="shared" si="25"/>
        <v>3.1496062992125991E-2</v>
      </c>
      <c r="AZ73" s="12">
        <f t="shared" si="26"/>
        <v>208.36896064344333</v>
      </c>
      <c r="BA73" s="11">
        <f t="shared" si="27"/>
        <v>70.991804592075852</v>
      </c>
      <c r="BB73">
        <f t="shared" si="28"/>
        <v>96.312822357408805</v>
      </c>
      <c r="BC73" s="555">
        <f t="shared" si="29"/>
        <v>363194497.35592037</v>
      </c>
      <c r="BD73">
        <f t="shared" si="30"/>
        <v>29</v>
      </c>
      <c r="BE73" s="207">
        <f t="shared" si="31"/>
        <v>1.84711292</v>
      </c>
      <c r="BF73" s="207">
        <f>'Inputs-Imperial'!$E$15*BE73</f>
        <v>1.3853346900000001</v>
      </c>
      <c r="BG73" s="207">
        <f>'Inputs-Imperial'!$E$12*BE73</f>
        <v>0.46177823000000001</v>
      </c>
      <c r="BH73">
        <f>'Inputs-Imperial'!$E$11*BE73</f>
        <v>0.33248032560000002</v>
      </c>
      <c r="BI73">
        <f t="shared" si="32"/>
        <v>0.35264863926430695</v>
      </c>
      <c r="BJ73">
        <f>'Weight '!U75+'Weight '!V75 /12</f>
        <v>2.4934383202099744E-2</v>
      </c>
      <c r="BK73">
        <f>('Weight '!AK75+'Weight '!AL75)/12</f>
        <v>2.6246719160104991E-3</v>
      </c>
      <c r="BL73">
        <f>'Weight '!AG75/12</f>
        <v>4.3219229128912691E-2</v>
      </c>
      <c r="BM73">
        <f>'Weight '!AI75/12</f>
        <v>4.3219229128912691E-2</v>
      </c>
      <c r="BN73" s="554">
        <f t="shared" si="33"/>
        <v>0.68903000244718571</v>
      </c>
      <c r="BO73" s="554">
        <f t="shared" si="34"/>
        <v>2.2878156709847439</v>
      </c>
      <c r="BP73">
        <f t="shared" si="35"/>
        <v>4.3219229128912691E-2</v>
      </c>
      <c r="BQ73">
        <f t="shared" si="35"/>
        <v>4.3219229128912691E-2</v>
      </c>
      <c r="BR73">
        <f t="shared" si="36"/>
        <v>0.24604186734217465</v>
      </c>
      <c r="BS73">
        <f t="shared" si="37"/>
        <v>0.11514913219904378</v>
      </c>
      <c r="BT73">
        <f t="shared" si="38"/>
        <v>0.26854645389411153</v>
      </c>
      <c r="BU73">
        <f t="shared" si="39"/>
        <v>4.6023139340864931E-2</v>
      </c>
      <c r="BV73">
        <f t="shared" si="40"/>
        <v>489.47131151952868</v>
      </c>
      <c r="BW73" s="207">
        <f t="shared" si="41"/>
        <v>190.81813682564595</v>
      </c>
      <c r="BX73">
        <f t="shared" si="42"/>
        <v>0.70290467054918593</v>
      </c>
      <c r="BY73" s="575">
        <f t="shared" si="43"/>
        <v>3.8253614541033301</v>
      </c>
      <c r="BZ73">
        <f t="shared" si="44"/>
        <v>488.19619103482756</v>
      </c>
      <c r="CA73" s="207">
        <f t="shared" si="45"/>
        <v>191.31523667479445</v>
      </c>
      <c r="CB73">
        <f t="shared" si="46"/>
        <v>0.70234402371122062</v>
      </c>
      <c r="CC73">
        <f t="shared" si="47"/>
        <v>237.9368380858495</v>
      </c>
      <c r="CD73">
        <f t="shared" si="48"/>
        <v>408.88391167287773</v>
      </c>
      <c r="CE73" s="207">
        <f t="shared" si="49"/>
        <v>222.23476355831966</v>
      </c>
      <c r="CF73">
        <f t="shared" si="50"/>
        <v>0.66747188482739861</v>
      </c>
      <c r="CG73">
        <f t="shared" si="51"/>
        <v>123.04681878870448</v>
      </c>
      <c r="CH73">
        <f t="shared" si="52"/>
        <v>367.86830540997624</v>
      </c>
      <c r="CI73" s="207">
        <f t="shared" ref="CI73" si="153" xml:space="preserve"> ($BQ$38-CH73*($BP73+$BR73+$BQ73+$BN73))/($BP73+$BR73+$BQ73+$BO73)</f>
        <v>238.2245087868281</v>
      </c>
      <c r="CJ73">
        <f t="shared" si="54"/>
        <v>0.6494380831322446</v>
      </c>
      <c r="CK73">
        <f t="shared" si="55"/>
        <v>67.972454277031616</v>
      </c>
      <c r="CL73">
        <f t="shared" si="56"/>
        <v>345.21082065096573</v>
      </c>
      <c r="CM73" s="207">
        <f t="shared" ref="CM73" si="154" xml:space="preserve"> ($BQ$38-CL73*($BP73+$BR73+$BQ73+$BN73))/($BP73+$BR73+$BQ73+$BO73)</f>
        <v>247.05742488450088</v>
      </c>
      <c r="CN73">
        <f t="shared" si="58"/>
        <v>0.63947600712546993</v>
      </c>
      <c r="CO73">
        <f t="shared" si="59"/>
        <v>38.817384810834056</v>
      </c>
      <c r="CP73">
        <f t="shared" si="60"/>
        <v>332.27169238068768</v>
      </c>
      <c r="CQ73" s="207">
        <f t="shared" ref="CQ73" si="155" xml:space="preserve"> ($BQ$38-CP73*($BP73+$BR73+$BQ73+$BN73))/($BP73+$BR73+$BQ73+$BO73)</f>
        <v>252.10168445717656</v>
      </c>
      <c r="CR73">
        <f t="shared" si="62"/>
        <v>0.63378691230047368</v>
      </c>
      <c r="CS73">
        <f t="shared" si="63"/>
        <v>22.572671887650621</v>
      </c>
      <c r="CT73">
        <f t="shared" si="64"/>
        <v>324.74746841813749</v>
      </c>
      <c r="CU73" s="636">
        <f t="shared" si="65"/>
        <v>255.0349685206194</v>
      </c>
      <c r="CV73" s="575">
        <f t="shared" si="66"/>
        <v>0.63047865051395247</v>
      </c>
      <c r="CW73">
        <f t="shared" si="67"/>
        <v>13.261615822105947</v>
      </c>
      <c r="CX73" s="576">
        <f t="shared" si="68"/>
        <v>0.34133194765047309</v>
      </c>
    </row>
    <row r="74" spans="1:102" x14ac:dyDescent="0.25">
      <c r="A74" s="186">
        <v>30</v>
      </c>
      <c r="B74" s="187">
        <f>A74/100*'Inputs-Imperial'!$E$5</f>
        <v>2.9527559999999999</v>
      </c>
      <c r="C74" s="188">
        <f>'Inputs-Imperial'!$E$10+('Inputs-Imperial'!$E$9-'Inputs-Imperial'!$E$10)*(100-A74)/100</f>
        <v>1.8372704</v>
      </c>
      <c r="D74" s="187">
        <f t="shared" si="69"/>
        <v>9.8425199999999879E-2</v>
      </c>
      <c r="E74" s="188">
        <f t="shared" si="70"/>
        <v>0.18131808257383178</v>
      </c>
      <c r="F74" s="423">
        <f>Sizing!F90</f>
        <v>76.401479751004828</v>
      </c>
      <c r="G74" s="423">
        <f>Sizing!G90</f>
        <v>764.01479751004774</v>
      </c>
      <c r="H74" s="423">
        <f>Sizing!H90</f>
        <v>2345.4369057072945</v>
      </c>
      <c r="I74" s="423">
        <f>Sizing!I90</f>
        <v>-646.87760073419781</v>
      </c>
      <c r="J74" s="189">
        <f>Sizing!J90</f>
        <v>234.54369057072955</v>
      </c>
      <c r="K74" s="128">
        <v>30</v>
      </c>
      <c r="L74" s="12">
        <f t="shared" si="11"/>
        <v>35.433071999999996</v>
      </c>
      <c r="M74" s="11">
        <f t="shared" si="11"/>
        <v>22.047244800000001</v>
      </c>
      <c r="N74" s="11">
        <f t="shared" si="11"/>
        <v>1.1811023999999986</v>
      </c>
      <c r="O74" s="152">
        <f t="shared" si="71"/>
        <v>26.109803890631778</v>
      </c>
      <c r="P74" s="170">
        <f t="shared" si="0"/>
        <v>3.9685040640000002</v>
      </c>
      <c r="Q74" s="8">
        <f t="shared" si="1"/>
        <v>1.9842520320000001</v>
      </c>
      <c r="R74" s="170">
        <f>Sizing!X90</f>
        <v>5.5118112000000004</v>
      </c>
      <c r="S74" s="8">
        <f>Sizing!Y90</f>
        <v>16.535433600000001</v>
      </c>
      <c r="T74" s="8">
        <f>Sizing!Z90</f>
        <v>11.023622400000001</v>
      </c>
      <c r="U74" s="17">
        <f>Sizing!CN90</f>
        <v>0.25</v>
      </c>
      <c r="V74" s="17">
        <f>Sizing!CO90</f>
        <v>2.3622047244094495E-2</v>
      </c>
      <c r="W74" s="17">
        <f>Sizing!CP90</f>
        <v>1.5748031496062995E-2</v>
      </c>
      <c r="X74" s="170">
        <f>Sizing!DU90</f>
        <v>0.20712205586855234</v>
      </c>
      <c r="Y74" s="170">
        <f>Sizing!DV90</f>
        <v>0.45510664230326536</v>
      </c>
      <c r="Z74" s="170">
        <f>Sizing!DW90</f>
        <v>0.20712205586855234</v>
      </c>
      <c r="AA74" s="272">
        <f>Sizing!DX90</f>
        <v>0.45510664230326536</v>
      </c>
      <c r="AB74" s="272">
        <f t="shared" si="12"/>
        <v>2.9346572642164199</v>
      </c>
      <c r="AC74" s="216">
        <f>Sizing!GJ90</f>
        <v>0.25</v>
      </c>
      <c r="AD74" s="216">
        <f>Sizing!GK90</f>
        <v>1.5748031496062995E-2</v>
      </c>
      <c r="AE74" s="17">
        <f>Sizing!GL90</f>
        <v>1.5748031496062995E-2</v>
      </c>
      <c r="AF74" s="170">
        <f>Sizing!JC90</f>
        <v>3.3006550714747922E-3</v>
      </c>
      <c r="AG74" s="272">
        <f>Sizing!JD90</f>
        <v>5.7451327847794713E-2</v>
      </c>
      <c r="AH74" s="170">
        <f>Sizing!JC90</f>
        <v>3.3006550714747922E-3</v>
      </c>
      <c r="AI74" s="272">
        <f>Sizing!JD90</f>
        <v>5.7451327847794713E-2</v>
      </c>
      <c r="AJ74" s="216">
        <f>Sizing!IT90</f>
        <v>0.25</v>
      </c>
      <c r="AK74" s="216">
        <f>Sizing!IU90</f>
        <v>1.5748031496062995E-2</v>
      </c>
      <c r="AL74" s="17">
        <f>Sizing!IV90</f>
        <v>1.5748031496062995E-2</v>
      </c>
      <c r="AM74" s="170">
        <f t="shared" si="13"/>
        <v>0</v>
      </c>
      <c r="AN74" s="11">
        <f t="shared" si="14"/>
        <v>0.44594482891549558</v>
      </c>
      <c r="AO74" s="11">
        <f t="shared" si="15"/>
        <v>0.44594482891549558</v>
      </c>
      <c r="AP74" s="11">
        <f t="shared" si="16"/>
        <v>0.89188965783099117</v>
      </c>
      <c r="AQ74" s="555">
        <f t="shared" si="17"/>
        <v>14229368.141174043</v>
      </c>
      <c r="AR74" s="311">
        <f t="shared" si="18"/>
        <v>5.6847258774035874</v>
      </c>
      <c r="AS74" s="11">
        <f t="shared" si="19"/>
        <v>1.2385685879280225E-2</v>
      </c>
      <c r="AT74" s="11">
        <f t="shared" si="20"/>
        <v>0.77722411676067316</v>
      </c>
      <c r="AU74" s="11">
        <f t="shared" si="21"/>
        <v>0.7896098026399534</v>
      </c>
      <c r="AV74" s="555">
        <f t="shared" si="22"/>
        <v>12597576.921082292</v>
      </c>
      <c r="AW74" s="138">
        <f t="shared" si="23"/>
        <v>3.9370078740157494E-2</v>
      </c>
      <c r="AX74" s="138">
        <f t="shared" si="24"/>
        <v>3.1496062992125991E-2</v>
      </c>
      <c r="AY74" s="554">
        <f t="shared" si="25"/>
        <v>3.1496062992125991E-2</v>
      </c>
      <c r="AZ74" s="12">
        <f t="shared" si="26"/>
        <v>206.15424870502741</v>
      </c>
      <c r="BA74" s="11">
        <f t="shared" si="27"/>
        <v>70.613517889098546</v>
      </c>
      <c r="BB74">
        <f t="shared" si="28"/>
        <v>94.781375296052303</v>
      </c>
      <c r="BC74" s="555">
        <f t="shared" si="29"/>
        <v>357419428.86490971</v>
      </c>
      <c r="BD74">
        <f t="shared" si="30"/>
        <v>30</v>
      </c>
      <c r="BE74" s="207">
        <f t="shared" si="31"/>
        <v>1.8372704</v>
      </c>
      <c r="BF74" s="207">
        <f>'Inputs-Imperial'!$E$15*BE74</f>
        <v>1.3779528000000001</v>
      </c>
      <c r="BG74" s="207">
        <f>'Inputs-Imperial'!$E$12*BE74</f>
        <v>0.45931759999999999</v>
      </c>
      <c r="BH74">
        <f>'Inputs-Imperial'!$E$11*BE74</f>
        <v>0.33070867199999998</v>
      </c>
      <c r="BI74">
        <f t="shared" si="32"/>
        <v>0.35076951685259655</v>
      </c>
      <c r="BJ74">
        <f>'Weight '!U76+'Weight '!V76 /12</f>
        <v>2.4934383202099744E-2</v>
      </c>
      <c r="BK74">
        <f>('Weight '!AK76+'Weight '!AL76)/12</f>
        <v>2.6246719160104991E-3</v>
      </c>
      <c r="BL74">
        <f>'Weight '!AG76/12</f>
        <v>3.7925553525272111E-2</v>
      </c>
      <c r="BM74">
        <f>'Weight '!AI76/12</f>
        <v>3.7925553525272111E-2</v>
      </c>
      <c r="BN74" s="554">
        <f t="shared" si="33"/>
        <v>0.68293476239689077</v>
      </c>
      <c r="BO74" s="554">
        <f t="shared" si="34"/>
        <v>2.2780485006970359</v>
      </c>
      <c r="BP74">
        <f t="shared" si="35"/>
        <v>3.7925553525272111E-2</v>
      </c>
      <c r="BQ74">
        <f t="shared" si="35"/>
        <v>3.7925553525272111E-2</v>
      </c>
      <c r="BR74">
        <f t="shared" si="36"/>
        <v>0.25485756494945577</v>
      </c>
      <c r="BS74">
        <f t="shared" si="37"/>
        <v>0.1139252351416704</v>
      </c>
      <c r="BT74">
        <f t="shared" si="38"/>
        <v>0.26569212743578513</v>
      </c>
      <c r="BU74">
        <f t="shared" si="39"/>
        <v>4.5049997182809769E-2</v>
      </c>
      <c r="BV74">
        <f t="shared" si="40"/>
        <v>493.27010172713818</v>
      </c>
      <c r="BW74" s="207">
        <f t="shared" si="41"/>
        <v>191.66214672371376</v>
      </c>
      <c r="BX74">
        <f t="shared" si="42"/>
        <v>0.69952197763137358</v>
      </c>
      <c r="BY74" s="575">
        <f t="shared" si="43"/>
        <v>4.3220974447364995</v>
      </c>
      <c r="BZ74">
        <f t="shared" si="44"/>
        <v>491.82940257889265</v>
      </c>
      <c r="CA74" s="207">
        <f t="shared" si="45"/>
        <v>192.22193636141716</v>
      </c>
      <c r="CB74">
        <f t="shared" si="46"/>
        <v>0.69889625025339319</v>
      </c>
      <c r="CC74">
        <f t="shared" si="47"/>
        <v>239.1160519227501</v>
      </c>
      <c r="CD74">
        <f t="shared" si="48"/>
        <v>412.12405193797593</v>
      </c>
      <c r="CE74" s="207">
        <f t="shared" si="49"/>
        <v>223.19178139300382</v>
      </c>
      <c r="CF74">
        <f t="shared" si="50"/>
        <v>0.66427846060016404</v>
      </c>
      <c r="CG74">
        <f t="shared" si="51"/>
        <v>124.2759653954875</v>
      </c>
      <c r="CH74">
        <f t="shared" si="52"/>
        <v>370.69873013948012</v>
      </c>
      <c r="CI74" s="207">
        <f t="shared" ref="CI74" si="156" xml:space="preserve"> ($BQ$38-CH74*($BP74+$BR74+$BQ74+$BN74))/($BP74+$BR74+$BQ74+$BO74)</f>
        <v>239.28776222950776</v>
      </c>
      <c r="CJ74">
        <f t="shared" si="54"/>
        <v>0.6462865307635054</v>
      </c>
      <c r="CK74">
        <f t="shared" si="55"/>
        <v>68.948790025231162</v>
      </c>
      <c r="CL74">
        <f t="shared" si="56"/>
        <v>347.71580013106973</v>
      </c>
      <c r="CM74" s="207">
        <f t="shared" ref="CM74" si="157" xml:space="preserve"> ($BQ$38-CL74*($BP74+$BR74+$BQ74+$BN74))/($BP74+$BR74+$BQ74+$BO74)</f>
        <v>248.21787513922851</v>
      </c>
      <c r="CN74">
        <f t="shared" si="58"/>
        <v>0.63630453795814901</v>
      </c>
      <c r="CO74">
        <f t="shared" si="59"/>
        <v>39.538902878503094</v>
      </c>
      <c r="CP74">
        <f t="shared" si="60"/>
        <v>334.53616583823538</v>
      </c>
      <c r="CQ74" s="207">
        <f t="shared" ref="CQ74" si="158" xml:space="preserve"> ($BQ$38-CP74*($BP74+$BR74+$BQ74+$BN74))/($BP74+$BR74+$BQ74+$BO74)</f>
        <v>253.33887678265555</v>
      </c>
      <c r="CR74">
        <f t="shared" si="62"/>
        <v>0.63058033244387568</v>
      </c>
      <c r="CS74">
        <f t="shared" si="63"/>
        <v>23.087713478679163</v>
      </c>
      <c r="CT74">
        <f t="shared" si="64"/>
        <v>326.8402613453423</v>
      </c>
      <c r="CU74" s="636">
        <f t="shared" si="65"/>
        <v>256.32915243675251</v>
      </c>
      <c r="CV74" s="575">
        <f t="shared" si="66"/>
        <v>0.62723783158560142</v>
      </c>
      <c r="CW74">
        <f t="shared" si="67"/>
        <v>13.621022524088126</v>
      </c>
      <c r="CX74" s="576">
        <f t="shared" si="68"/>
        <v>0.34139658026690106</v>
      </c>
    </row>
    <row r="75" spans="1:102" x14ac:dyDescent="0.25">
      <c r="A75" s="186">
        <v>31</v>
      </c>
      <c r="B75" s="187">
        <f>A75/100*'Inputs-Imperial'!$E$5</f>
        <v>3.0511812000000003</v>
      </c>
      <c r="C75" s="188">
        <f>'Inputs-Imperial'!$E$10+('Inputs-Imperial'!$E$9-'Inputs-Imperial'!$E$10)*(100-A75)/100</f>
        <v>1.8274278800000001</v>
      </c>
      <c r="D75" s="187">
        <f t="shared" si="69"/>
        <v>9.8425200000000324E-2</v>
      </c>
      <c r="E75" s="188">
        <f t="shared" si="70"/>
        <v>0.18034933057432859</v>
      </c>
      <c r="F75" s="423">
        <f>Sizing!F91</f>
        <v>74.989452134337839</v>
      </c>
      <c r="G75" s="423">
        <f>Sizing!G91</f>
        <v>749.89452134337785</v>
      </c>
      <c r="H75" s="423">
        <f>Sizing!H91</f>
        <v>2270.2385964594082</v>
      </c>
      <c r="I75" s="423">
        <f>Sizing!I91</f>
        <v>-632.07072729523384</v>
      </c>
      <c r="J75" s="189">
        <f>Sizing!J91</f>
        <v>227.02385964594092</v>
      </c>
      <c r="K75" s="128">
        <v>31</v>
      </c>
      <c r="L75" s="12">
        <f t="shared" si="11"/>
        <v>36.614174400000003</v>
      </c>
      <c r="M75" s="11">
        <f t="shared" si="11"/>
        <v>21.929134560000001</v>
      </c>
      <c r="N75" s="11">
        <f t="shared" si="11"/>
        <v>1.1811024000000039</v>
      </c>
      <c r="O75" s="152">
        <f t="shared" si="71"/>
        <v>25.970303602703318</v>
      </c>
      <c r="P75" s="170">
        <f t="shared" si="0"/>
        <v>3.9472442208</v>
      </c>
      <c r="Q75" s="8">
        <f t="shared" si="1"/>
        <v>1.9736221104</v>
      </c>
      <c r="R75" s="170">
        <f>Sizing!X91</f>
        <v>5.4822836400000003</v>
      </c>
      <c r="S75" s="8">
        <f>Sizing!Y91</f>
        <v>16.446850920000003</v>
      </c>
      <c r="T75" s="8">
        <f>Sizing!Z91</f>
        <v>10.964567280000002</v>
      </c>
      <c r="U75" s="17">
        <f>Sizing!CN91</f>
        <v>0.25</v>
      </c>
      <c r="V75" s="17">
        <f>Sizing!CO91</f>
        <v>2.3622047244094495E-2</v>
      </c>
      <c r="W75" s="17">
        <f>Sizing!CP91</f>
        <v>1.5748031496062995E-2</v>
      </c>
      <c r="X75" s="170">
        <f>Sizing!DU91</f>
        <v>0.20712205586855234</v>
      </c>
      <c r="Y75" s="170">
        <f>Sizing!DV91</f>
        <v>0.45510664230326536</v>
      </c>
      <c r="Z75" s="170">
        <f>Sizing!DW91</f>
        <v>0.20712205586855234</v>
      </c>
      <c r="AA75" s="272">
        <f>Sizing!DX91</f>
        <v>0.45510664230326536</v>
      </c>
      <c r="AB75" s="272">
        <f t="shared" si="12"/>
        <v>2.9133974210164197</v>
      </c>
      <c r="AC75" s="216">
        <f>Sizing!GJ91</f>
        <v>0.25</v>
      </c>
      <c r="AD75" s="216">
        <f>Sizing!GK91</f>
        <v>1.5748031496062995E-2</v>
      </c>
      <c r="AE75" s="17">
        <f>Sizing!GL91</f>
        <v>1.5748031496062995E-2</v>
      </c>
      <c r="AF75" s="170">
        <f>Sizing!JC91</f>
        <v>3.3006550714747922E-3</v>
      </c>
      <c r="AG75" s="272">
        <f>Sizing!JD91</f>
        <v>5.7451327847794713E-2</v>
      </c>
      <c r="AH75" s="170">
        <f>Sizing!JC91</f>
        <v>3.3006550714747922E-3</v>
      </c>
      <c r="AI75" s="272">
        <f>Sizing!JD91</f>
        <v>5.7451327847794713E-2</v>
      </c>
      <c r="AJ75" s="216">
        <f>Sizing!IT91</f>
        <v>0.25</v>
      </c>
      <c r="AK75" s="216">
        <f>Sizing!IU91</f>
        <v>1.5748031496062995E-2</v>
      </c>
      <c r="AL75" s="17">
        <f>Sizing!IV91</f>
        <v>1.5748031496062995E-2</v>
      </c>
      <c r="AM75" s="170">
        <f t="shared" si="13"/>
        <v>0</v>
      </c>
      <c r="AN75" s="11">
        <f t="shared" si="14"/>
        <v>0.43950702360133553</v>
      </c>
      <c r="AO75" s="11">
        <f t="shared" si="15"/>
        <v>0.43950702360133553</v>
      </c>
      <c r="AP75" s="11">
        <f t="shared" si="16"/>
        <v>0.87901404720267107</v>
      </c>
      <c r="AQ75" s="555">
        <f t="shared" si="17"/>
        <v>14023948.33159991</v>
      </c>
      <c r="AR75" s="311">
        <f t="shared" si="18"/>
        <v>5.6542719887746387</v>
      </c>
      <c r="AS75" s="11">
        <f t="shared" si="19"/>
        <v>1.2253337558548372E-2</v>
      </c>
      <c r="AT75" s="11">
        <f t="shared" si="20"/>
        <v>0.76891902104873133</v>
      </c>
      <c r="AU75" s="11">
        <f t="shared" si="21"/>
        <v>0.78117235860727974</v>
      </c>
      <c r="AV75" s="555">
        <f t="shared" si="22"/>
        <v>12462964.42024509</v>
      </c>
      <c r="AW75" s="138">
        <f t="shared" si="23"/>
        <v>3.9370078740157494E-2</v>
      </c>
      <c r="AX75" s="138">
        <f t="shared" si="24"/>
        <v>3.1496062992125991E-2</v>
      </c>
      <c r="AY75" s="554">
        <f t="shared" si="25"/>
        <v>3.1496062992125991E-2</v>
      </c>
      <c r="AZ75" s="12">
        <f t="shared" si="26"/>
        <v>203.95136959976421</v>
      </c>
      <c r="BA75" s="11">
        <f t="shared" si="27"/>
        <v>70.235231186121254</v>
      </c>
      <c r="BB75">
        <f t="shared" si="28"/>
        <v>93.2662490072276</v>
      </c>
      <c r="BC75" s="555">
        <f t="shared" si="29"/>
        <v>351705905.81126726</v>
      </c>
      <c r="BD75">
        <f t="shared" si="30"/>
        <v>31</v>
      </c>
      <c r="BE75" s="207">
        <f t="shared" si="31"/>
        <v>1.8274278800000001</v>
      </c>
      <c r="BF75" s="207">
        <f>'Inputs-Imperial'!$E$15*BE75</f>
        <v>1.3705709100000001</v>
      </c>
      <c r="BG75" s="207">
        <f>'Inputs-Imperial'!$E$12*BE75</f>
        <v>0.45685697000000003</v>
      </c>
      <c r="BH75">
        <f>'Inputs-Imperial'!$E$11*BE75</f>
        <v>0.3289370184</v>
      </c>
      <c r="BI75">
        <f t="shared" si="32"/>
        <v>0.34889039444088626</v>
      </c>
      <c r="BJ75">
        <f>'Weight '!U77+'Weight '!V77 /12</f>
        <v>2.4934383202099744E-2</v>
      </c>
      <c r="BK75">
        <f>('Weight '!AK77+'Weight '!AL77)/12</f>
        <v>2.6246719160104991E-3</v>
      </c>
      <c r="BL75">
        <f>'Weight '!AG77/12</f>
        <v>3.7925553525272111E-2</v>
      </c>
      <c r="BM75">
        <f>'Weight '!AI77/12</f>
        <v>3.7925553525272111E-2</v>
      </c>
      <c r="BN75" s="554">
        <f t="shared" si="33"/>
        <v>0.67685244729871497</v>
      </c>
      <c r="BO75" s="554">
        <f t="shared" si="34"/>
        <v>2.2682684054572091</v>
      </c>
      <c r="BP75">
        <f t="shared" si="35"/>
        <v>3.7925553525272111E-2</v>
      </c>
      <c r="BQ75">
        <f t="shared" si="35"/>
        <v>3.7925553525272111E-2</v>
      </c>
      <c r="BR75">
        <f t="shared" si="36"/>
        <v>0.25308591134945579</v>
      </c>
      <c r="BS75">
        <f t="shared" si="37"/>
        <v>0.11270787716029369</v>
      </c>
      <c r="BT75">
        <f t="shared" si="38"/>
        <v>0.26285305116334473</v>
      </c>
      <c r="BU75">
        <f t="shared" si="39"/>
        <v>4.4092369766360946E-2</v>
      </c>
      <c r="BV75">
        <f t="shared" si="40"/>
        <v>497.12192964026866</v>
      </c>
      <c r="BW75" s="207">
        <f t="shared" si="41"/>
        <v>192.51461413376802</v>
      </c>
      <c r="BX75">
        <f t="shared" si="42"/>
        <v>0.6961384623219774</v>
      </c>
      <c r="BY75" s="575">
        <f t="shared" si="43"/>
        <v>4.8230068408834939</v>
      </c>
      <c r="BZ75">
        <f t="shared" si="44"/>
        <v>495.51426069330751</v>
      </c>
      <c r="CA75" s="207">
        <f t="shared" si="45"/>
        <v>193.13719734429552</v>
      </c>
      <c r="CB75">
        <f t="shared" si="46"/>
        <v>0.69544877262061988</v>
      </c>
      <c r="CC75">
        <f t="shared" si="47"/>
        <v>240.31058589915821</v>
      </c>
      <c r="CD75">
        <f t="shared" si="48"/>
        <v>415.41073206025476</v>
      </c>
      <c r="CE75" s="207">
        <f t="shared" si="49"/>
        <v>224.15795701326553</v>
      </c>
      <c r="CF75">
        <f t="shared" si="50"/>
        <v>0.66108437263327235</v>
      </c>
      <c r="CG75">
        <f t="shared" si="51"/>
        <v>125.51849350153942</v>
      </c>
      <c r="CH75">
        <f t="shared" si="52"/>
        <v>373.57123422640831</v>
      </c>
      <c r="CI75" s="207">
        <f t="shared" ref="CI75" si="159" xml:space="preserve"> ($BQ$38-CH75*($BP75+$BR75+$BQ75+$BN75))/($BP75+$BR75+$BQ75+$BO75)</f>
        <v>240.36065156520814</v>
      </c>
      <c r="CJ75">
        <f t="shared" si="54"/>
        <v>0.64313523526856964</v>
      </c>
      <c r="CK75">
        <f t="shared" si="55"/>
        <v>69.938086061581217</v>
      </c>
      <c r="CL75">
        <f t="shared" si="56"/>
        <v>350.25853887254789</v>
      </c>
      <c r="CM75" s="207">
        <f t="shared" ref="CM75" si="160" xml:space="preserve"> ($BQ$38-CL75*($BP75+$BR75+$BQ75+$BN75))/($BP75+$BR75+$BQ75+$BO75)</f>
        <v>249.3886873103103</v>
      </c>
      <c r="CN75">
        <f t="shared" si="58"/>
        <v>0.63313409297690948</v>
      </c>
      <c r="CO75">
        <f t="shared" si="59"/>
        <v>40.27223819028076</v>
      </c>
      <c r="CP75">
        <f t="shared" si="60"/>
        <v>336.83445947578764</v>
      </c>
      <c r="CQ75" s="207">
        <f t="shared" ref="CQ75" si="161" xml:space="preserve"> ($BQ$38-CP75*($BP75+$BR75+$BQ75+$BN75))/($BP75+$BR75+$BQ75+$BO75)</f>
        <v>254.58727403739044</v>
      </c>
      <c r="CR75">
        <f t="shared" si="62"/>
        <v>0.62737516522772874</v>
      </c>
      <c r="CS75">
        <f t="shared" si="63"/>
        <v>23.612970910298614</v>
      </c>
      <c r="CT75">
        <f t="shared" si="64"/>
        <v>328.96346917235479</v>
      </c>
      <c r="CU75" s="636">
        <f t="shared" si="65"/>
        <v>257.63538069044534</v>
      </c>
      <c r="CV75" s="575">
        <f t="shared" si="66"/>
        <v>0.62399851174317678</v>
      </c>
      <c r="CW75">
        <f t="shared" si="67"/>
        <v>13.988893028760732</v>
      </c>
      <c r="CX75" s="576">
        <f t="shared" si="68"/>
        <v>0.34146272943103873</v>
      </c>
    </row>
    <row r="76" spans="1:102" x14ac:dyDescent="0.25">
      <c r="A76" s="186">
        <v>32</v>
      </c>
      <c r="B76" s="187">
        <f>A76/100*'Inputs-Imperial'!$E$5</f>
        <v>3.1496064000000001</v>
      </c>
      <c r="C76" s="188">
        <f>'Inputs-Imperial'!$E$10+('Inputs-Imperial'!$E$9-'Inputs-Imperial'!$E$10)*(100-A76)/100</f>
        <v>1.81758536</v>
      </c>
      <c r="D76" s="187">
        <f t="shared" si="69"/>
        <v>9.8425199999999879E-2</v>
      </c>
      <c r="E76" s="188">
        <f t="shared" si="70"/>
        <v>0.17938057857482378</v>
      </c>
      <c r="F76" s="423">
        <f>Sizing!F92</f>
        <v>73.583577903419553</v>
      </c>
      <c r="G76" s="423">
        <f>Sizing!G92</f>
        <v>735.83577903419507</v>
      </c>
      <c r="H76" s="423">
        <f>Sizing!H92</f>
        <v>2196.4300782172822</v>
      </c>
      <c r="I76" s="423">
        <f>Sizing!I92</f>
        <v>-617.39323364141092</v>
      </c>
      <c r="J76" s="189">
        <f>Sizing!J92</f>
        <v>219.6430078217283</v>
      </c>
      <c r="K76" s="128">
        <v>32</v>
      </c>
      <c r="L76" s="12">
        <f t="shared" si="11"/>
        <v>37.795276800000003</v>
      </c>
      <c r="M76" s="11">
        <f t="shared" si="11"/>
        <v>21.811024320000001</v>
      </c>
      <c r="N76" s="11">
        <f t="shared" si="11"/>
        <v>1.1811023999999986</v>
      </c>
      <c r="O76" s="152">
        <f t="shared" si="71"/>
        <v>25.830803314774624</v>
      </c>
      <c r="P76" s="170">
        <f t="shared" ref="P76:P107" si="162">M76*$E$17</f>
        <v>3.9259843776000003</v>
      </c>
      <c r="Q76" s="8">
        <f t="shared" ref="Q76:Q107" si="163">M76*$E$19</f>
        <v>1.9629921888000001</v>
      </c>
      <c r="R76" s="170">
        <f>Sizing!X92</f>
        <v>5.4527560800000003</v>
      </c>
      <c r="S76" s="8">
        <f>Sizing!Y92</f>
        <v>16.358268240000001</v>
      </c>
      <c r="T76" s="8">
        <f>Sizing!Z92</f>
        <v>10.905512160000001</v>
      </c>
      <c r="U76" s="17">
        <f>Sizing!CN92</f>
        <v>0.25</v>
      </c>
      <c r="V76" s="17">
        <f>Sizing!CO92</f>
        <v>2.3622047244094495E-2</v>
      </c>
      <c r="W76" s="17">
        <f>Sizing!CP92</f>
        <v>1.5748031496062995E-2</v>
      </c>
      <c r="X76" s="170">
        <f>Sizing!DU92</f>
        <v>0.20712205586855234</v>
      </c>
      <c r="Y76" s="170">
        <f>Sizing!DV92</f>
        <v>0.45510664230326536</v>
      </c>
      <c r="Z76" s="170">
        <f>Sizing!DW92</f>
        <v>0.20712205586855234</v>
      </c>
      <c r="AA76" s="272">
        <f>Sizing!DX92</f>
        <v>0.45510664230326536</v>
      </c>
      <c r="AB76" s="272">
        <f t="shared" si="12"/>
        <v>2.8921375778164196</v>
      </c>
      <c r="AC76" s="216">
        <f>Sizing!GJ92</f>
        <v>0.25</v>
      </c>
      <c r="AD76" s="216">
        <f>Sizing!GK92</f>
        <v>1.5748031496062995E-2</v>
      </c>
      <c r="AE76" s="17">
        <f>Sizing!GL92</f>
        <v>1.5748031496062995E-2</v>
      </c>
      <c r="AF76" s="170">
        <f>Sizing!JC92</f>
        <v>3.3006550714747922E-3</v>
      </c>
      <c r="AG76" s="272">
        <f>Sizing!JD92</f>
        <v>5.7451327847794713E-2</v>
      </c>
      <c r="AH76" s="170">
        <f>Sizing!JC92</f>
        <v>3.3006550714747922E-3</v>
      </c>
      <c r="AI76" s="272">
        <f>Sizing!JD92</f>
        <v>5.7451327847794713E-2</v>
      </c>
      <c r="AJ76" s="216">
        <f>Sizing!IT92</f>
        <v>0.25</v>
      </c>
      <c r="AK76" s="216">
        <f>Sizing!IU92</f>
        <v>1.5748031496062995E-2</v>
      </c>
      <c r="AL76" s="17">
        <f>Sizing!IV92</f>
        <v>1.5748031496062995E-2</v>
      </c>
      <c r="AM76" s="170">
        <f t="shared" si="13"/>
        <v>0</v>
      </c>
      <c r="AN76" s="11">
        <f t="shared" si="14"/>
        <v>0.43311602589719211</v>
      </c>
      <c r="AO76" s="11">
        <f t="shared" si="15"/>
        <v>0.43311602589719211</v>
      </c>
      <c r="AP76" s="11">
        <f t="shared" si="16"/>
        <v>0.86623205179438423</v>
      </c>
      <c r="AQ76" s="555">
        <f t="shared" si="17"/>
        <v>13820022.07609693</v>
      </c>
      <c r="AR76" s="311">
        <f t="shared" si="18"/>
        <v>5.6238181001456917</v>
      </c>
      <c r="AS76" s="11">
        <f t="shared" si="19"/>
        <v>1.2121700150909335E-2</v>
      </c>
      <c r="AT76" s="11">
        <f t="shared" si="20"/>
        <v>0.76065853641491954</v>
      </c>
      <c r="AU76" s="11">
        <f t="shared" si="21"/>
        <v>0.77278023656582884</v>
      </c>
      <c r="AV76" s="555">
        <f t="shared" si="22"/>
        <v>12329074.994613815</v>
      </c>
      <c r="AW76" s="138">
        <f t="shared" si="23"/>
        <v>3.9370078740157494E-2</v>
      </c>
      <c r="AX76" s="138">
        <f t="shared" si="24"/>
        <v>3.1496062992125991E-2</v>
      </c>
      <c r="AY76" s="554">
        <f t="shared" si="25"/>
        <v>3.1496062992125991E-2</v>
      </c>
      <c r="AZ76" s="12">
        <f t="shared" si="26"/>
        <v>201.76032332765371</v>
      </c>
      <c r="BA76" s="11">
        <f t="shared" si="27"/>
        <v>69.856944483143877</v>
      </c>
      <c r="BB76">
        <f t="shared" si="28"/>
        <v>91.767356058224863</v>
      </c>
      <c r="BC76" s="555">
        <f t="shared" si="29"/>
        <v>346053598.4872933</v>
      </c>
      <c r="BD76">
        <f t="shared" si="30"/>
        <v>32</v>
      </c>
      <c r="BE76" s="207">
        <f t="shared" si="31"/>
        <v>1.81758536</v>
      </c>
      <c r="BF76" s="207">
        <f>'Inputs-Imperial'!$E$15*BE76</f>
        <v>1.3631890200000001</v>
      </c>
      <c r="BG76" s="207">
        <f>'Inputs-Imperial'!$E$12*BE76</f>
        <v>0.45439634000000001</v>
      </c>
      <c r="BH76">
        <f>'Inputs-Imperial'!$E$11*BE76</f>
        <v>0.32716536479999997</v>
      </c>
      <c r="BI76">
        <f t="shared" si="32"/>
        <v>0.34701127202917587</v>
      </c>
      <c r="BJ76">
        <f>'Weight '!U78+'Weight '!V78 /12</f>
        <v>2.4934383202099744E-2</v>
      </c>
      <c r="BK76">
        <f>('Weight '!AK78+'Weight '!AL78)/12</f>
        <v>2.6246719160104991E-3</v>
      </c>
      <c r="BL76">
        <f>'Weight '!AG78/12</f>
        <v>3.7925553525272111E-2</v>
      </c>
      <c r="BM76">
        <f>'Weight '!AI78/12</f>
        <v>3.7925553525272111E-2</v>
      </c>
      <c r="BN76" s="554">
        <f t="shared" si="33"/>
        <v>0.67078322093817466</v>
      </c>
      <c r="BO76" s="554">
        <f t="shared" si="34"/>
        <v>2.2584752214797459</v>
      </c>
      <c r="BP76">
        <f t="shared" si="35"/>
        <v>3.7925553525272111E-2</v>
      </c>
      <c r="BQ76">
        <f t="shared" si="35"/>
        <v>3.7925553525272111E-2</v>
      </c>
      <c r="BR76">
        <f t="shared" si="36"/>
        <v>0.25131425774945576</v>
      </c>
      <c r="BS76">
        <f t="shared" si="37"/>
        <v>0.11149705825491363</v>
      </c>
      <c r="BT76">
        <f t="shared" si="38"/>
        <v>0.26002922507679022</v>
      </c>
      <c r="BU76">
        <f t="shared" si="39"/>
        <v>4.3150091308194305E-2</v>
      </c>
      <c r="BV76">
        <f t="shared" si="40"/>
        <v>501.02781560650635</v>
      </c>
      <c r="BW76" s="207">
        <f t="shared" si="41"/>
        <v>193.37567744456189</v>
      </c>
      <c r="BX76">
        <f t="shared" si="42"/>
        <v>0.69275410997880404</v>
      </c>
      <c r="BY76" s="575">
        <f t="shared" si="43"/>
        <v>5.3281369734784505</v>
      </c>
      <c r="BZ76">
        <f t="shared" si="44"/>
        <v>499.25176994868019</v>
      </c>
      <c r="CA76" s="207">
        <f t="shared" si="45"/>
        <v>194.06115641709928</v>
      </c>
      <c r="CB76">
        <f t="shared" si="46"/>
        <v>0.69200157311438526</v>
      </c>
      <c r="CC76">
        <f t="shared" si="47"/>
        <v>241.52065234482365</v>
      </c>
      <c r="CD76">
        <f t="shared" si="48"/>
        <v>418.74488583373898</v>
      </c>
      <c r="CE76" s="207">
        <f t="shared" si="49"/>
        <v>225.13342979144693</v>
      </c>
      <c r="CF76">
        <f t="shared" si="50"/>
        <v>0.65788961328440332</v>
      </c>
      <c r="CG76">
        <f t="shared" si="51"/>
        <v>126.7746198084011</v>
      </c>
      <c r="CH76">
        <f t="shared" si="52"/>
        <v>376.48667923093859</v>
      </c>
      <c r="CI76" s="207">
        <f t="shared" ref="CI76" si="164" xml:space="preserve"> ($BQ$38-CH76*($BP76+$BR76+$BQ76+$BN76))/($BP76+$BR76+$BQ76+$BO76)</f>
        <v>241.4433213281408</v>
      </c>
      <c r="CJ76">
        <f t="shared" si="54"/>
        <v>0.63998418492297615</v>
      </c>
      <c r="CK76">
        <f t="shared" si="55"/>
        <v>70.940546400631888</v>
      </c>
      <c r="CL76">
        <f t="shared" si="56"/>
        <v>352.83983043072794</v>
      </c>
      <c r="CM76" s="207">
        <f t="shared" ref="CM76" si="165" xml:space="preserve"> ($BQ$38-CL76*($BP76+$BR76+$BQ76+$BN76))/($BP76+$BR76+$BQ76+$BO76)</f>
        <v>250.57001103225323</v>
      </c>
      <c r="CN76">
        <f t="shared" si="58"/>
        <v>0.62996466466397827</v>
      </c>
      <c r="CO76">
        <f t="shared" si="59"/>
        <v>41.017587631493257</v>
      </c>
      <c r="CP76">
        <f t="shared" si="60"/>
        <v>339.16730122023017</v>
      </c>
      <c r="CQ76" s="207">
        <f t="shared" ref="CQ76" si="166" xml:space="preserve"> ($BQ$38-CP76*($BP76+$BR76+$BQ76+$BN76))/($BP76+$BR76+$BQ76+$BO76)</f>
        <v>255.84703261888913</v>
      </c>
      <c r="CR76">
        <f t="shared" si="62"/>
        <v>0.62417141142445576</v>
      </c>
      <c r="CS76">
        <f t="shared" si="63"/>
        <v>24.148633757302605</v>
      </c>
      <c r="CT76">
        <f t="shared" si="64"/>
        <v>331.11775663446264</v>
      </c>
      <c r="CU76" s="636">
        <f t="shared" si="65"/>
        <v>258.95381848767113</v>
      </c>
      <c r="CV76" s="575">
        <f t="shared" si="66"/>
        <v>0.62076070009736817</v>
      </c>
      <c r="CW76">
        <f t="shared" si="67"/>
        <v>14.365406298173751</v>
      </c>
      <c r="CX76" s="576">
        <f t="shared" si="68"/>
        <v>0.34153042479246648</v>
      </c>
    </row>
    <row r="77" spans="1:102" x14ac:dyDescent="0.25">
      <c r="A77" s="186">
        <v>33</v>
      </c>
      <c r="B77" s="187">
        <f>A77/100*'Inputs-Imperial'!$E$5</f>
        <v>3.2480316000000005</v>
      </c>
      <c r="C77" s="188">
        <f>'Inputs-Imperial'!$E$10+('Inputs-Imperial'!$E$9-'Inputs-Imperial'!$E$10)*(100-A77)/100</f>
        <v>1.80774284</v>
      </c>
      <c r="D77" s="187">
        <f t="shared" si="69"/>
        <v>9.8425200000000324E-2</v>
      </c>
      <c r="E77" s="188">
        <f t="shared" si="70"/>
        <v>0.17841182657532059</v>
      </c>
      <c r="F77" s="423">
        <f>Sizing!F93</f>
        <v>72.183947340574619</v>
      </c>
      <c r="G77" s="423">
        <f>Sizing!G93</f>
        <v>721.83947340574582</v>
      </c>
      <c r="H77" s="423">
        <f>Sizing!H93</f>
        <v>2124.0052944986855</v>
      </c>
      <c r="I77" s="423">
        <f>Sizing!I93</f>
        <v>-602.84643582627552</v>
      </c>
      <c r="J77" s="189">
        <f>Sizing!J93</f>
        <v>212.40052944986863</v>
      </c>
      <c r="K77" s="128">
        <v>33</v>
      </c>
      <c r="L77" s="12">
        <f t="shared" si="11"/>
        <v>38.976379200000004</v>
      </c>
      <c r="M77" s="11">
        <f t="shared" si="11"/>
        <v>21.692914080000001</v>
      </c>
      <c r="N77" s="11">
        <f t="shared" si="11"/>
        <v>1.1811024000000039</v>
      </c>
      <c r="O77" s="152">
        <f t="shared" si="71"/>
        <v>25.691303026846164</v>
      </c>
      <c r="P77" s="170">
        <f t="shared" si="162"/>
        <v>3.9047245344000001</v>
      </c>
      <c r="Q77" s="8">
        <f t="shared" si="163"/>
        <v>1.9523622672000001</v>
      </c>
      <c r="R77" s="170">
        <f>Sizing!X93</f>
        <v>5.4232285200000003</v>
      </c>
      <c r="S77" s="8">
        <f>Sizing!Y93</f>
        <v>16.269685559999999</v>
      </c>
      <c r="T77" s="8">
        <f>Sizing!Z93</f>
        <v>10.846457039999999</v>
      </c>
      <c r="U77" s="17">
        <f>Sizing!CN93</f>
        <v>0.25</v>
      </c>
      <c r="V77" s="17">
        <f>Sizing!CO93</f>
        <v>2.3622047244094495E-2</v>
      </c>
      <c r="W77" s="17">
        <f>Sizing!CP93</f>
        <v>1.5748031496062995E-2</v>
      </c>
      <c r="X77" s="170">
        <f>Sizing!DU93</f>
        <v>0.20712205586855234</v>
      </c>
      <c r="Y77" s="170">
        <f>Sizing!DV93</f>
        <v>0.45510664230326536</v>
      </c>
      <c r="Z77" s="170">
        <f>Sizing!DW93</f>
        <v>0.20712205586855234</v>
      </c>
      <c r="AA77" s="272">
        <f>Sizing!DX93</f>
        <v>0.45510664230326536</v>
      </c>
      <c r="AB77" s="272">
        <f t="shared" si="12"/>
        <v>2.8708777346164194</v>
      </c>
      <c r="AC77" s="216">
        <f>Sizing!GJ93</f>
        <v>0.25</v>
      </c>
      <c r="AD77" s="216">
        <f>Sizing!GK93</f>
        <v>1.5748031496062995E-2</v>
      </c>
      <c r="AE77" s="17">
        <f>Sizing!GL93</f>
        <v>1.5748031496062995E-2</v>
      </c>
      <c r="AF77" s="170">
        <f>Sizing!JC93</f>
        <v>3.3006550714747922E-3</v>
      </c>
      <c r="AG77" s="272">
        <f>Sizing!JD93</f>
        <v>5.7451327847794713E-2</v>
      </c>
      <c r="AH77" s="170">
        <f>Sizing!JC93</f>
        <v>3.3006550714747922E-3</v>
      </c>
      <c r="AI77" s="272">
        <f>Sizing!JD93</f>
        <v>5.7451327847794713E-2</v>
      </c>
      <c r="AJ77" s="216">
        <f>Sizing!IT93</f>
        <v>0.25</v>
      </c>
      <c r="AK77" s="216">
        <f>Sizing!IU93</f>
        <v>1.5748031496062995E-2</v>
      </c>
      <c r="AL77" s="17">
        <f>Sizing!IV93</f>
        <v>1.5748031496062995E-2</v>
      </c>
      <c r="AM77" s="170">
        <f t="shared" si="13"/>
        <v>0</v>
      </c>
      <c r="AN77" s="11">
        <f t="shared" si="14"/>
        <v>0.42677183580306544</v>
      </c>
      <c r="AO77" s="11">
        <f t="shared" si="15"/>
        <v>0.42677183580306544</v>
      </c>
      <c r="AP77" s="11">
        <f t="shared" si="16"/>
        <v>0.85354367160613087</v>
      </c>
      <c r="AQ77" s="555">
        <f t="shared" si="17"/>
        <v>13617589.3746651</v>
      </c>
      <c r="AR77" s="311">
        <f t="shared" si="18"/>
        <v>5.5933642115167439</v>
      </c>
      <c r="AS77" s="11">
        <f t="shared" si="19"/>
        <v>1.199077365636273E-2</v>
      </c>
      <c r="AT77" s="11">
        <f t="shared" si="20"/>
        <v>0.75244266285923811</v>
      </c>
      <c r="AU77" s="11">
        <f t="shared" si="21"/>
        <v>0.76443343651560081</v>
      </c>
      <c r="AV77" s="555">
        <f t="shared" si="22"/>
        <v>12195908.644188467</v>
      </c>
      <c r="AW77" s="138">
        <f t="shared" si="23"/>
        <v>3.9370078740157494E-2</v>
      </c>
      <c r="AX77" s="138">
        <f t="shared" si="24"/>
        <v>3.1496062992125991E-2</v>
      </c>
      <c r="AY77" s="554">
        <f t="shared" si="25"/>
        <v>3.1496062992125991E-2</v>
      </c>
      <c r="AZ77" s="12">
        <f t="shared" si="26"/>
        <v>199.58110988869586</v>
      </c>
      <c r="BA77" s="11">
        <f t="shared" si="27"/>
        <v>69.478657780166571</v>
      </c>
      <c r="BB77">
        <f t="shared" si="28"/>
        <v>90.28460901633386</v>
      </c>
      <c r="BC77" s="555">
        <f t="shared" si="29"/>
        <v>340462177.18528682</v>
      </c>
      <c r="BD77">
        <f t="shared" si="30"/>
        <v>33</v>
      </c>
      <c r="BE77" s="207">
        <f t="shared" si="31"/>
        <v>1.80774284</v>
      </c>
      <c r="BF77" s="207">
        <f>'Inputs-Imperial'!$E$15*BE77</f>
        <v>1.3558071300000001</v>
      </c>
      <c r="BG77" s="207">
        <f>'Inputs-Imperial'!$E$12*BE77</f>
        <v>0.45193570999999999</v>
      </c>
      <c r="BH77">
        <f>'Inputs-Imperial'!$E$11*BE77</f>
        <v>0.32539371119999999</v>
      </c>
      <c r="BI77">
        <f t="shared" si="32"/>
        <v>0.34513214961746558</v>
      </c>
      <c r="BJ77">
        <f>'Weight '!U79+'Weight '!V79 /12</f>
        <v>2.4934383202099744E-2</v>
      </c>
      <c r="BK77">
        <f>('Weight '!AK79+'Weight '!AL79)/12</f>
        <v>2.6246719160104991E-3</v>
      </c>
      <c r="BL77">
        <f>'Weight '!AG79/12</f>
        <v>3.7925553525272111E-2</v>
      </c>
      <c r="BM77">
        <f>'Weight '!AI79/12</f>
        <v>3.7925553525272111E-2</v>
      </c>
      <c r="BN77" s="554">
        <f t="shared" si="33"/>
        <v>0.66472724853538911</v>
      </c>
      <c r="BO77" s="554">
        <f t="shared" si="34"/>
        <v>2.2486687835445283</v>
      </c>
      <c r="BP77">
        <f t="shared" si="35"/>
        <v>3.7925553525272111E-2</v>
      </c>
      <c r="BQ77">
        <f t="shared" si="35"/>
        <v>3.7925553525272111E-2</v>
      </c>
      <c r="BR77">
        <f t="shared" si="36"/>
        <v>0.24954260414945578</v>
      </c>
      <c r="BS77">
        <f t="shared" si="37"/>
        <v>0.1102927784255302</v>
      </c>
      <c r="BT77">
        <f t="shared" si="38"/>
        <v>0.25722064917612186</v>
      </c>
      <c r="BU77">
        <f t="shared" si="39"/>
        <v>4.2222996915495983E-2</v>
      </c>
      <c r="BV77">
        <f t="shared" si="40"/>
        <v>504.98880473515635</v>
      </c>
      <c r="BW77" s="207">
        <f t="shared" si="41"/>
        <v>194.24547811906342</v>
      </c>
      <c r="BX77">
        <f t="shared" si="42"/>
        <v>0.68936890573343257</v>
      </c>
      <c r="BY77" s="575">
        <f t="shared" si="43"/>
        <v>5.8375358933088251</v>
      </c>
      <c r="BZ77">
        <f t="shared" si="44"/>
        <v>503.04295943738674</v>
      </c>
      <c r="CA77" s="207">
        <f t="shared" si="45"/>
        <v>194.99395342518278</v>
      </c>
      <c r="CB77">
        <f t="shared" si="46"/>
        <v>0.68855463375661341</v>
      </c>
      <c r="CC77">
        <f t="shared" si="47"/>
        <v>242.74646737519524</v>
      </c>
      <c r="CD77">
        <f t="shared" si="48"/>
        <v>422.12747031232163</v>
      </c>
      <c r="CE77" s="207">
        <f t="shared" si="49"/>
        <v>226.11834217391797</v>
      </c>
      <c r="CF77">
        <f t="shared" si="50"/>
        <v>0.65469417457176571</v>
      </c>
      <c r="CG77">
        <f t="shared" si="51"/>
        <v>128.04456494826093</v>
      </c>
      <c r="CH77">
        <f t="shared" si="52"/>
        <v>379.44594866290134</v>
      </c>
      <c r="CI77" s="207">
        <f t="shared" ref="CI77" si="167" xml:space="preserve"> ($BQ$38-CH77*($BP77+$BR77+$BQ77+$BN77))/($BP77+$BR77+$BQ77+$BO77)</f>
        <v>242.53591916156802</v>
      </c>
      <c r="CJ77">
        <f t="shared" si="54"/>
        <v>0.6368333677301532</v>
      </c>
      <c r="CK77">
        <f t="shared" si="55"/>
        <v>71.956379051684308</v>
      </c>
      <c r="CL77">
        <f t="shared" si="56"/>
        <v>355.46048897900658</v>
      </c>
      <c r="CM77" s="207">
        <f t="shared" ref="CM77" si="168" xml:space="preserve"> ($BQ$38-CL77*($BP77+$BR77+$BQ77+$BN77))/($BP77+$BR77+$BQ77+$BO77)</f>
        <v>251.76199910733462</v>
      </c>
      <c r="CN77">
        <f t="shared" si="58"/>
        <v>0.62679624520345079</v>
      </c>
      <c r="CO77">
        <f t="shared" si="59"/>
        <v>41.775151972894065</v>
      </c>
      <c r="CP77">
        <f t="shared" si="60"/>
        <v>341.53543832137524</v>
      </c>
      <c r="CQ77" s="207">
        <f t="shared" ref="CQ77" si="169" xml:space="preserve"> ($BQ$38-CP77*($BP77+$BR77+$BQ77+$BN77))/($BP77+$BR77+$BQ77+$BO77)</f>
        <v>257.11831215320967</v>
      </c>
      <c r="CR77">
        <f t="shared" si="62"/>
        <v>0.62096907151225689</v>
      </c>
      <c r="CS77">
        <f t="shared" si="63"/>
        <v>24.694895373732138</v>
      </c>
      <c r="CT77">
        <f t="shared" si="64"/>
        <v>333.30380653013117</v>
      </c>
      <c r="CU77" s="636">
        <f t="shared" si="65"/>
        <v>260.28463433302284</v>
      </c>
      <c r="CV77" s="575">
        <f t="shared" si="66"/>
        <v>0.61752440553660781</v>
      </c>
      <c r="CW77">
        <f t="shared" si="67"/>
        <v>14.750745015710516</v>
      </c>
      <c r="CX77" s="576">
        <f t="shared" si="68"/>
        <v>0.34159969652354305</v>
      </c>
    </row>
    <row r="78" spans="1:102" x14ac:dyDescent="0.25">
      <c r="A78" s="186">
        <v>34</v>
      </c>
      <c r="B78" s="187">
        <f>A78/100*'Inputs-Imperial'!$E$5</f>
        <v>3.3464568000000003</v>
      </c>
      <c r="C78" s="188">
        <f>'Inputs-Imperial'!$E$10+('Inputs-Imperial'!$E$9-'Inputs-Imperial'!$E$10)*(100-A78)/100</f>
        <v>1.7979003200000001</v>
      </c>
      <c r="D78" s="187">
        <f t="shared" si="69"/>
        <v>9.8425199999999879E-2</v>
      </c>
      <c r="E78" s="188">
        <f t="shared" si="70"/>
        <v>0.17744307457581579</v>
      </c>
      <c r="F78" s="423">
        <f>Sizing!F94</f>
        <v>70.790651699251086</v>
      </c>
      <c r="G78" s="423">
        <f>Sizing!G94</f>
        <v>707.90651699251043</v>
      </c>
      <c r="H78" s="423">
        <f>Sizing!H94</f>
        <v>2052.9580999608306</v>
      </c>
      <c r="I78" s="423">
        <f>Sizing!I94</f>
        <v>-588.43164493855397</v>
      </c>
      <c r="J78" s="189">
        <f>Sizing!J94</f>
        <v>205.29580999608311</v>
      </c>
      <c r="K78" s="128">
        <v>34</v>
      </c>
      <c r="L78" s="12">
        <f t="shared" si="11"/>
        <v>40.157481600000004</v>
      </c>
      <c r="M78" s="11">
        <f t="shared" si="11"/>
        <v>21.574803840000001</v>
      </c>
      <c r="N78" s="11">
        <f t="shared" si="11"/>
        <v>1.1811023999999986</v>
      </c>
      <c r="O78" s="152">
        <f t="shared" si="71"/>
        <v>25.551802738917473</v>
      </c>
      <c r="P78" s="170">
        <f t="shared" si="162"/>
        <v>3.8834646911999999</v>
      </c>
      <c r="Q78" s="8">
        <f t="shared" si="163"/>
        <v>1.9417323456</v>
      </c>
      <c r="R78" s="170">
        <f>Sizing!X94</f>
        <v>5.3937009600000003</v>
      </c>
      <c r="S78" s="8">
        <f>Sizing!Y94</f>
        <v>16.181102880000001</v>
      </c>
      <c r="T78" s="8">
        <f>Sizing!Z94</f>
        <v>10.787401920000001</v>
      </c>
      <c r="U78" s="17">
        <f>Sizing!CN94</f>
        <v>0.25</v>
      </c>
      <c r="V78" s="17">
        <f>Sizing!CO94</f>
        <v>2.3622047244094495E-2</v>
      </c>
      <c r="W78" s="17">
        <f>Sizing!CP94</f>
        <v>1.5748031496062995E-2</v>
      </c>
      <c r="X78" s="170">
        <f>Sizing!DU94</f>
        <v>0.20712205586855234</v>
      </c>
      <c r="Y78" s="170">
        <f>Sizing!DV94</f>
        <v>0.45510664230326536</v>
      </c>
      <c r="Z78" s="170">
        <f>Sizing!DW94</f>
        <v>0.20712205586855234</v>
      </c>
      <c r="AA78" s="272">
        <f>Sizing!DX94</f>
        <v>0.45510664230326536</v>
      </c>
      <c r="AB78" s="272">
        <f t="shared" si="12"/>
        <v>2.8496178914164192</v>
      </c>
      <c r="AC78" s="216">
        <f>Sizing!GJ94</f>
        <v>0.25</v>
      </c>
      <c r="AD78" s="216">
        <f>Sizing!GK94</f>
        <v>1.5748031496062995E-2</v>
      </c>
      <c r="AE78" s="17">
        <f>Sizing!GL94</f>
        <v>1.5748031496062995E-2</v>
      </c>
      <c r="AF78" s="170">
        <f>Sizing!JC94</f>
        <v>3.3006550714747922E-3</v>
      </c>
      <c r="AG78" s="272">
        <f>Sizing!JD94</f>
        <v>5.7451327847794713E-2</v>
      </c>
      <c r="AH78" s="170">
        <f>Sizing!JC94</f>
        <v>3.3006550714747922E-3</v>
      </c>
      <c r="AI78" s="272">
        <f>Sizing!JD94</f>
        <v>5.7451327847794713E-2</v>
      </c>
      <c r="AJ78" s="216">
        <f>Sizing!IT94</f>
        <v>0.25</v>
      </c>
      <c r="AK78" s="216">
        <f>Sizing!IU94</f>
        <v>1.5748031496062995E-2</v>
      </c>
      <c r="AL78" s="17">
        <f>Sizing!IV94</f>
        <v>1.5748031496062995E-2</v>
      </c>
      <c r="AM78" s="170">
        <f t="shared" si="13"/>
        <v>0</v>
      </c>
      <c r="AN78" s="11">
        <f t="shared" si="14"/>
        <v>0.42047445331895533</v>
      </c>
      <c r="AO78" s="11">
        <f t="shared" si="15"/>
        <v>0.42047445331895533</v>
      </c>
      <c r="AP78" s="11">
        <f t="shared" si="16"/>
        <v>0.84094890663791066</v>
      </c>
      <c r="AQ78" s="555">
        <f t="shared" si="17"/>
        <v>13416650.227304421</v>
      </c>
      <c r="AR78" s="311">
        <f t="shared" si="18"/>
        <v>5.5629103228877961</v>
      </c>
      <c r="AS78" s="11">
        <f t="shared" si="19"/>
        <v>1.1860558074908685E-2</v>
      </c>
      <c r="AT78" s="11">
        <f t="shared" si="20"/>
        <v>0.7442714003816876</v>
      </c>
      <c r="AU78" s="11">
        <f t="shared" si="21"/>
        <v>0.75613195845659631</v>
      </c>
      <c r="AV78" s="555">
        <f t="shared" si="22"/>
        <v>12063465.36896906</v>
      </c>
      <c r="AW78" s="138">
        <f t="shared" si="23"/>
        <v>3.9370078740157494E-2</v>
      </c>
      <c r="AX78" s="138">
        <f t="shared" si="24"/>
        <v>3.1496062992125991E-2</v>
      </c>
      <c r="AY78" s="554">
        <f t="shared" si="25"/>
        <v>3.1496062992125991E-2</v>
      </c>
      <c r="AZ78" s="12">
        <f t="shared" si="26"/>
        <v>197.41372928289078</v>
      </c>
      <c r="BA78" s="11">
        <f t="shared" si="27"/>
        <v>69.10037107718928</v>
      </c>
      <c r="BB78">
        <f t="shared" si="28"/>
        <v>88.817920448844745</v>
      </c>
      <c r="BC78" s="555">
        <f t="shared" si="29"/>
        <v>334931312.19754821</v>
      </c>
      <c r="BD78">
        <f t="shared" si="30"/>
        <v>34</v>
      </c>
      <c r="BE78" s="207">
        <f t="shared" si="31"/>
        <v>1.7979003200000001</v>
      </c>
      <c r="BF78" s="207">
        <f>'Inputs-Imperial'!$E$15*BE78</f>
        <v>1.3484252400000001</v>
      </c>
      <c r="BG78" s="207">
        <f>'Inputs-Imperial'!$E$12*BE78</f>
        <v>0.44947508000000003</v>
      </c>
      <c r="BH78">
        <f>'Inputs-Imperial'!$E$11*BE78</f>
        <v>0.32362205760000001</v>
      </c>
      <c r="BI78">
        <f t="shared" si="32"/>
        <v>0.34325302720575523</v>
      </c>
      <c r="BJ78">
        <f>'Weight '!U80+'Weight '!V80 /12</f>
        <v>2.4934383202099744E-2</v>
      </c>
      <c r="BK78">
        <f>('Weight '!AK80+'Weight '!AL80)/12</f>
        <v>2.6246719160104991E-3</v>
      </c>
      <c r="BL78">
        <f>'Weight '!AG80/12</f>
        <v>3.7925553525272111E-2</v>
      </c>
      <c r="BM78">
        <f>'Weight '!AI80/12</f>
        <v>3.7925553525272111E-2</v>
      </c>
      <c r="BN78" s="554">
        <f t="shared" si="33"/>
        <v>0.65868469674721841</v>
      </c>
      <c r="BO78" s="554">
        <f t="shared" si="34"/>
        <v>2.2388489249946959</v>
      </c>
      <c r="BP78">
        <f t="shared" si="35"/>
        <v>3.7925553525272111E-2</v>
      </c>
      <c r="BQ78">
        <f t="shared" si="35"/>
        <v>3.7925553525272111E-2</v>
      </c>
      <c r="BR78">
        <f t="shared" si="36"/>
        <v>0.2477709505494558</v>
      </c>
      <c r="BS78">
        <f t="shared" si="37"/>
        <v>0.10909503767214347</v>
      </c>
      <c r="BT78">
        <f t="shared" si="38"/>
        <v>0.25442732346133934</v>
      </c>
      <c r="BU78">
        <f t="shared" si="39"/>
        <v>4.1310922585962341E-2</v>
      </c>
      <c r="BV78">
        <f t="shared" si="40"/>
        <v>509.00596762390148</v>
      </c>
      <c r="BW78" s="207">
        <f t="shared" si="41"/>
        <v>195.12416077926162</v>
      </c>
      <c r="BX78">
        <f t="shared" si="42"/>
        <v>0.6859828344871356</v>
      </c>
      <c r="BY78" s="575">
        <f t="shared" si="43"/>
        <v>6.3512523851678679</v>
      </c>
      <c r="BZ78">
        <f t="shared" si="44"/>
        <v>506.88888349551218</v>
      </c>
      <c r="CA78" s="207">
        <f t="shared" si="45"/>
        <v>195.93573135038761</v>
      </c>
      <c r="CB78">
        <f t="shared" si="46"/>
        <v>0.68510793628522904</v>
      </c>
      <c r="CC78">
        <f t="shared" si="47"/>
        <v>243.98825097543715</v>
      </c>
      <c r="CD78">
        <f t="shared" si="48"/>
        <v>425.55946650369981</v>
      </c>
      <c r="CE78" s="207">
        <f t="shared" si="49"/>
        <v>227.11283976676611</v>
      </c>
      <c r="CF78">
        <f t="shared" si="50"/>
        <v>0.6514980481687922</v>
      </c>
      <c r="CG78">
        <f t="shared" si="51"/>
        <v>129.32855357315813</v>
      </c>
      <c r="CH78">
        <f t="shared" si="52"/>
        <v>382.44994864598044</v>
      </c>
      <c r="CI78" s="207">
        <f t="shared" ref="CI78" si="170" xml:space="preserve"> ($BQ$38-CH78*($BP78+$BR78+$BQ78+$BN78))/($BP78+$BR78+$BQ78+$BO78)</f>
        <v>243.63859590446503</v>
      </c>
      <c r="CJ78">
        <f t="shared" si="54"/>
        <v>0.63368277141478146</v>
      </c>
      <c r="CK78">
        <f t="shared" si="55"/>
        <v>72.985796110575677</v>
      </c>
      <c r="CL78">
        <f t="shared" si="56"/>
        <v>358.1213499424552</v>
      </c>
      <c r="CM78" s="207">
        <f t="shared" ref="CM78" si="171" xml:space="preserve"> ($BQ$38-CL78*($BP78+$BR78+$BQ78+$BN78))/($BP78+$BR78+$BQ78+$BO78)</f>
        <v>252.96480759333934</v>
      </c>
      <c r="CN78">
        <f t="shared" si="58"/>
        <v>0.62362882647457007</v>
      </c>
      <c r="CO78">
        <f t="shared" si="59"/>
        <v>42.54513596307892</v>
      </c>
      <c r="CP78">
        <f t="shared" si="60"/>
        <v>343.93963795476225</v>
      </c>
      <c r="CQ78" s="207">
        <f t="shared" ref="CQ78" si="172" xml:space="preserve"> ($BQ$38-CP78*($BP78+$BR78+$BQ78+$BN78))/($BP78+$BR78+$BQ78+$BO78)</f>
        <v>258.40127558393942</v>
      </c>
      <c r="CR78">
        <f t="shared" si="62"/>
        <v>0.61776814566760108</v>
      </c>
      <c r="CS78">
        <f t="shared" si="63"/>
        <v>25.251952983293307</v>
      </c>
      <c r="CT78">
        <f t="shared" si="64"/>
        <v>335.52232029366451</v>
      </c>
      <c r="CU78" s="636">
        <f t="shared" si="65"/>
        <v>261.62800011980528</v>
      </c>
      <c r="CV78" s="575">
        <f t="shared" si="66"/>
        <v>0.61428963671851466</v>
      </c>
      <c r="CW78">
        <f t="shared" si="67"/>
        <v>15.145095673773428</v>
      </c>
      <c r="CX78" s="576">
        <f t="shared" si="68"/>
        <v>0.34167057532895628</v>
      </c>
    </row>
    <row r="79" spans="1:102" x14ac:dyDescent="0.25">
      <c r="A79" s="186">
        <v>35</v>
      </c>
      <c r="B79" s="187">
        <f>A79/100*'Inputs-Imperial'!$E$5</f>
        <v>3.4448819999999998</v>
      </c>
      <c r="C79" s="188">
        <f>'Inputs-Imperial'!$E$10+('Inputs-Imperial'!$E$9-'Inputs-Imperial'!$E$10)*(100-A79)/100</f>
        <v>1.7880578</v>
      </c>
      <c r="D79" s="187">
        <f t="shared" si="69"/>
        <v>9.8425199999999435E-2</v>
      </c>
      <c r="E79" s="188">
        <f t="shared" si="70"/>
        <v>0.17647432257631099</v>
      </c>
      <c r="F79" s="423">
        <f>Sizing!F95</f>
        <v>69.403783252742755</v>
      </c>
      <c r="G79" s="423">
        <f>Sizing!G95</f>
        <v>694.03783252742721</v>
      </c>
      <c r="H79" s="423">
        <f>Sizing!H95</f>
        <v>1983.2822594445397</v>
      </c>
      <c r="I79" s="423">
        <f>Sizing!I95</f>
        <v>-574.15016737445126</v>
      </c>
      <c r="J79" s="189">
        <f>Sizing!J95</f>
        <v>198.32822594445403</v>
      </c>
      <c r="K79" s="128">
        <v>35</v>
      </c>
      <c r="L79" s="12">
        <f t="shared" si="11"/>
        <v>41.338583999999997</v>
      </c>
      <c r="M79" s="11">
        <f t="shared" si="11"/>
        <v>21.456693600000001</v>
      </c>
      <c r="N79" s="11">
        <f t="shared" si="11"/>
        <v>1.1811023999999932</v>
      </c>
      <c r="O79" s="152">
        <f t="shared" si="71"/>
        <v>25.412302450988783</v>
      </c>
      <c r="P79" s="170">
        <f t="shared" si="162"/>
        <v>3.8622048480000002</v>
      </c>
      <c r="Q79" s="8">
        <f t="shared" si="163"/>
        <v>1.9311024240000001</v>
      </c>
      <c r="R79" s="170">
        <f>Sizing!X95</f>
        <v>5.3641734000000003</v>
      </c>
      <c r="S79" s="8">
        <f>Sizing!Y95</f>
        <v>16.092520200000003</v>
      </c>
      <c r="T79" s="8">
        <f>Sizing!Z95</f>
        <v>10.728346800000002</v>
      </c>
      <c r="U79" s="17">
        <f>Sizing!CN95</f>
        <v>0.25</v>
      </c>
      <c r="V79" s="17">
        <f>Sizing!CO95</f>
        <v>2.3622047244094495E-2</v>
      </c>
      <c r="W79" s="17">
        <f>Sizing!CP95</f>
        <v>1.5748031496062995E-2</v>
      </c>
      <c r="X79" s="170">
        <f>Sizing!DU95</f>
        <v>0.20712205586855234</v>
      </c>
      <c r="Y79" s="170">
        <f>Sizing!DV95</f>
        <v>0.45510664230326536</v>
      </c>
      <c r="Z79" s="170">
        <f>Sizing!DW95</f>
        <v>0.20712205586855234</v>
      </c>
      <c r="AA79" s="272">
        <f>Sizing!DX95</f>
        <v>0.45510664230326536</v>
      </c>
      <c r="AB79" s="272">
        <f t="shared" si="12"/>
        <v>2.8283580482164199</v>
      </c>
      <c r="AC79" s="216">
        <f>Sizing!GJ95</f>
        <v>0.25</v>
      </c>
      <c r="AD79" s="216">
        <f>Sizing!GK95</f>
        <v>1.5748031496062995E-2</v>
      </c>
      <c r="AE79" s="17">
        <f>Sizing!GL95</f>
        <v>1.5748031496062995E-2</v>
      </c>
      <c r="AF79" s="170">
        <f>Sizing!JC95</f>
        <v>3.3006550714747922E-3</v>
      </c>
      <c r="AG79" s="272">
        <f>Sizing!JD95</f>
        <v>5.7451327847794713E-2</v>
      </c>
      <c r="AH79" s="170">
        <f>Sizing!JC95</f>
        <v>3.3006550714747922E-3</v>
      </c>
      <c r="AI79" s="272">
        <f>Sizing!JD95</f>
        <v>5.7451327847794713E-2</v>
      </c>
      <c r="AJ79" s="216">
        <f>Sizing!IT95</f>
        <v>0.25</v>
      </c>
      <c r="AK79" s="216">
        <f>Sizing!IU95</f>
        <v>1.5748031496062995E-2</v>
      </c>
      <c r="AL79" s="17">
        <f>Sizing!IV95</f>
        <v>1.5748031496062995E-2</v>
      </c>
      <c r="AM79" s="170">
        <f t="shared" si="13"/>
        <v>0</v>
      </c>
      <c r="AN79" s="11">
        <f t="shared" si="14"/>
        <v>0.41422387844486214</v>
      </c>
      <c r="AO79" s="11">
        <f t="shared" si="15"/>
        <v>0.41422387844486214</v>
      </c>
      <c r="AP79" s="11">
        <f t="shared" si="16"/>
        <v>0.82844775688972427</v>
      </c>
      <c r="AQ79" s="555">
        <f t="shared" si="17"/>
        <v>13217204.634014901</v>
      </c>
      <c r="AR79" s="311">
        <f t="shared" si="18"/>
        <v>5.5324564342588483</v>
      </c>
      <c r="AS79" s="11">
        <f t="shared" si="19"/>
        <v>1.1731053406547204E-2</v>
      </c>
      <c r="AT79" s="11">
        <f t="shared" si="20"/>
        <v>0.73614474898226734</v>
      </c>
      <c r="AU79" s="11">
        <f t="shared" si="21"/>
        <v>0.74787580238881457</v>
      </c>
      <c r="AV79" s="555">
        <f t="shared" si="22"/>
        <v>11931745.168955578</v>
      </c>
      <c r="AW79" s="138">
        <f t="shared" si="23"/>
        <v>3.9370078740157494E-2</v>
      </c>
      <c r="AX79" s="138">
        <f t="shared" si="24"/>
        <v>3.1496062992125991E-2</v>
      </c>
      <c r="AY79" s="554">
        <f t="shared" si="25"/>
        <v>3.1496062992125991E-2</v>
      </c>
      <c r="AZ79" s="12">
        <f t="shared" si="26"/>
        <v>195.25818151023847</v>
      </c>
      <c r="BA79" s="11">
        <f t="shared" si="27"/>
        <v>68.722084374211988</v>
      </c>
      <c r="BB79">
        <f t="shared" si="28"/>
        <v>87.367202923047543</v>
      </c>
      <c r="BC79" s="555">
        <f t="shared" si="29"/>
        <v>329460673.81637722</v>
      </c>
      <c r="BD79">
        <f t="shared" si="30"/>
        <v>35</v>
      </c>
      <c r="BE79" s="207">
        <f t="shared" si="31"/>
        <v>1.7880578</v>
      </c>
      <c r="BF79" s="207">
        <f>'Inputs-Imperial'!$E$15*BE79</f>
        <v>1.3410433500000001</v>
      </c>
      <c r="BG79" s="207">
        <f>'Inputs-Imperial'!$E$12*BE79</f>
        <v>0.44701445000000001</v>
      </c>
      <c r="BH79">
        <f>'Inputs-Imperial'!$E$11*BE79</f>
        <v>0.32185040399999998</v>
      </c>
      <c r="BI79">
        <f t="shared" si="32"/>
        <v>0.34137390479404484</v>
      </c>
      <c r="BJ79">
        <f>'Weight '!U81+'Weight '!V81 /12</f>
        <v>2.4934383202099744E-2</v>
      </c>
      <c r="BK79">
        <f>('Weight '!AK81+'Weight '!AL81)/12</f>
        <v>2.6246719160104991E-3</v>
      </c>
      <c r="BL79">
        <f>'Weight '!AG81/12</f>
        <v>3.7925553525272111E-2</v>
      </c>
      <c r="BM79">
        <f>'Weight '!AI81/12</f>
        <v>3.7925553525272111E-2</v>
      </c>
      <c r="BN79" s="554">
        <f t="shared" si="33"/>
        <v>0.6526557336691251</v>
      </c>
      <c r="BO79" s="554">
        <f t="shared" si="34"/>
        <v>2.2290154777347855</v>
      </c>
      <c r="BP79">
        <f t="shared" si="35"/>
        <v>3.7925553525272111E-2</v>
      </c>
      <c r="BQ79">
        <f t="shared" si="35"/>
        <v>3.7925553525272111E-2</v>
      </c>
      <c r="BR79">
        <f t="shared" si="36"/>
        <v>0.24599929694945577</v>
      </c>
      <c r="BS79">
        <f t="shared" si="37"/>
        <v>0.10790383599475334</v>
      </c>
      <c r="BT79">
        <f t="shared" si="38"/>
        <v>0.25164924793244287</v>
      </c>
      <c r="BU79">
        <f t="shared" si="39"/>
        <v>4.0413705207799959E-2</v>
      </c>
      <c r="BV79">
        <f t="shared" si="40"/>
        <v>513.08040111058324</v>
      </c>
      <c r="BW79" s="207">
        <f t="shared" si="41"/>
        <v>196.01187329377015</v>
      </c>
      <c r="BX79">
        <f t="shared" si="42"/>
        <v>0.6825958809067042</v>
      </c>
      <c r="BY79" s="575">
        <f t="shared" si="43"/>
        <v>6.8693359823438982</v>
      </c>
      <c r="BZ79">
        <f t="shared" si="44"/>
        <v>510.79062244980196</v>
      </c>
      <c r="CA79" s="207">
        <f t="shared" si="45"/>
        <v>196.88663639864873</v>
      </c>
      <c r="CB79">
        <f t="shared" si="46"/>
        <v>0.68166146214962631</v>
      </c>
      <c r="CC79">
        <f t="shared" si="47"/>
        <v>245.24622708667169</v>
      </c>
      <c r="CD79">
        <f t="shared" si="48"/>
        <v>429.04188008757808</v>
      </c>
      <c r="CE79" s="207">
        <f t="shared" si="49"/>
        <v>228.11707142431973</v>
      </c>
      <c r="CF79">
        <f t="shared" si="50"/>
        <v>0.64830122539873847</v>
      </c>
      <c r="CG79">
        <f t="shared" si="51"/>
        <v>130.62681444663639</v>
      </c>
      <c r="CH79">
        <f t="shared" si="52"/>
        <v>385.49960860536595</v>
      </c>
      <c r="CI79" s="207">
        <f t="shared" ref="CI79" si="173" xml:space="preserve"> ($BQ$38-CH79*($BP79+$BR79+$BQ79+$BN79))/($BP79+$BR79+$BQ79+$BO79)</f>
        <v>244.75150568105681</v>
      </c>
      <c r="CJ79">
        <f t="shared" si="54"/>
        <v>0.63053238341604811</v>
      </c>
      <c r="CK79">
        <f t="shared" si="55"/>
        <v>74.029013854050419</v>
      </c>
      <c r="CL79">
        <f t="shared" si="56"/>
        <v>360.8232706540158</v>
      </c>
      <c r="CM79" s="207">
        <f t="shared" ref="CM79" si="174" xml:space="preserve"> ($BQ$38-CL79*($BP79+$BR79+$BQ79+$BN79))/($BP79+$BR79+$BQ79+$BO79)</f>
        <v>254.17859589421784</v>
      </c>
      <c r="CN79">
        <f t="shared" si="58"/>
        <v>0.62046240004487441</v>
      </c>
      <c r="CO79">
        <f t="shared" si="59"/>
        <v>43.327748423545799</v>
      </c>
      <c r="CP79">
        <f t="shared" si="60"/>
        <v>346.38068784616718</v>
      </c>
      <c r="CQ79" s="207">
        <f t="shared" ref="CQ79" si="175" xml:space="preserve"> ($BQ$38-CP79*($BP79+$BR79+$BQ79+$BN79))/($BP79+$BR79+$BQ79+$BO79)</f>
        <v>259.69608926414423</v>
      </c>
      <c r="CR79">
        <f t="shared" si="62"/>
        <v>0.61456863375756854</v>
      </c>
      <c r="CS79">
        <f t="shared" si="63"/>
        <v>25.820007772412858</v>
      </c>
      <c r="CT79">
        <f t="shared" si="64"/>
        <v>337.77401858869621</v>
      </c>
      <c r="CU79" s="636">
        <f t="shared" si="65"/>
        <v>262.98409122314553</v>
      </c>
      <c r="CV79" s="575">
        <f t="shared" si="66"/>
        <v>0.61105640206116385</v>
      </c>
      <c r="CW79">
        <f t="shared" si="67"/>
        <v>15.548648664037271</v>
      </c>
      <c r="CX79" s="576">
        <f t="shared" si="68"/>
        <v>0.34174309245549211</v>
      </c>
    </row>
    <row r="80" spans="1:102" x14ac:dyDescent="0.25">
      <c r="A80" s="186">
        <v>36</v>
      </c>
      <c r="B80" s="187">
        <f>A80/100*'Inputs-Imperial'!$E$5</f>
        <v>3.5433072000000001</v>
      </c>
      <c r="C80" s="188">
        <f>'Inputs-Imperial'!$E$10+('Inputs-Imperial'!$E$9-'Inputs-Imperial'!$E$10)*(100-A80)/100</f>
        <v>1.77821528</v>
      </c>
      <c r="D80" s="187">
        <f t="shared" si="69"/>
        <v>9.8425200000000324E-2</v>
      </c>
      <c r="E80" s="188">
        <f t="shared" si="70"/>
        <v>0.1755055705768086</v>
      </c>
      <c r="F80" s="423">
        <f>Sizing!F96</f>
        <v>68.023435345120873</v>
      </c>
      <c r="G80" s="423">
        <f>Sizing!G96</f>
        <v>680.23435345120834</v>
      </c>
      <c r="H80" s="423">
        <f>Sizing!H96</f>
        <v>1914.9714469704609</v>
      </c>
      <c r="I80" s="423">
        <f>Sizing!I96</f>
        <v>-560.00330511864775</v>
      </c>
      <c r="J80" s="189">
        <f>Sizing!J96</f>
        <v>191.49714469704617</v>
      </c>
      <c r="K80" s="128">
        <v>36</v>
      </c>
      <c r="L80" s="12">
        <f t="shared" si="11"/>
        <v>42.519686399999998</v>
      </c>
      <c r="M80" s="11">
        <f t="shared" si="11"/>
        <v>21.338583360000001</v>
      </c>
      <c r="N80" s="11">
        <f t="shared" si="11"/>
        <v>1.1811024000000039</v>
      </c>
      <c r="O80" s="152">
        <f t="shared" si="71"/>
        <v>25.27280216306044</v>
      </c>
      <c r="P80" s="170">
        <f t="shared" si="162"/>
        <v>3.8409450048</v>
      </c>
      <c r="Q80" s="8">
        <f t="shared" si="163"/>
        <v>1.9204725024</v>
      </c>
      <c r="R80" s="170">
        <f>Sizing!X96</f>
        <v>5.3346458400000003</v>
      </c>
      <c r="S80" s="8">
        <f>Sizing!Y96</f>
        <v>16.003937520000001</v>
      </c>
      <c r="T80" s="8">
        <f>Sizing!Z96</f>
        <v>10.669291680000001</v>
      </c>
      <c r="U80" s="17">
        <f>Sizing!CN96</f>
        <v>0.25</v>
      </c>
      <c r="V80" s="17">
        <f>Sizing!CO96</f>
        <v>2.3622047244094495E-2</v>
      </c>
      <c r="W80" s="17">
        <f>Sizing!CP96</f>
        <v>1.5748031496062995E-2</v>
      </c>
      <c r="X80" s="170">
        <f>Sizing!DU96</f>
        <v>0.20712205586855234</v>
      </c>
      <c r="Y80" s="170">
        <f>Sizing!DV96</f>
        <v>0.45510664230326536</v>
      </c>
      <c r="Z80" s="170">
        <f>Sizing!DW96</f>
        <v>0.20712205586855234</v>
      </c>
      <c r="AA80" s="272">
        <f>Sizing!DX96</f>
        <v>0.45510664230326536</v>
      </c>
      <c r="AB80" s="272">
        <f t="shared" si="12"/>
        <v>2.8070982050164197</v>
      </c>
      <c r="AC80" s="216">
        <f>Sizing!GJ96</f>
        <v>0.25</v>
      </c>
      <c r="AD80" s="216">
        <f>Sizing!GK96</f>
        <v>1.5748031496062995E-2</v>
      </c>
      <c r="AE80" s="17">
        <f>Sizing!GL96</f>
        <v>1.5748031496062995E-2</v>
      </c>
      <c r="AF80" s="170">
        <f>Sizing!JC96</f>
        <v>3.3006550714747922E-3</v>
      </c>
      <c r="AG80" s="272">
        <f>Sizing!JD96</f>
        <v>5.7451327847794713E-2</v>
      </c>
      <c r="AH80" s="170">
        <f>Sizing!JC96</f>
        <v>3.3006550714747922E-3</v>
      </c>
      <c r="AI80" s="272">
        <f>Sizing!JD96</f>
        <v>5.7451327847794713E-2</v>
      </c>
      <c r="AJ80" s="216">
        <f>Sizing!IT96</f>
        <v>0.25</v>
      </c>
      <c r="AK80" s="216">
        <f>Sizing!IU96</f>
        <v>1.5748031496062995E-2</v>
      </c>
      <c r="AL80" s="17">
        <f>Sizing!IV96</f>
        <v>1.5748031496062995E-2</v>
      </c>
      <c r="AM80" s="170">
        <f t="shared" si="13"/>
        <v>0</v>
      </c>
      <c r="AN80" s="11">
        <f t="shared" si="14"/>
        <v>0.40802011118078535</v>
      </c>
      <c r="AO80" s="11">
        <f t="shared" si="15"/>
        <v>0.40802011118078535</v>
      </c>
      <c r="AP80" s="11">
        <f t="shared" si="16"/>
        <v>0.8160402223615707</v>
      </c>
      <c r="AQ80" s="555">
        <f t="shared" si="17"/>
        <v>13019252.594796523</v>
      </c>
      <c r="AR80" s="311">
        <f t="shared" si="18"/>
        <v>5.5020025456299013</v>
      </c>
      <c r="AS80" s="11">
        <f t="shared" si="19"/>
        <v>1.1602259651278405E-2</v>
      </c>
      <c r="AT80" s="11">
        <f t="shared" si="20"/>
        <v>0.72806270866097678</v>
      </c>
      <c r="AU80" s="11">
        <f t="shared" si="21"/>
        <v>0.73966496831225514</v>
      </c>
      <c r="AV80" s="555">
        <f t="shared" si="22"/>
        <v>11800748.044148015</v>
      </c>
      <c r="AW80" s="138">
        <f t="shared" si="23"/>
        <v>3.9370078740157494E-2</v>
      </c>
      <c r="AX80" s="138">
        <f t="shared" si="24"/>
        <v>3.1496062992125991E-2</v>
      </c>
      <c r="AY80" s="554">
        <f t="shared" si="25"/>
        <v>3.1496062992125991E-2</v>
      </c>
      <c r="AZ80" s="12">
        <f t="shared" si="26"/>
        <v>193.11446657073876</v>
      </c>
      <c r="BA80" s="11">
        <f t="shared" si="27"/>
        <v>68.34379767123464</v>
      </c>
      <c r="BB80">
        <f t="shared" si="28"/>
        <v>85.932369006232221</v>
      </c>
      <c r="BC80" s="555">
        <f t="shared" si="29"/>
        <v>324049932.33407366</v>
      </c>
      <c r="BD80">
        <f t="shared" si="30"/>
        <v>36</v>
      </c>
      <c r="BE80" s="207">
        <f t="shared" si="31"/>
        <v>1.77821528</v>
      </c>
      <c r="BF80" s="207">
        <f>'Inputs-Imperial'!$E$15*BE80</f>
        <v>1.3336614600000001</v>
      </c>
      <c r="BG80" s="207">
        <f>'Inputs-Imperial'!$E$12*BE80</f>
        <v>0.44455381999999999</v>
      </c>
      <c r="BH80">
        <f>'Inputs-Imperial'!$E$11*BE80</f>
        <v>0.3200787504</v>
      </c>
      <c r="BI80">
        <f t="shared" si="32"/>
        <v>0.33949478238233455</v>
      </c>
      <c r="BJ80">
        <f>'Weight '!U82+'Weight '!V82 /12</f>
        <v>2.4934383202099744E-2</v>
      </c>
      <c r="BK80">
        <f>('Weight '!AK82+'Weight '!AL82)/12</f>
        <v>2.6246719160104991E-3</v>
      </c>
      <c r="BL80">
        <f>'Weight '!AG82/12</f>
        <v>3.7925553525272111E-2</v>
      </c>
      <c r="BM80">
        <f>'Weight '!AI82/12</f>
        <v>3.7925553525272111E-2</v>
      </c>
      <c r="BN80" s="554">
        <f t="shared" si="33"/>
        <v>0.64664052883675327</v>
      </c>
      <c r="BO80" s="554">
        <f t="shared" si="34"/>
        <v>2.2191682722291546</v>
      </c>
      <c r="BP80">
        <f t="shared" si="35"/>
        <v>3.7925553525272111E-2</v>
      </c>
      <c r="BQ80">
        <f t="shared" si="35"/>
        <v>3.7925553525272111E-2</v>
      </c>
      <c r="BR80">
        <f t="shared" si="36"/>
        <v>0.24422764334945579</v>
      </c>
      <c r="BS80">
        <f t="shared" si="37"/>
        <v>0.10671917339335989</v>
      </c>
      <c r="BT80">
        <f t="shared" si="38"/>
        <v>0.24888642258943233</v>
      </c>
      <c r="BU80">
        <f t="shared" si="39"/>
        <v>3.9531182559725729E-2</v>
      </c>
      <c r="BV80">
        <f t="shared" si="40"/>
        <v>517.21322905110708</v>
      </c>
      <c r="BW80" s="207">
        <f t="shared" si="41"/>
        <v>196.90876686833579</v>
      </c>
      <c r="BX80">
        <f t="shared" si="42"/>
        <v>0.67920802942017611</v>
      </c>
      <c r="BY80" s="575">
        <f t="shared" si="43"/>
        <v>7.3918369814562368</v>
      </c>
      <c r="BZ80">
        <f t="shared" si="44"/>
        <v>514.74928339062171</v>
      </c>
      <c r="CA80" s="207">
        <f t="shared" si="45"/>
        <v>197.84681809051136</v>
      </c>
      <c r="CB80">
        <f t="shared" si="46"/>
        <v>0.6782151925060439</v>
      </c>
      <c r="CC80">
        <f t="shared" si="47"/>
        <v>246.52062369451619</v>
      </c>
      <c r="CD80">
        <f t="shared" si="48"/>
        <v>432.57574215911632</v>
      </c>
      <c r="CE80" s="207">
        <f t="shared" si="49"/>
        <v>229.13118934061569</v>
      </c>
      <c r="CF80">
        <f t="shared" si="50"/>
        <v>0.64510369722918481</v>
      </c>
      <c r="CG80">
        <f t="shared" si="51"/>
        <v>131.93958053792537</v>
      </c>
      <c r="CH80">
        <f t="shared" si="52"/>
        <v>388.59588197980787</v>
      </c>
      <c r="CI80" s="207">
        <f t="shared" ref="CI80" si="176" xml:space="preserve"> ($BQ$38-CH80*($BP80+$BR80+$BQ80+$BN80))/($BP80+$BR80+$BQ80+$BO80)</f>
        <v>245.87480599334</v>
      </c>
      <c r="CJ80">
        <f t="shared" si="54"/>
        <v>0.62738219088079128</v>
      </c>
      <c r="CK80">
        <f t="shared" si="55"/>
        <v>75.086252836803183</v>
      </c>
      <c r="CL80">
        <f t="shared" si="56"/>
        <v>363.5671310342068</v>
      </c>
      <c r="CM80" s="207">
        <f t="shared" ref="CM80" si="177" xml:space="preserve"> ($BQ$38-CL80*($BP80+$BR80+$BQ80+$BN80))/($BP80+$BR80+$BQ80+$BO80)</f>
        <v>255.40352685377655</v>
      </c>
      <c r="CN80">
        <f t="shared" si="58"/>
        <v>0.61729695716321098</v>
      </c>
      <c r="CO80">
        <f t="shared" si="59"/>
        <v>44.123202346487361</v>
      </c>
      <c r="CP80">
        <f t="shared" si="60"/>
        <v>348.85939691871101</v>
      </c>
      <c r="CQ80" s="207">
        <f t="shared" ref="CQ80" si="178" xml:space="preserve"> ($BQ$38-CP80*($BP80+$BR80+$BQ80+$BN80))/($BP80+$BR80+$BQ80+$BO80)</f>
        <v>261.00292305140061</v>
      </c>
      <c r="CR80">
        <f t="shared" si="62"/>
        <v>0.61137053533204588</v>
      </c>
      <c r="CS80">
        <f t="shared" si="63"/>
        <v>26.399264986024761</v>
      </c>
      <c r="CT80">
        <f t="shared" si="64"/>
        <v>340.05964192336944</v>
      </c>
      <c r="CU80" s="636">
        <f t="shared" si="65"/>
        <v>264.35308659624093</v>
      </c>
      <c r="CV80" s="575">
        <f t="shared" si="66"/>
        <v>0.60782470973418223</v>
      </c>
      <c r="CW80">
        <f t="shared" si="67"/>
        <v>15.961598370359743</v>
      </c>
      <c r="CX80" s="576">
        <f t="shared" si="68"/>
        <v>0.34181727970202924</v>
      </c>
    </row>
    <row r="81" spans="1:102" x14ac:dyDescent="0.25">
      <c r="A81" s="186">
        <v>37</v>
      </c>
      <c r="B81" s="187">
        <f>A81/100*'Inputs-Imperial'!$E$5</f>
        <v>3.6417324</v>
      </c>
      <c r="C81" s="188">
        <f>'Inputs-Imperial'!$E$10+('Inputs-Imperial'!$E$9-'Inputs-Imperial'!$E$10)*(100-A81)/100</f>
        <v>1.7683727600000001</v>
      </c>
      <c r="D81" s="187">
        <f t="shared" si="69"/>
        <v>9.8425199999999879E-2</v>
      </c>
      <c r="E81" s="188">
        <f t="shared" si="70"/>
        <v>0.1745368185773038</v>
      </c>
      <c r="F81" s="423">
        <f>Sizing!F97</f>
        <v>66.649702444538946</v>
      </c>
      <c r="G81" s="423">
        <f>Sizing!G97</f>
        <v>666.49702444538912</v>
      </c>
      <c r="H81" s="423">
        <f>Sizing!H97</f>
        <v>1848.0192446851552</v>
      </c>
      <c r="I81" s="423">
        <f>Sizing!I97</f>
        <v>-545.99235603489478</v>
      </c>
      <c r="J81" s="189">
        <f>Sizing!J97</f>
        <v>184.80192446851558</v>
      </c>
      <c r="K81" s="128">
        <v>37</v>
      </c>
      <c r="L81" s="12">
        <f t="shared" si="11"/>
        <v>43.700788799999998</v>
      </c>
      <c r="M81" s="11">
        <f t="shared" si="11"/>
        <v>21.220473120000001</v>
      </c>
      <c r="N81" s="11">
        <f t="shared" si="11"/>
        <v>1.1811023999999986</v>
      </c>
      <c r="O81" s="152">
        <f t="shared" si="71"/>
        <v>25.13330187513175</v>
      </c>
      <c r="P81" s="170">
        <f t="shared" si="162"/>
        <v>3.8196851616000003</v>
      </c>
      <c r="Q81" s="8">
        <f t="shared" si="163"/>
        <v>1.9098425808000001</v>
      </c>
      <c r="R81" s="170">
        <f>Sizing!X97</f>
        <v>5.3051182800000003</v>
      </c>
      <c r="S81" s="8">
        <f>Sizing!Y97</f>
        <v>15.915354840000001</v>
      </c>
      <c r="T81" s="8">
        <f>Sizing!Z97</f>
        <v>10.610236560000001</v>
      </c>
      <c r="U81" s="17">
        <f>Sizing!CN97</f>
        <v>0.25</v>
      </c>
      <c r="V81" s="17">
        <f>Sizing!CO97</f>
        <v>2.3622047244094495E-2</v>
      </c>
      <c r="W81" s="17">
        <f>Sizing!CP97</f>
        <v>1.5748031496062995E-2</v>
      </c>
      <c r="X81" s="170">
        <f>Sizing!DU97</f>
        <v>0.20712205586855234</v>
      </c>
      <c r="Y81" s="170">
        <f>Sizing!DV97</f>
        <v>0.45510664230326536</v>
      </c>
      <c r="Z81" s="170">
        <f>Sizing!DW97</f>
        <v>0.20712205586855234</v>
      </c>
      <c r="AA81" s="272">
        <f>Sizing!DX97</f>
        <v>0.45510664230326536</v>
      </c>
      <c r="AB81" s="272">
        <f t="shared" si="12"/>
        <v>2.7858383618164195</v>
      </c>
      <c r="AC81" s="216">
        <f>Sizing!GJ97</f>
        <v>0.25</v>
      </c>
      <c r="AD81" s="216">
        <f>Sizing!GK97</f>
        <v>1.5748031496062995E-2</v>
      </c>
      <c r="AE81" s="17">
        <f>Sizing!GL97</f>
        <v>1.5748031496062995E-2</v>
      </c>
      <c r="AF81" s="170">
        <f>Sizing!JC97</f>
        <v>3.3006550714747922E-3</v>
      </c>
      <c r="AG81" s="272">
        <f>Sizing!JD97</f>
        <v>5.7451327847794713E-2</v>
      </c>
      <c r="AH81" s="170">
        <f>Sizing!JC97</f>
        <v>3.3006550714747922E-3</v>
      </c>
      <c r="AI81" s="272">
        <f>Sizing!JD97</f>
        <v>5.7451327847794713E-2</v>
      </c>
      <c r="AJ81" s="216">
        <f>Sizing!IT97</f>
        <v>0.25</v>
      </c>
      <c r="AK81" s="216">
        <f>Sizing!IU97</f>
        <v>1.5748031496062995E-2</v>
      </c>
      <c r="AL81" s="17">
        <f>Sizing!IV97</f>
        <v>1.5748031496062995E-2</v>
      </c>
      <c r="AM81" s="170">
        <f t="shared" si="13"/>
        <v>0</v>
      </c>
      <c r="AN81" s="11">
        <f t="shared" si="14"/>
        <v>0.40186315152672508</v>
      </c>
      <c r="AO81" s="11">
        <f t="shared" si="15"/>
        <v>0.40186315152672508</v>
      </c>
      <c r="AP81" s="11">
        <f t="shared" si="16"/>
        <v>0.80372630305345016</v>
      </c>
      <c r="AQ81" s="555">
        <f t="shared" si="17"/>
        <v>12822794.109649293</v>
      </c>
      <c r="AR81" s="311">
        <f t="shared" si="18"/>
        <v>5.4715486570009526</v>
      </c>
      <c r="AS81" s="11">
        <f t="shared" si="19"/>
        <v>1.147417680910192E-2</v>
      </c>
      <c r="AT81" s="11">
        <f t="shared" si="20"/>
        <v>0.72002527941781713</v>
      </c>
      <c r="AU81" s="11">
        <f t="shared" si="21"/>
        <v>0.73149945622691903</v>
      </c>
      <c r="AV81" s="555">
        <f t="shared" si="22"/>
        <v>11670473.994546387</v>
      </c>
      <c r="AW81" s="138">
        <f t="shared" si="23"/>
        <v>3.9370078740157494E-2</v>
      </c>
      <c r="AX81" s="138">
        <f t="shared" si="24"/>
        <v>3.1496062992125991E-2</v>
      </c>
      <c r="AY81" s="554">
        <f t="shared" si="25"/>
        <v>3.1496062992125991E-2</v>
      </c>
      <c r="AZ81" s="12">
        <f t="shared" si="26"/>
        <v>190.98258446439181</v>
      </c>
      <c r="BA81" s="11">
        <f t="shared" si="27"/>
        <v>67.965510968257348</v>
      </c>
      <c r="BB81">
        <f t="shared" si="28"/>
        <v>84.513331265688763</v>
      </c>
      <c r="BC81" s="555">
        <f t="shared" si="29"/>
        <v>318698758.04293716</v>
      </c>
      <c r="BD81">
        <f t="shared" si="30"/>
        <v>37</v>
      </c>
      <c r="BE81" s="207">
        <f t="shared" si="31"/>
        <v>1.7683727600000001</v>
      </c>
      <c r="BF81" s="207">
        <f>'Inputs-Imperial'!$E$15*BE81</f>
        <v>1.3262795700000001</v>
      </c>
      <c r="BG81" s="207">
        <f>'Inputs-Imperial'!$E$12*BE81</f>
        <v>0.44209319000000002</v>
      </c>
      <c r="BH81">
        <f>'Inputs-Imperial'!$E$11*BE81</f>
        <v>0.31830709680000002</v>
      </c>
      <c r="BI81">
        <f t="shared" si="32"/>
        <v>0.3376156599706242</v>
      </c>
      <c r="BJ81">
        <f>'Weight '!U83+'Weight '!V83 /12</f>
        <v>2.4934383202099744E-2</v>
      </c>
      <c r="BK81">
        <f>('Weight '!AK83+'Weight '!AL83)/12</f>
        <v>2.6246719160104991E-3</v>
      </c>
      <c r="BL81">
        <f>'Weight '!AG83/12</f>
        <v>3.7925553525272111E-2</v>
      </c>
      <c r="BM81">
        <f>'Weight '!AI83/12</f>
        <v>3.7925553525272111E-2</v>
      </c>
      <c r="BN81" s="554">
        <f t="shared" si="33"/>
        <v>0.64063925322721493</v>
      </c>
      <c r="BO81" s="554">
        <f t="shared" si="34"/>
        <v>2.2093071375006899</v>
      </c>
      <c r="BP81">
        <f t="shared" si="35"/>
        <v>3.7925553525272111E-2</v>
      </c>
      <c r="BQ81">
        <f t="shared" si="35"/>
        <v>3.7925553525272111E-2</v>
      </c>
      <c r="BR81">
        <f t="shared" si="36"/>
        <v>0.24245598974945581</v>
      </c>
      <c r="BS81">
        <f t="shared" si="37"/>
        <v>0.1055410498679631</v>
      </c>
      <c r="BT81">
        <f t="shared" si="38"/>
        <v>0.24613884743230779</v>
      </c>
      <c r="BU81">
        <f t="shared" si="39"/>
        <v>3.8663193310966702E-2</v>
      </c>
      <c r="BV81">
        <f t="shared" si="40"/>
        <v>521.40560312452305</v>
      </c>
      <c r="BW81" s="207">
        <f t="shared" si="41"/>
        <v>197.814996139367</v>
      </c>
      <c r="BX81">
        <f t="shared" si="42"/>
        <v>0.67581926421246097</v>
      </c>
      <c r="BY81" s="575">
        <f t="shared" si="43"/>
        <v>7.9188064576454735</v>
      </c>
      <c r="BZ81">
        <f t="shared" si="44"/>
        <v>518.76600097197456</v>
      </c>
      <c r="CA81" s="207">
        <f t="shared" si="45"/>
        <v>198.81642935467355</v>
      </c>
      <c r="CB81">
        <f t="shared" si="46"/>
        <v>0.67476910821284153</v>
      </c>
      <c r="CC81">
        <f t="shared" si="47"/>
        <v>247.81167291998275</v>
      </c>
      <c r="CD81">
        <f t="shared" si="48"/>
        <v>436.162109998647</v>
      </c>
      <c r="CE81" s="207">
        <f t="shared" si="49"/>
        <v>230.15534914392458</v>
      </c>
      <c r="CF81">
        <f t="shared" si="50"/>
        <v>0.64190545426643453</v>
      </c>
      <c r="CG81">
        <f t="shared" si="51"/>
        <v>133.26708911873015</v>
      </c>
      <c r="CH81">
        <f t="shared" si="52"/>
        <v>391.73974695907026</v>
      </c>
      <c r="CI81" s="207">
        <f t="shared" ref="CI81" si="179" xml:space="preserve"> ($BQ$38-CH81*($BP81+$BR81+$BQ81+$BN81))/($BP81+$BR81+$BQ81+$BO81)</f>
        <v>247.00865781670618</v>
      </c>
      <c r="CJ81">
        <f t="shared" si="54"/>
        <v>0.6242321806565303</v>
      </c>
      <c r="CK81">
        <f t="shared" si="55"/>
        <v>76.157737991281266</v>
      </c>
      <c r="CL81">
        <f t="shared" si="56"/>
        <v>366.35383429530987</v>
      </c>
      <c r="CM81" s="207">
        <f t="shared" ref="CM81" si="180" xml:space="preserve"> ($BQ$38-CL81*($BP81+$BR81+$BQ81+$BN81))/($BP81+$BR81+$BQ81+$BO81)</f>
        <v>256.63976685251907</v>
      </c>
      <c r="CN81">
        <f t="shared" si="58"/>
        <v>0.61413248875261117</v>
      </c>
      <c r="CO81">
        <f t="shared" si="59"/>
        <v>44.931714995410076</v>
      </c>
      <c r="CP81">
        <f t="shared" si="60"/>
        <v>351.37659596350653</v>
      </c>
      <c r="CQ81" s="207">
        <f t="shared" ref="CQ81" si="181" xml:space="preserve"> ($BQ$38-CP81*($BP81+$BR81+$BQ81+$BN81))/($BP81+$BR81+$BQ81+$BO81)</f>
        <v>262.32195040603278</v>
      </c>
      <c r="CR81">
        <f t="shared" si="62"/>
        <v>0.60817384961576737</v>
      </c>
      <c r="CS81">
        <f t="shared" si="63"/>
        <v>26.989934026181373</v>
      </c>
      <c r="CT81">
        <f t="shared" si="64"/>
        <v>342.37995128811275</v>
      </c>
      <c r="CU81" s="636">
        <f t="shared" si="65"/>
        <v>265.73516886986511</v>
      </c>
      <c r="CV81" s="575">
        <f t="shared" si="66"/>
        <v>0.60459456764966246</v>
      </c>
      <c r="CW81">
        <f t="shared" si="67"/>
        <v>16.384143264443932</v>
      </c>
      <c r="CX81" s="576">
        <f t="shared" si="68"/>
        <v>0.34189316942976572</v>
      </c>
    </row>
    <row r="82" spans="1:102" x14ac:dyDescent="0.25">
      <c r="A82" s="186">
        <v>38</v>
      </c>
      <c r="B82" s="187">
        <f>A82/100*'Inputs-Imperial'!$E$5</f>
        <v>3.7401576000000003</v>
      </c>
      <c r="C82" s="188">
        <f>'Inputs-Imperial'!$E$10+('Inputs-Imperial'!$E$9-'Inputs-Imperial'!$E$10)*(100-A82)/100</f>
        <v>1.75853024</v>
      </c>
      <c r="D82" s="187">
        <f t="shared" si="69"/>
        <v>9.8425200000000324E-2</v>
      </c>
      <c r="E82" s="188">
        <f t="shared" si="70"/>
        <v>0.17356806657780058</v>
      </c>
      <c r="F82" s="423">
        <f>Sizing!F98</f>
        <v>65.282680199088574</v>
      </c>
      <c r="G82" s="423">
        <f>Sizing!G98</f>
        <v>652.82680199088543</v>
      </c>
      <c r="H82" s="423">
        <f>Sizing!H98</f>
        <v>1782.4191417547127</v>
      </c>
      <c r="I82" s="423">
        <f>Sizing!I98</f>
        <v>-532.11861416717909</v>
      </c>
      <c r="J82" s="189">
        <f>Sizing!J98</f>
        <v>178.24191417547132</v>
      </c>
      <c r="K82" s="128">
        <v>38</v>
      </c>
      <c r="L82" s="12">
        <f t="shared" si="11"/>
        <v>44.881891200000005</v>
      </c>
      <c r="M82" s="11">
        <f t="shared" si="11"/>
        <v>21.102362880000001</v>
      </c>
      <c r="N82" s="11">
        <f t="shared" si="11"/>
        <v>1.1811024000000039</v>
      </c>
      <c r="O82" s="152">
        <f t="shared" si="71"/>
        <v>24.993801587203286</v>
      </c>
      <c r="P82" s="170">
        <f t="shared" si="162"/>
        <v>3.7984253184000001</v>
      </c>
      <c r="Q82" s="8">
        <f t="shared" si="163"/>
        <v>1.8992126592</v>
      </c>
      <c r="R82" s="170">
        <f>Sizing!X98</f>
        <v>5.2755907200000003</v>
      </c>
      <c r="S82" s="8">
        <f>Sizing!Y98</f>
        <v>15.826772160000001</v>
      </c>
      <c r="T82" s="8">
        <f>Sizing!Z98</f>
        <v>10.551181440000001</v>
      </c>
      <c r="U82" s="17">
        <f>Sizing!CN98</f>
        <v>0.25</v>
      </c>
      <c r="V82" s="17">
        <f>Sizing!CO98</f>
        <v>2.3622047244094495E-2</v>
      </c>
      <c r="W82" s="17">
        <f>Sizing!CP98</f>
        <v>1.5748031496062995E-2</v>
      </c>
      <c r="X82" s="170">
        <f>Sizing!DU98</f>
        <v>0.20712205586855234</v>
      </c>
      <c r="Y82" s="170">
        <f>Sizing!DV98</f>
        <v>0.45510664230326536</v>
      </c>
      <c r="Z82" s="170">
        <f>Sizing!DW98</f>
        <v>0.20712205586855234</v>
      </c>
      <c r="AA82" s="272">
        <f>Sizing!DX98</f>
        <v>0.45510664230326536</v>
      </c>
      <c r="AB82" s="272">
        <f t="shared" si="12"/>
        <v>2.7645785186164193</v>
      </c>
      <c r="AC82" s="216">
        <f>Sizing!GJ98</f>
        <v>0.25</v>
      </c>
      <c r="AD82" s="216">
        <f>Sizing!GK98</f>
        <v>1.5748031496062995E-2</v>
      </c>
      <c r="AE82" s="17">
        <f>Sizing!GL98</f>
        <v>1.5748031496062995E-2</v>
      </c>
      <c r="AF82" s="170">
        <f>Sizing!JC98</f>
        <v>3.3006550714747922E-3</v>
      </c>
      <c r="AG82" s="272">
        <f>Sizing!JD98</f>
        <v>5.7451327847794713E-2</v>
      </c>
      <c r="AH82" s="170">
        <f>Sizing!JC98</f>
        <v>3.3006550714747922E-3</v>
      </c>
      <c r="AI82" s="272">
        <f>Sizing!JD98</f>
        <v>5.7451327847794713E-2</v>
      </c>
      <c r="AJ82" s="216">
        <f>Sizing!IT98</f>
        <v>0.25</v>
      </c>
      <c r="AK82" s="216">
        <f>Sizing!IU98</f>
        <v>1.5748031496062995E-2</v>
      </c>
      <c r="AL82" s="17">
        <f>Sizing!IV98</f>
        <v>1.5748031496062995E-2</v>
      </c>
      <c r="AM82" s="170">
        <f t="shared" si="13"/>
        <v>0</v>
      </c>
      <c r="AN82" s="11">
        <f t="shared" si="14"/>
        <v>0.39575299948268156</v>
      </c>
      <c r="AO82" s="11">
        <f t="shared" si="15"/>
        <v>0.39575299948268156</v>
      </c>
      <c r="AP82" s="11">
        <f t="shared" si="16"/>
        <v>0.79150599896536311</v>
      </c>
      <c r="AQ82" s="555">
        <f t="shared" si="17"/>
        <v>12627829.178573217</v>
      </c>
      <c r="AR82" s="311">
        <f t="shared" si="18"/>
        <v>5.4410947683720048</v>
      </c>
      <c r="AS82" s="11">
        <f t="shared" si="19"/>
        <v>1.1346804880018119E-2</v>
      </c>
      <c r="AT82" s="11">
        <f t="shared" si="20"/>
        <v>0.71203246125278818</v>
      </c>
      <c r="AU82" s="11">
        <f t="shared" si="21"/>
        <v>0.72337926613280634</v>
      </c>
      <c r="AV82" s="555">
        <f t="shared" si="22"/>
        <v>11540923.020150697</v>
      </c>
      <c r="AW82" s="138">
        <f t="shared" si="23"/>
        <v>3.9370078740157494E-2</v>
      </c>
      <c r="AX82" s="138">
        <f t="shared" si="24"/>
        <v>3.1496062992125991E-2</v>
      </c>
      <c r="AY82" s="554">
        <f t="shared" si="25"/>
        <v>3.1496062992125991E-2</v>
      </c>
      <c r="AZ82" s="12">
        <f t="shared" si="26"/>
        <v>188.86253519119757</v>
      </c>
      <c r="BA82" s="11">
        <f t="shared" si="27"/>
        <v>67.587224265280028</v>
      </c>
      <c r="BB82">
        <f t="shared" si="28"/>
        <v>83.110002268707234</v>
      </c>
      <c r="BC82" s="555">
        <f t="shared" si="29"/>
        <v>313406821.23526782</v>
      </c>
      <c r="BD82">
        <f t="shared" si="30"/>
        <v>38</v>
      </c>
      <c r="BE82" s="207">
        <f t="shared" si="31"/>
        <v>1.75853024</v>
      </c>
      <c r="BF82" s="207">
        <f>'Inputs-Imperial'!$E$15*BE82</f>
        <v>1.3188976800000001</v>
      </c>
      <c r="BG82" s="207">
        <f>'Inputs-Imperial'!$E$12*BE82</f>
        <v>0.43963256000000001</v>
      </c>
      <c r="BH82">
        <f>'Inputs-Imperial'!$E$11*BE82</f>
        <v>0.31653544319999999</v>
      </c>
      <c r="BI82">
        <f t="shared" si="32"/>
        <v>0.33573653755891386</v>
      </c>
      <c r="BJ82">
        <f>'Weight '!U84+'Weight '!V84 /12</f>
        <v>2.4934383202099744E-2</v>
      </c>
      <c r="BK82">
        <f>('Weight '!AK84+'Weight '!AL84)/12</f>
        <v>2.6246719160104991E-3</v>
      </c>
      <c r="BL82">
        <f>'Weight '!AG84/12</f>
        <v>3.7925553525272111E-2</v>
      </c>
      <c r="BM82">
        <f>'Weight '!AI84/12</f>
        <v>3.7925553525272111E-2</v>
      </c>
      <c r="BN82" s="554">
        <f t="shared" si="33"/>
        <v>0.63465207926007972</v>
      </c>
      <c r="BO82" s="554">
        <f t="shared" si="34"/>
        <v>2.1994319011298211</v>
      </c>
      <c r="BP82">
        <f t="shared" si="35"/>
        <v>3.7925553525272111E-2</v>
      </c>
      <c r="BQ82">
        <f t="shared" si="35"/>
        <v>3.7925553525272111E-2</v>
      </c>
      <c r="BR82">
        <f t="shared" si="36"/>
        <v>0.24068433614945578</v>
      </c>
      <c r="BS82">
        <f t="shared" si="37"/>
        <v>0.10436946541856293</v>
      </c>
      <c r="BT82">
        <f t="shared" si="38"/>
        <v>0.24340652246106928</v>
      </c>
      <c r="BU82">
        <f t="shared" si="39"/>
        <v>3.7809577021260247E-2</v>
      </c>
      <c r="BV82">
        <f t="shared" si="40"/>
        <v>525.65870366637876</v>
      </c>
      <c r="BW82" s="207">
        <f t="shared" si="41"/>
        <v>198.73071927059735</v>
      </c>
      <c r="BX82">
        <f t="shared" si="42"/>
        <v>0.67242956922086328</v>
      </c>
      <c r="BY82" s="575">
        <f t="shared" si="43"/>
        <v>8.4502962801308854</v>
      </c>
      <c r="BZ82">
        <f t="shared" si="44"/>
        <v>522.84193823966848</v>
      </c>
      <c r="CA82" s="207">
        <f t="shared" si="45"/>
        <v>199.79562662467012</v>
      </c>
      <c r="CB82">
        <f t="shared" si="46"/>
        <v>0.67132318982567663</v>
      </c>
      <c r="CC82">
        <f t="shared" si="47"/>
        <v>249.11961111281767</v>
      </c>
      <c r="CD82">
        <f t="shared" si="48"/>
        <v>439.80206786872924</v>
      </c>
      <c r="CE82" s="207">
        <f t="shared" si="49"/>
        <v>231.1897099944523</v>
      </c>
      <c r="CF82">
        <f t="shared" si="50"/>
        <v>0.63870648674981012</v>
      </c>
      <c r="CG82">
        <f t="shared" si="51"/>
        <v>134.60958186271318</v>
      </c>
      <c r="CH82">
        <f t="shared" si="52"/>
        <v>394.93220724782486</v>
      </c>
      <c r="CI82" s="207">
        <f t="shared" ref="CI82" si="182" xml:space="preserve"> ($BQ$38-CH82*($BP82+$BR82+$BQ82+$BN82))/($BP82+$BR82+$BQ82+$BO82)</f>
        <v>248.15322569878501</v>
      </c>
      <c r="CJ82">
        <f t="shared" si="54"/>
        <v>0.62108233928438095</v>
      </c>
      <c r="CK82">
        <f t="shared" si="55"/>
        <v>77.243698730339204</v>
      </c>
      <c r="CL82">
        <f t="shared" si="56"/>
        <v>369.18430767104513</v>
      </c>
      <c r="CM82" s="207">
        <f t="shared" ref="CM82" si="183" xml:space="preserve"> ($BQ$38-CL82*($BP82+$BR82+$BQ82+$BN82))/($BP82+$BR82+$BQ82+$BO82)</f>
        <v>257.88748590775913</v>
      </c>
      <c r="CN82">
        <f t="shared" si="58"/>
        <v>0.61096898540302724</v>
      </c>
      <c r="CO82">
        <f t="shared" si="59"/>
        <v>45.753508008675887</v>
      </c>
      <c r="CP82">
        <f t="shared" si="60"/>
        <v>353.93313833481983</v>
      </c>
      <c r="CQ82" s="207">
        <f t="shared" ref="CQ82" si="184" xml:space="preserve"> ($BQ$38-CP82*($BP82+$BR82+$BQ82+$BN82))/($BP82+$BR82+$BQ82+$BO82)</f>
        <v>263.65334849267572</v>
      </c>
      <c r="CR82">
        <f t="shared" si="62"/>
        <v>0.60497857550020173</v>
      </c>
      <c r="CS82">
        <f t="shared" si="63"/>
        <v>27.592228553590353</v>
      </c>
      <c r="CT82">
        <f t="shared" si="64"/>
        <v>344.7357288169564</v>
      </c>
      <c r="CU82" s="636">
        <f t="shared" si="65"/>
        <v>267.13052445525858</v>
      </c>
      <c r="CV82" s="575">
        <f t="shared" si="66"/>
        <v>0.6013659834528966</v>
      </c>
      <c r="CW82">
        <f t="shared" si="67"/>
        <v>16.816486004354424</v>
      </c>
      <c r="CX82" s="576">
        <f t="shared" si="68"/>
        <v>0.3419707945726862</v>
      </c>
    </row>
    <row r="83" spans="1:102" x14ac:dyDescent="0.25">
      <c r="A83" s="186">
        <v>39</v>
      </c>
      <c r="B83" s="187">
        <f>A83/100*'Inputs-Imperial'!$E$5</f>
        <v>3.8385828000000002</v>
      </c>
      <c r="C83" s="188">
        <f>'Inputs-Imperial'!$E$10+('Inputs-Imperial'!$E$9-'Inputs-Imperial'!$E$10)*(100-A83)/100</f>
        <v>1.7486877199999999</v>
      </c>
      <c r="D83" s="187">
        <f t="shared" si="69"/>
        <v>9.8425199999999879E-2</v>
      </c>
      <c r="E83" s="188">
        <f t="shared" si="70"/>
        <v>0.1725993145782958</v>
      </c>
      <c r="F83" s="423">
        <f>Sizing!F99</f>
        <v>63.92246549539923</v>
      </c>
      <c r="G83" s="423">
        <f>Sizing!G99</f>
        <v>639.22465495399194</v>
      </c>
      <c r="H83" s="423">
        <f>Sizing!H99</f>
        <v>1718.1645332033995</v>
      </c>
      <c r="I83" s="423">
        <f>Sizing!I99</f>
        <v>-518.38337005251219</v>
      </c>
      <c r="J83" s="189">
        <f>Sizing!J99</f>
        <v>171.81645332034</v>
      </c>
      <c r="K83" s="128">
        <v>39</v>
      </c>
      <c r="L83" s="12">
        <f t="shared" si="11"/>
        <v>46.062993599999999</v>
      </c>
      <c r="M83" s="11">
        <f t="shared" si="11"/>
        <v>20.984252640000001</v>
      </c>
      <c r="N83" s="11">
        <f t="shared" si="11"/>
        <v>1.1811023999999986</v>
      </c>
      <c r="O83" s="152">
        <f t="shared" si="71"/>
        <v>24.854301299274596</v>
      </c>
      <c r="P83" s="170">
        <f t="shared" si="162"/>
        <v>3.7771654751999999</v>
      </c>
      <c r="Q83" s="8">
        <f t="shared" si="163"/>
        <v>1.8885827376</v>
      </c>
      <c r="R83" s="170">
        <f>Sizing!X99</f>
        <v>5.2460631600000003</v>
      </c>
      <c r="S83" s="8">
        <f>Sizing!Y99</f>
        <v>15.738189480000001</v>
      </c>
      <c r="T83" s="8">
        <f>Sizing!Z99</f>
        <v>10.492126320000001</v>
      </c>
      <c r="U83" s="17">
        <f>Sizing!CN99</f>
        <v>0.25</v>
      </c>
      <c r="V83" s="17">
        <f>Sizing!CO99</f>
        <v>2.3622047244094495E-2</v>
      </c>
      <c r="W83" s="17">
        <f>Sizing!CP99</f>
        <v>1.5748031496062995E-2</v>
      </c>
      <c r="X83" s="170">
        <f>Sizing!DU99</f>
        <v>0.20712205586855234</v>
      </c>
      <c r="Y83" s="170">
        <f>Sizing!DV99</f>
        <v>0.45510664230326536</v>
      </c>
      <c r="Z83" s="170">
        <f>Sizing!DW99</f>
        <v>0.20712205586855234</v>
      </c>
      <c r="AA83" s="272">
        <f>Sizing!DX99</f>
        <v>0.45510664230326536</v>
      </c>
      <c r="AB83" s="272">
        <f t="shared" si="12"/>
        <v>2.7433186754164192</v>
      </c>
      <c r="AC83" s="216">
        <f>Sizing!GJ99</f>
        <v>0.25</v>
      </c>
      <c r="AD83" s="216">
        <f>Sizing!GK99</f>
        <v>1.5748031496062995E-2</v>
      </c>
      <c r="AE83" s="17">
        <f>Sizing!GL99</f>
        <v>1.5748031496062995E-2</v>
      </c>
      <c r="AF83" s="170">
        <f>Sizing!JC99</f>
        <v>3.3006550714747922E-3</v>
      </c>
      <c r="AG83" s="272">
        <f>Sizing!JD99</f>
        <v>5.7451327847794713E-2</v>
      </c>
      <c r="AH83" s="170">
        <f>Sizing!JC99</f>
        <v>3.3006550714747922E-3</v>
      </c>
      <c r="AI83" s="272">
        <f>Sizing!JD99</f>
        <v>5.7451327847794713E-2</v>
      </c>
      <c r="AJ83" s="216">
        <f>Sizing!IT99</f>
        <v>0.25</v>
      </c>
      <c r="AK83" s="216">
        <f>Sizing!IU99</f>
        <v>1.5748031496062995E-2</v>
      </c>
      <c r="AL83" s="17">
        <f>Sizing!IV99</f>
        <v>1.5748031496062995E-2</v>
      </c>
      <c r="AM83" s="170">
        <f t="shared" si="13"/>
        <v>0</v>
      </c>
      <c r="AN83" s="11">
        <f t="shared" si="14"/>
        <v>0.38968965504865466</v>
      </c>
      <c r="AO83" s="11">
        <f t="shared" si="15"/>
        <v>0.38968965504865466</v>
      </c>
      <c r="AP83" s="11">
        <f t="shared" si="16"/>
        <v>0.77937931009730932</v>
      </c>
      <c r="AQ83" s="555">
        <f t="shared" si="17"/>
        <v>12434357.80156829</v>
      </c>
      <c r="AR83" s="311">
        <f t="shared" si="18"/>
        <v>5.410640879743057</v>
      </c>
      <c r="AS83" s="11">
        <f t="shared" si="19"/>
        <v>1.122014386402688E-2</v>
      </c>
      <c r="AT83" s="11">
        <f t="shared" si="20"/>
        <v>0.70408425416588905</v>
      </c>
      <c r="AU83" s="11">
        <f t="shared" si="21"/>
        <v>0.71530439802991597</v>
      </c>
      <c r="AV83" s="555">
        <f t="shared" si="22"/>
        <v>11412095.120960925</v>
      </c>
      <c r="AW83" s="138">
        <f t="shared" si="23"/>
        <v>3.9370078740157494E-2</v>
      </c>
      <c r="AX83" s="138">
        <f t="shared" si="24"/>
        <v>3.1496062992125991E-2</v>
      </c>
      <c r="AY83" s="554">
        <f t="shared" si="25"/>
        <v>3.1496062992125991E-2</v>
      </c>
      <c r="AZ83" s="12">
        <f t="shared" si="26"/>
        <v>186.75431875115603</v>
      </c>
      <c r="BA83" s="11">
        <f t="shared" si="27"/>
        <v>67.208937562302708</v>
      </c>
      <c r="BB83">
        <f t="shared" si="28"/>
        <v>81.722294582577604</v>
      </c>
      <c r="BC83" s="555">
        <f t="shared" si="29"/>
        <v>308173792.20336521</v>
      </c>
      <c r="BD83">
        <f t="shared" si="30"/>
        <v>39</v>
      </c>
      <c r="BE83" s="207">
        <f t="shared" si="31"/>
        <v>1.7486877199999999</v>
      </c>
      <c r="BF83" s="207">
        <f>'Inputs-Imperial'!$E$15*BE83</f>
        <v>1.3115157900000001</v>
      </c>
      <c r="BG83" s="207">
        <f>'Inputs-Imperial'!$E$12*BE83</f>
        <v>0.43717192999999999</v>
      </c>
      <c r="BH83">
        <f>'Inputs-Imperial'!$E$11*BE83</f>
        <v>0.31476378959999995</v>
      </c>
      <c r="BI83">
        <f t="shared" si="32"/>
        <v>0.33385741514720346</v>
      </c>
      <c r="BJ83">
        <f>'Weight '!U85+'Weight '!V85 /12</f>
        <v>2.4934383202099744E-2</v>
      </c>
      <c r="BK83">
        <f>('Weight '!AK85+'Weight '!AL85)/12</f>
        <v>2.6246719160104991E-3</v>
      </c>
      <c r="BL83">
        <f>'Weight '!AG85/12</f>
        <v>3.7925553525272111E-2</v>
      </c>
      <c r="BM83">
        <f>'Weight '!AI85/12</f>
        <v>3.7925553525272111E-2</v>
      </c>
      <c r="BN83" s="554">
        <f t="shared" si="33"/>
        <v>0.62867918079805873</v>
      </c>
      <c r="BO83" s="554">
        <f t="shared" si="34"/>
        <v>2.1895423892538397</v>
      </c>
      <c r="BP83">
        <f t="shared" si="35"/>
        <v>3.7925553525272111E-2</v>
      </c>
      <c r="BQ83">
        <f t="shared" si="35"/>
        <v>3.7925553525272111E-2</v>
      </c>
      <c r="BR83">
        <f t="shared" si="36"/>
        <v>0.23891268254945575</v>
      </c>
      <c r="BS83">
        <f t="shared" si="37"/>
        <v>0.10320442004515942</v>
      </c>
      <c r="BT83">
        <f t="shared" si="38"/>
        <v>0.24068944767571668</v>
      </c>
      <c r="BU83">
        <f t="shared" si="39"/>
        <v>3.6970174140853955E-2</v>
      </c>
      <c r="BV83">
        <f t="shared" si="40"/>
        <v>529.9737405314911</v>
      </c>
      <c r="BW83" s="207">
        <f t="shared" si="41"/>
        <v>199.65609805300957</v>
      </c>
      <c r="BX83">
        <f t="shared" si="42"/>
        <v>0.66903892813049748</v>
      </c>
      <c r="BY83" s="575">
        <f t="shared" si="43"/>
        <v>8.9863591281417143</v>
      </c>
      <c r="BZ83">
        <f t="shared" si="44"/>
        <v>526.97828748877714</v>
      </c>
      <c r="CA83" s="207">
        <f t="shared" si="45"/>
        <v>200.78456993882324</v>
      </c>
      <c r="CB83">
        <f t="shared" si="46"/>
        <v>0.66787741759257779</v>
      </c>
      <c r="CC83">
        <f t="shared" si="47"/>
        <v>250.44467894735007</v>
      </c>
      <c r="CD83">
        <f t="shared" si="48"/>
        <v>443.49672783966048</v>
      </c>
      <c r="CE83" s="207">
        <f t="shared" si="49"/>
        <v>232.23443468534234</v>
      </c>
      <c r="CF83">
        <f t="shared" si="50"/>
        <v>0.63550678454584142</v>
      </c>
      <c r="CG83">
        <f t="shared" si="51"/>
        <v>135.96730494775397</v>
      </c>
      <c r="CH83">
        <f t="shared" si="52"/>
        <v>398.17429285707584</v>
      </c>
      <c r="CI83" s="207">
        <f t="shared" ref="CI83" si="185" xml:space="preserve"> ($BQ$38-CH83*($BP83+$BR83+$BQ83+$BN83))/($BP83+$BR83+$BQ83+$BO83)</f>
        <v>249.30867786163489</v>
      </c>
      <c r="CJ83">
        <f t="shared" si="54"/>
        <v>0.61793265299185185</v>
      </c>
      <c r="CK83">
        <f t="shared" si="55"/>
        <v>78.344369052838772</v>
      </c>
      <c r="CL83">
        <f t="shared" si="56"/>
        <v>372.05950317279627</v>
      </c>
      <c r="CM83" s="207">
        <f t="shared" ref="CM83" si="186" xml:space="preserve"> ($BQ$38-CL83*($BP83+$BR83+$BQ83+$BN83))/($BP83+$BR83+$BQ83+$BO83)</f>
        <v>259.14685777713288</v>
      </c>
      <c r="CN83">
        <f t="shared" si="58"/>
        <v>0.60780643736392603</v>
      </c>
      <c r="CO83">
        <f t="shared" si="59"/>
        <v>46.588807506068122</v>
      </c>
      <c r="CP83">
        <f t="shared" si="60"/>
        <v>356.52990067077354</v>
      </c>
      <c r="CQ83" s="207">
        <f t="shared" ref="CQ83" si="187" xml:space="preserve"> ($BQ$38-CP83*($BP83+$BR83+$BQ83+$BN83))/($BP83+$BR83+$BQ83+$BO83)</f>
        <v>264.99729828529593</v>
      </c>
      <c r="CR83">
        <f t="shared" si="62"/>
        <v>0.60178471153528101</v>
      </c>
      <c r="CS83">
        <f t="shared" si="63"/>
        <v>28.206366592179663</v>
      </c>
      <c r="CT83">
        <f t="shared" si="64"/>
        <v>347.12777847338032</v>
      </c>
      <c r="CU83" s="636">
        <f t="shared" si="65"/>
        <v>268.53934365053715</v>
      </c>
      <c r="CV83" s="575">
        <f t="shared" si="66"/>
        <v>0.59813896451292514</v>
      </c>
      <c r="CW83">
        <f t="shared" si="67"/>
        <v>17.258833535988384</v>
      </c>
      <c r="CX83" s="576">
        <f t="shared" si="68"/>
        <v>0.34205018864827685</v>
      </c>
    </row>
    <row r="84" spans="1:102" x14ac:dyDescent="0.25">
      <c r="A84" s="186">
        <v>40</v>
      </c>
      <c r="B84" s="187">
        <f>A84/100*'Inputs-Imperial'!$E$5</f>
        <v>3.9370080000000005</v>
      </c>
      <c r="C84" s="188">
        <f>'Inputs-Imperial'!$E$10+('Inputs-Imperial'!$E$9-'Inputs-Imperial'!$E$10)*(100-A84)/100</f>
        <v>1.7388452000000001</v>
      </c>
      <c r="D84" s="187">
        <f t="shared" si="69"/>
        <v>9.8425200000000324E-2</v>
      </c>
      <c r="E84" s="188">
        <f t="shared" si="70"/>
        <v>0.17163056257879256</v>
      </c>
      <c r="F84" s="423">
        <f>Sizing!F100</f>
        <v>62.569156520191456</v>
      </c>
      <c r="G84" s="423">
        <f>Sizing!G100</f>
        <v>625.69156520191427</v>
      </c>
      <c r="H84" s="423">
        <f>Sizing!H100</f>
        <v>1655.2487186946216</v>
      </c>
      <c r="I84" s="423">
        <f>Sizing!I100</f>
        <v>-504.78791104648616</v>
      </c>
      <c r="J84" s="189">
        <f>Sizing!J100</f>
        <v>165.5248718694622</v>
      </c>
      <c r="K84" s="128">
        <v>40</v>
      </c>
      <c r="L84" s="12">
        <f t="shared" si="11"/>
        <v>47.244096000000006</v>
      </c>
      <c r="M84" s="11">
        <f t="shared" si="11"/>
        <v>20.866142400000001</v>
      </c>
      <c r="N84" s="11">
        <f t="shared" si="11"/>
        <v>1.1811024000000039</v>
      </c>
      <c r="O84" s="152">
        <f t="shared" si="71"/>
        <v>24.714801011346125</v>
      </c>
      <c r="P84" s="170">
        <f t="shared" si="162"/>
        <v>3.7559056320000002</v>
      </c>
      <c r="Q84" s="8">
        <f t="shared" si="163"/>
        <v>1.8779528160000001</v>
      </c>
      <c r="R84" s="170">
        <f>Sizing!X100</f>
        <v>5.2165356000000003</v>
      </c>
      <c r="S84" s="8">
        <f>Sizing!Y100</f>
        <v>15.649606800000001</v>
      </c>
      <c r="T84" s="8">
        <f>Sizing!Z100</f>
        <v>10.433071200000001</v>
      </c>
      <c r="U84" s="17">
        <f>Sizing!CN100</f>
        <v>0.25</v>
      </c>
      <c r="V84" s="17">
        <f>Sizing!CO100</f>
        <v>2.3622047244094495E-2</v>
      </c>
      <c r="W84" s="17">
        <f>Sizing!CP100</f>
        <v>1.5748031496062995E-2</v>
      </c>
      <c r="X84" s="170">
        <f>Sizing!DU100</f>
        <v>0.15260733333097529</v>
      </c>
      <c r="Y84" s="170">
        <f>Sizing!DV100</f>
        <v>0.39064988587093596</v>
      </c>
      <c r="Z84" s="170">
        <f>Sizing!DW100</f>
        <v>0.15260733333097529</v>
      </c>
      <c r="AA84" s="272">
        <f>Sizing!DX100</f>
        <v>0.39064988587093596</v>
      </c>
      <c r="AB84" s="272">
        <f t="shared" si="12"/>
        <v>2.7865155886487498</v>
      </c>
      <c r="AC84" s="216">
        <f>Sizing!GJ100</f>
        <v>0.25</v>
      </c>
      <c r="AD84" s="216">
        <f>Sizing!GK100</f>
        <v>1.5748031496062995E-2</v>
      </c>
      <c r="AE84" s="17">
        <f>Sizing!GL100</f>
        <v>1.5748031496062995E-2</v>
      </c>
      <c r="AF84" s="170">
        <f>Sizing!JC100</f>
        <v>2.4612277601232125E-3</v>
      </c>
      <c r="AG84" s="272">
        <f>Sizing!JD100</f>
        <v>4.9610762543254791E-2</v>
      </c>
      <c r="AH84" s="170">
        <f>Sizing!JC100</f>
        <v>2.4612277601232125E-3</v>
      </c>
      <c r="AI84" s="272">
        <f>Sizing!JD100</f>
        <v>4.9610762543254791E-2</v>
      </c>
      <c r="AJ84" s="216">
        <f>Sizing!IT100</f>
        <v>0.25</v>
      </c>
      <c r="AK84" s="216">
        <f>Sizing!IU100</f>
        <v>1.5748031496062995E-2</v>
      </c>
      <c r="AL84" s="17">
        <f>Sizing!IV100</f>
        <v>1.5748031496062995E-2</v>
      </c>
      <c r="AM84" s="170">
        <f t="shared" si="13"/>
        <v>0</v>
      </c>
      <c r="AN84" s="11">
        <f t="shared" si="14"/>
        <v>0.29623636237075518</v>
      </c>
      <c r="AO84" s="11">
        <f t="shared" si="15"/>
        <v>0.29623636237075518</v>
      </c>
      <c r="AP84" s="11">
        <f t="shared" si="16"/>
        <v>0.59247272474151036</v>
      </c>
      <c r="AQ84" s="555">
        <f t="shared" si="17"/>
        <v>9452416.4956165105</v>
      </c>
      <c r="AR84" s="311">
        <f t="shared" si="18"/>
        <v>5.3821279307735912</v>
      </c>
      <c r="AS84" s="11">
        <f t="shared" si="19"/>
        <v>8.3692364392639711E-3</v>
      </c>
      <c r="AT84" s="11">
        <f t="shared" si="20"/>
        <v>0.51893078556393546</v>
      </c>
      <c r="AU84" s="11">
        <f t="shared" si="21"/>
        <v>0.52730002200319948</v>
      </c>
      <c r="AV84" s="555">
        <f t="shared" si="22"/>
        <v>8412639.4650430046</v>
      </c>
      <c r="AW84" s="138">
        <f t="shared" si="23"/>
        <v>3.9370078740157494E-2</v>
      </c>
      <c r="AX84" s="138">
        <f t="shared" si="24"/>
        <v>3.1496062992125991E-2</v>
      </c>
      <c r="AY84" s="554">
        <f t="shared" si="25"/>
        <v>3.1496062992125991E-2</v>
      </c>
      <c r="AZ84" s="12">
        <f t="shared" si="26"/>
        <v>184.65793514426721</v>
      </c>
      <c r="BA84" s="11">
        <f t="shared" si="27"/>
        <v>66.830650859325431</v>
      </c>
      <c r="BB84">
        <f t="shared" si="28"/>
        <v>80.350120774589854</v>
      </c>
      <c r="BC84" s="555">
        <f t="shared" si="29"/>
        <v>302999341.23952907</v>
      </c>
      <c r="BD84">
        <f t="shared" si="30"/>
        <v>40</v>
      </c>
      <c r="BE84" s="207">
        <f t="shared" si="31"/>
        <v>1.7388452000000001</v>
      </c>
      <c r="BF84" s="207">
        <f>'Inputs-Imperial'!$E$15*BE84</f>
        <v>1.3041339000000001</v>
      </c>
      <c r="BG84" s="207">
        <f>'Inputs-Imperial'!$E$12*BE84</f>
        <v>0.43471130000000002</v>
      </c>
      <c r="BH84">
        <f>'Inputs-Imperial'!$E$11*BE84</f>
        <v>0.31299213600000003</v>
      </c>
      <c r="BI84">
        <f t="shared" si="32"/>
        <v>0.33197829273549323</v>
      </c>
      <c r="BJ84">
        <f>'Weight '!U86+'Weight '!V86 /12</f>
        <v>2.4934383202099744E-2</v>
      </c>
      <c r="BK84">
        <f>('Weight '!AK86+'Weight '!AL86)/12</f>
        <v>2.6246719160104991E-3</v>
      </c>
      <c r="BL84">
        <f>'Weight '!AG86/12</f>
        <v>3.2554157155911333E-2</v>
      </c>
      <c r="BM84">
        <f>'Weight '!AI86/12</f>
        <v>3.2554157155911333E-2</v>
      </c>
      <c r="BN84" s="554">
        <f t="shared" si="33"/>
        <v>0.62272073314737564</v>
      </c>
      <c r="BO84" s="554">
        <f t="shared" si="34"/>
        <v>2.1796384265665196</v>
      </c>
      <c r="BP84">
        <f t="shared" si="35"/>
        <v>3.2554157155911333E-2</v>
      </c>
      <c r="BQ84">
        <f t="shared" si="35"/>
        <v>3.2554157155911333E-2</v>
      </c>
      <c r="BR84">
        <f t="shared" si="36"/>
        <v>0.24788382168817738</v>
      </c>
      <c r="BS84">
        <f t="shared" si="37"/>
        <v>0.10204591374775261</v>
      </c>
      <c r="BT84">
        <f t="shared" si="38"/>
        <v>0.2379876230762501</v>
      </c>
      <c r="BU84">
        <f t="shared" si="39"/>
        <v>3.6144826010505671E-2</v>
      </c>
      <c r="BV84">
        <f t="shared" si="40"/>
        <v>534.35195398733958</v>
      </c>
      <c r="BW84" s="207">
        <f t="shared" si="41"/>
        <v>200.59129800814867</v>
      </c>
      <c r="BX84">
        <f t="shared" si="42"/>
        <v>0.66564732436959217</v>
      </c>
      <c r="BY84" s="575">
        <f t="shared" si="43"/>
        <v>9.5270485072348663</v>
      </c>
      <c r="BZ84">
        <f t="shared" si="44"/>
        <v>531.17627115159462</v>
      </c>
      <c r="CA84" s="207">
        <f t="shared" si="45"/>
        <v>201.78342304358807</v>
      </c>
      <c r="CB84">
        <f t="shared" si="46"/>
        <v>0.66443177144891108</v>
      </c>
      <c r="CC84">
        <f t="shared" si="47"/>
        <v>251.78712152093243</v>
      </c>
      <c r="CD84">
        <f t="shared" si="48"/>
        <v>447.24723064461716</v>
      </c>
      <c r="CE84" s="207">
        <f t="shared" si="49"/>
        <v>233.28968974710978</v>
      </c>
      <c r="CF84">
        <f t="shared" si="50"/>
        <v>0.63230633714234274</v>
      </c>
      <c r="CG84">
        <f t="shared" si="51"/>
        <v>137.34050916107574</v>
      </c>
      <c r="CH84">
        <f t="shared" si="52"/>
        <v>401.46706092425859</v>
      </c>
      <c r="CI84" s="207">
        <f t="shared" ref="CI84" si="188" xml:space="preserve"> ($BQ$38-CH84*($BP84+$BR84+$BQ84+$BN84))/($BP84+$BR84+$BQ84+$BO84)</f>
        <v>250.47518630741178</v>
      </c>
      <c r="CJ84">
        <f t="shared" si="54"/>
        <v>0.61478310768551769</v>
      </c>
      <c r="CK84">
        <f t="shared" si="55"/>
        <v>79.459987652293336</v>
      </c>
      <c r="CL84">
        <f t="shared" si="56"/>
        <v>374.98039837349415</v>
      </c>
      <c r="CM84" s="207">
        <f t="shared" ref="CM84" si="189" xml:space="preserve"> ($BQ$38-CL84*($BP84+$BR84+$BQ84+$BN84))/($BP84+$BR84+$BQ84+$BO84)</f>
        <v>260.41806006564553</v>
      </c>
      <c r="CN84">
        <f t="shared" si="58"/>
        <v>0.60464483453673679</v>
      </c>
      <c r="CO84">
        <f t="shared" si="59"/>
        <v>47.437844198484534</v>
      </c>
      <c r="CP84">
        <f t="shared" si="60"/>
        <v>359.16778364066596</v>
      </c>
      <c r="CQ84" s="207">
        <f t="shared" ref="CQ84" si="190" xml:space="preserve"> ($BQ$38-CP84*($BP84+$BR84+$BQ84+$BN84))/($BP84+$BR84+$BQ84+$BO84)</f>
        <v>266.35398467580603</v>
      </c>
      <c r="CR84">
        <f t="shared" si="62"/>
        <v>0.59859225592096776</v>
      </c>
      <c r="CS84">
        <f t="shared" si="63"/>
        <v>28.832570636797524</v>
      </c>
      <c r="CT84">
        <f t="shared" si="64"/>
        <v>349.55692676173345</v>
      </c>
      <c r="CU84" s="636">
        <f t="shared" si="65"/>
        <v>269.9618207507562</v>
      </c>
      <c r="CV84" s="575">
        <f t="shared" si="66"/>
        <v>0.59491351791289637</v>
      </c>
      <c r="CW84">
        <f t="shared" si="67"/>
        <v>17.711397197609443</v>
      </c>
      <c r="CX84" s="576">
        <f t="shared" si="68"/>
        <v>0.34213138576849528</v>
      </c>
    </row>
    <row r="85" spans="1:102" x14ac:dyDescent="0.25">
      <c r="A85" s="186">
        <v>41</v>
      </c>
      <c r="B85" s="187">
        <f>A85/100*'Inputs-Imperial'!$E$5</f>
        <v>4.0354331999999999</v>
      </c>
      <c r="C85" s="188">
        <f>'Inputs-Imperial'!$E$10+('Inputs-Imperial'!$E$9-'Inputs-Imperial'!$E$10)*(100-A85)/100</f>
        <v>1.72900268</v>
      </c>
      <c r="D85" s="187">
        <f t="shared" si="69"/>
        <v>9.8425199999999435E-2</v>
      </c>
      <c r="E85" s="188">
        <f t="shared" si="70"/>
        <v>0.170661810579287</v>
      </c>
      <c r="F85" s="423">
        <f>Sizing!F101</f>
        <v>61.222852825011948</v>
      </c>
      <c r="G85" s="423">
        <f>Sizing!G101</f>
        <v>612.22852825011921</v>
      </c>
      <c r="H85" s="423">
        <f>Sizing!H101</f>
        <v>1593.6649012513105</v>
      </c>
      <c r="I85" s="423">
        <f>Sizing!I101</f>
        <v>-491.33352166284101</v>
      </c>
      <c r="J85" s="189">
        <f>Sizing!J101</f>
        <v>159.36649012513109</v>
      </c>
      <c r="K85" s="128">
        <v>41</v>
      </c>
      <c r="L85" s="12">
        <f t="shared" si="11"/>
        <v>48.425198399999999</v>
      </c>
      <c r="M85" s="11">
        <f t="shared" si="11"/>
        <v>20.748032160000001</v>
      </c>
      <c r="N85" s="11">
        <f t="shared" si="11"/>
        <v>1.1811023999999932</v>
      </c>
      <c r="O85" s="152">
        <f t="shared" si="71"/>
        <v>24.575300723417328</v>
      </c>
      <c r="P85" s="170">
        <f t="shared" si="162"/>
        <v>3.7346457888</v>
      </c>
      <c r="Q85" s="8">
        <f t="shared" si="163"/>
        <v>1.8673228944</v>
      </c>
      <c r="R85" s="170">
        <f>Sizing!X101</f>
        <v>5.1870080400000003</v>
      </c>
      <c r="S85" s="8">
        <f>Sizing!Y101</f>
        <v>15.561024120000001</v>
      </c>
      <c r="T85" s="8">
        <f>Sizing!Z101</f>
        <v>10.374016080000001</v>
      </c>
      <c r="U85" s="17">
        <f>Sizing!CN101</f>
        <v>0.25</v>
      </c>
      <c r="V85" s="17">
        <f>Sizing!CO101</f>
        <v>2.3622047244094495E-2</v>
      </c>
      <c r="W85" s="17">
        <f>Sizing!CP101</f>
        <v>1.5748031496062995E-2</v>
      </c>
      <c r="X85" s="170">
        <f>Sizing!DU101</f>
        <v>0.15260733333097529</v>
      </c>
      <c r="Y85" s="170">
        <f>Sizing!DV101</f>
        <v>0.39064988587093596</v>
      </c>
      <c r="Z85" s="170">
        <f>Sizing!DW101</f>
        <v>0.15260733333097529</v>
      </c>
      <c r="AA85" s="272">
        <f>Sizing!DX101</f>
        <v>0.39064988587093596</v>
      </c>
      <c r="AB85" s="272">
        <f t="shared" si="12"/>
        <v>2.7652557454487496</v>
      </c>
      <c r="AC85" s="216">
        <f>Sizing!GJ101</f>
        <v>0.25</v>
      </c>
      <c r="AD85" s="216">
        <f>Sizing!GK101</f>
        <v>1.5748031496062995E-2</v>
      </c>
      <c r="AE85" s="17">
        <f>Sizing!GL101</f>
        <v>1.5748031496062995E-2</v>
      </c>
      <c r="AF85" s="170">
        <f>Sizing!JC101</f>
        <v>2.4612277601232125E-3</v>
      </c>
      <c r="AG85" s="272">
        <f>Sizing!JD101</f>
        <v>4.9610762543254791E-2</v>
      </c>
      <c r="AH85" s="170">
        <f>Sizing!JC101</f>
        <v>2.4612277601232125E-3</v>
      </c>
      <c r="AI85" s="272">
        <f>Sizing!JD101</f>
        <v>4.9610762543254791E-2</v>
      </c>
      <c r="AJ85" s="216">
        <f>Sizing!IT101</f>
        <v>0.25</v>
      </c>
      <c r="AK85" s="216">
        <f>Sizing!IU101</f>
        <v>1.5748031496062995E-2</v>
      </c>
      <c r="AL85" s="17">
        <f>Sizing!IV101</f>
        <v>1.5748031496062995E-2</v>
      </c>
      <c r="AM85" s="170">
        <f t="shared" si="13"/>
        <v>0</v>
      </c>
      <c r="AN85" s="11">
        <f t="shared" si="14"/>
        <v>0.29173330956895682</v>
      </c>
      <c r="AO85" s="11">
        <f t="shared" si="15"/>
        <v>0.29173330956895682</v>
      </c>
      <c r="AP85" s="11">
        <f t="shared" si="16"/>
        <v>0.58346661913791364</v>
      </c>
      <c r="AQ85" s="555">
        <f t="shared" si="17"/>
        <v>9308731.4657177199</v>
      </c>
      <c r="AR85" s="311">
        <f t="shared" si="18"/>
        <v>5.3516630556937415</v>
      </c>
      <c r="AS85" s="11">
        <f t="shared" si="19"/>
        <v>8.2747585156296381E-3</v>
      </c>
      <c r="AT85" s="11">
        <f t="shared" si="20"/>
        <v>0.5130727239013394</v>
      </c>
      <c r="AU85" s="11">
        <f t="shared" si="21"/>
        <v>0.52134748241696904</v>
      </c>
      <c r="AV85" s="555">
        <f t="shared" si="22"/>
        <v>8317671.5770271588</v>
      </c>
      <c r="AW85" s="138">
        <f t="shared" si="23"/>
        <v>3.9370078740157494E-2</v>
      </c>
      <c r="AX85" s="138">
        <f t="shared" si="24"/>
        <v>3.1496062992125991E-2</v>
      </c>
      <c r="AY85" s="554">
        <f t="shared" si="25"/>
        <v>3.1496062992125991E-2</v>
      </c>
      <c r="AZ85" s="12">
        <f t="shared" si="26"/>
        <v>182.5733843705311</v>
      </c>
      <c r="BA85" s="11">
        <f t="shared" si="27"/>
        <v>66.452364156348068</v>
      </c>
      <c r="BB85">
        <f t="shared" si="28"/>
        <v>78.993393412034138</v>
      </c>
      <c r="BC85" s="555">
        <f t="shared" si="29"/>
        <v>297883138.63605982</v>
      </c>
      <c r="BD85">
        <f t="shared" si="30"/>
        <v>41</v>
      </c>
      <c r="BE85" s="207">
        <f t="shared" si="31"/>
        <v>1.72900268</v>
      </c>
      <c r="BF85" s="207">
        <f>'Inputs-Imperial'!$E$15*BE85</f>
        <v>1.2967520100000001</v>
      </c>
      <c r="BG85" s="207">
        <f>'Inputs-Imperial'!$E$12*BE85</f>
        <v>0.43225067</v>
      </c>
      <c r="BH85">
        <f>'Inputs-Imperial'!$E$11*BE85</f>
        <v>0.3112204824</v>
      </c>
      <c r="BI85">
        <f t="shared" si="32"/>
        <v>0.33009917032378283</v>
      </c>
      <c r="BJ85">
        <f>'Weight '!U87+'Weight '!V87 /12</f>
        <v>2.4934383202099744E-2</v>
      </c>
      <c r="BK85">
        <f>('Weight '!AK87+'Weight '!AL87)/12</f>
        <v>2.6246719160104991E-3</v>
      </c>
      <c r="BL85">
        <f>'Weight '!AG87/12</f>
        <v>3.2554157155911333E-2</v>
      </c>
      <c r="BM85">
        <f>'Weight '!AI87/12</f>
        <v>3.2554157155911333E-2</v>
      </c>
      <c r="BN85" s="554">
        <f t="shared" si="33"/>
        <v>0.61677691305781635</v>
      </c>
      <c r="BO85" s="554">
        <f t="shared" si="34"/>
        <v>2.1697198363180759</v>
      </c>
      <c r="BP85">
        <f t="shared" si="35"/>
        <v>3.2554157155911333E-2</v>
      </c>
      <c r="BQ85">
        <f t="shared" si="35"/>
        <v>3.2554157155911333E-2</v>
      </c>
      <c r="BR85">
        <f t="shared" si="36"/>
        <v>0.24611216808817735</v>
      </c>
      <c r="BS85">
        <f t="shared" si="37"/>
        <v>0.10089394652634241</v>
      </c>
      <c r="BT85">
        <f t="shared" si="38"/>
        <v>0.23530104866266949</v>
      </c>
      <c r="BU85">
        <f t="shared" si="39"/>
        <v>3.5333374861483455E-2</v>
      </c>
      <c r="BV85">
        <f t="shared" si="40"/>
        <v>538.79461563933705</v>
      </c>
      <c r="BW85" s="207">
        <f t="shared" si="41"/>
        <v>201.53648849495681</v>
      </c>
      <c r="BX85">
        <f t="shared" si="42"/>
        <v>0.6622547411046823</v>
      </c>
      <c r="BY85" s="575">
        <f t="shared" si="43"/>
        <v>10.072418766010003</v>
      </c>
      <c r="BZ85">
        <f t="shared" si="44"/>
        <v>535.4371427173337</v>
      </c>
      <c r="CA85" s="207">
        <f t="shared" si="45"/>
        <v>202.79235350042748</v>
      </c>
      <c r="CB85">
        <f t="shared" si="46"/>
        <v>0.66098623101223775</v>
      </c>
      <c r="CC85">
        <f t="shared" si="47"/>
        <v>253.14718845505229</v>
      </c>
      <c r="CD85">
        <f t="shared" si="48"/>
        <v>451.05474656564962</v>
      </c>
      <c r="CE85" s="207">
        <f t="shared" si="49"/>
        <v>234.35564555564071</v>
      </c>
      <c r="CF85">
        <f t="shared" si="50"/>
        <v>0.62910513364237697</v>
      </c>
      <c r="CG85">
        <f t="shared" si="51"/>
        <v>138.72945000733293</v>
      </c>
      <c r="CH85">
        <f t="shared" si="52"/>
        <v>404.81159656320528</v>
      </c>
      <c r="CI85" s="207">
        <f t="shared" ref="CI85" si="191" xml:space="preserve"> ($BQ$38-CH85*($BP85+$BR85+$BQ85+$BN85))/($BP85+$BR85+$BQ85+$BO85)</f>
        <v>251.65292692765183</v>
      </c>
      <c r="CJ85">
        <f t="shared" si="54"/>
        <v>0.61163368894356951</v>
      </c>
      <c r="CK85">
        <f t="shared" si="55"/>
        <v>80.590798028660657</v>
      </c>
      <c r="CL85">
        <f t="shared" si="56"/>
        <v>377.94799722031837</v>
      </c>
      <c r="CM85" s="207">
        <f t="shared" ref="CM85" si="192" xml:space="preserve"> ($BQ$38-CL85*($BP85+$BR85+$BQ85+$BN85))/($BP85+$BR85+$BQ85+$BO85)</f>
        <v>261.70127433638862</v>
      </c>
      <c r="CN85">
        <f t="shared" si="58"/>
        <v>0.60148416646715164</v>
      </c>
      <c r="CO85">
        <f t="shared" si="59"/>
        <v>48.300853500867731</v>
      </c>
      <c r="CP85">
        <f t="shared" si="60"/>
        <v>361.84771272002911</v>
      </c>
      <c r="CQ85" s="207">
        <f t="shared" ref="CQ85" si="193" xml:space="preserve"> ($BQ$38-CP85*($BP85+$BR85+$BQ85+$BN85))/($BP85+$BR85+$BQ85+$BO85)</f>
        <v>267.7235965864129</v>
      </c>
      <c r="CR85">
        <f t="shared" si="62"/>
        <v>0.59540120649865902</v>
      </c>
      <c r="CS85">
        <f t="shared" si="63"/>
        <v>29.47106776415967</v>
      </c>
      <c r="CT85">
        <f t="shared" si="64"/>
        <v>352.0240234653092</v>
      </c>
      <c r="CU85" s="636">
        <f t="shared" si="65"/>
        <v>271.39815416177515</v>
      </c>
      <c r="CV85" s="575">
        <f t="shared" si="66"/>
        <v>0.59168965044023658</v>
      </c>
      <c r="CW85">
        <f t="shared" si="67"/>
        <v>18.174392827557014</v>
      </c>
      <c r="CX85" s="576">
        <f t="shared" si="68"/>
        <v>0.34221442065100593</v>
      </c>
    </row>
    <row r="86" spans="1:102" x14ac:dyDescent="0.25">
      <c r="A86" s="186">
        <v>42</v>
      </c>
      <c r="B86" s="187">
        <f>A86/100*'Inputs-Imperial'!$E$5</f>
        <v>4.1338584000000003</v>
      </c>
      <c r="C86" s="188">
        <f>'Inputs-Imperial'!$E$10+('Inputs-Imperial'!$E$9-'Inputs-Imperial'!$E$10)*(100-A86)/100</f>
        <v>1.7191601599999999</v>
      </c>
      <c r="D86" s="187">
        <f t="shared" si="69"/>
        <v>9.8425200000000324E-2</v>
      </c>
      <c r="E86" s="188">
        <f t="shared" si="70"/>
        <v>0.16969305857978456</v>
      </c>
      <c r="F86" s="423">
        <f>Sizing!F102</f>
        <v>59.883655394399014</v>
      </c>
      <c r="G86" s="423">
        <f>Sizing!G102</f>
        <v>598.83655394398988</v>
      </c>
      <c r="H86" s="423">
        <f>Sizing!H102</f>
        <v>1533.4061859125868</v>
      </c>
      <c r="I86" s="423">
        <f>Sizing!I102</f>
        <v>-478.02148392839842</v>
      </c>
      <c r="J86" s="189">
        <f>Sizing!J102</f>
        <v>153.3406185912587</v>
      </c>
      <c r="K86" s="128">
        <v>42</v>
      </c>
      <c r="L86" s="12">
        <f t="shared" si="11"/>
        <v>49.6063008</v>
      </c>
      <c r="M86" s="11">
        <f t="shared" si="11"/>
        <v>20.629921920000001</v>
      </c>
      <c r="N86" s="11">
        <f t="shared" si="11"/>
        <v>1.1811024000000039</v>
      </c>
      <c r="O86" s="152">
        <f t="shared" si="71"/>
        <v>24.435800435488979</v>
      </c>
      <c r="P86" s="170">
        <f t="shared" si="162"/>
        <v>3.7133859456000002</v>
      </c>
      <c r="Q86" s="8">
        <f t="shared" si="163"/>
        <v>1.8566929728000001</v>
      </c>
      <c r="R86" s="170">
        <f>Sizing!X102</f>
        <v>5.1574804800000003</v>
      </c>
      <c r="S86" s="8">
        <f>Sizing!Y102</f>
        <v>15.472441440000001</v>
      </c>
      <c r="T86" s="8">
        <f>Sizing!Z102</f>
        <v>10.314960960000001</v>
      </c>
      <c r="U86" s="17">
        <f>Sizing!CN102</f>
        <v>0.25</v>
      </c>
      <c r="V86" s="17">
        <f>Sizing!CO102</f>
        <v>2.3622047244094495E-2</v>
      </c>
      <c r="W86" s="17">
        <f>Sizing!CP102</f>
        <v>1.5748031496062995E-2</v>
      </c>
      <c r="X86" s="170">
        <f>Sizing!DU102</f>
        <v>0.15260733333097529</v>
      </c>
      <c r="Y86" s="170">
        <f>Sizing!DV102</f>
        <v>0.39064988587093596</v>
      </c>
      <c r="Z86" s="170">
        <f>Sizing!DW102</f>
        <v>0.15260733333097529</v>
      </c>
      <c r="AA86" s="272">
        <f>Sizing!DX102</f>
        <v>0.39064988587093596</v>
      </c>
      <c r="AB86" s="272">
        <f t="shared" si="12"/>
        <v>2.7439959022487495</v>
      </c>
      <c r="AC86" s="216">
        <f>Sizing!GJ102</f>
        <v>0.25</v>
      </c>
      <c r="AD86" s="216">
        <f>Sizing!GK102</f>
        <v>1.5748031496062995E-2</v>
      </c>
      <c r="AE86" s="17">
        <f>Sizing!GL102</f>
        <v>1.5748031496062995E-2</v>
      </c>
      <c r="AF86" s="170">
        <f>Sizing!JC102</f>
        <v>2.4612277601232125E-3</v>
      </c>
      <c r="AG86" s="272">
        <f>Sizing!JD102</f>
        <v>4.9610762543254791E-2</v>
      </c>
      <c r="AH86" s="170">
        <f>Sizing!JC102</f>
        <v>2.4612277601232125E-3</v>
      </c>
      <c r="AI86" s="272">
        <f>Sizing!JD102</f>
        <v>4.9610762543254791E-2</v>
      </c>
      <c r="AJ86" s="216">
        <f>Sizing!IT102</f>
        <v>0.25</v>
      </c>
      <c r="AK86" s="216">
        <f>Sizing!IU102</f>
        <v>1.5748031496062995E-2</v>
      </c>
      <c r="AL86" s="17">
        <f>Sizing!IV102</f>
        <v>1.5748031496062995E-2</v>
      </c>
      <c r="AM86" s="170">
        <f t="shared" si="13"/>
        <v>0</v>
      </c>
      <c r="AN86" s="11">
        <f t="shared" si="14"/>
        <v>0.28726474456960077</v>
      </c>
      <c r="AO86" s="11">
        <f t="shared" si="15"/>
        <v>0.28726474456960077</v>
      </c>
      <c r="AP86" s="11">
        <f t="shared" si="16"/>
        <v>0.57452948913920154</v>
      </c>
      <c r="AQ86" s="555">
        <f t="shared" si="17"/>
        <v>9166146.8850348666</v>
      </c>
      <c r="AR86" s="311">
        <f t="shared" si="18"/>
        <v>5.3211981806138908</v>
      </c>
      <c r="AS86" s="11">
        <f t="shared" si="19"/>
        <v>8.1808168905210515E-3</v>
      </c>
      <c r="AT86" s="11">
        <f t="shared" si="20"/>
        <v>0.5072479151904703</v>
      </c>
      <c r="AU86" s="11">
        <f t="shared" si="21"/>
        <v>0.51542873208099138</v>
      </c>
      <c r="AV86" s="555">
        <f t="shared" si="22"/>
        <v>8223242.7687919112</v>
      </c>
      <c r="AW86" s="138">
        <f t="shared" si="23"/>
        <v>3.9370078740157494E-2</v>
      </c>
      <c r="AX86" s="138">
        <f t="shared" si="24"/>
        <v>3.1496062992125991E-2</v>
      </c>
      <c r="AY86" s="554">
        <f t="shared" si="25"/>
        <v>3.1496062992125991E-2</v>
      </c>
      <c r="AZ86" s="12">
        <f t="shared" si="26"/>
        <v>180.50066642994773</v>
      </c>
      <c r="BA86" s="11">
        <f t="shared" si="27"/>
        <v>66.074077453370762</v>
      </c>
      <c r="BB86">
        <f t="shared" si="28"/>
        <v>77.652025062200281</v>
      </c>
      <c r="BC86" s="555">
        <f t="shared" si="29"/>
        <v>292824854.68525654</v>
      </c>
      <c r="BD86">
        <f t="shared" si="30"/>
        <v>42</v>
      </c>
      <c r="BE86" s="207">
        <f t="shared" si="31"/>
        <v>1.7191601599999999</v>
      </c>
      <c r="BF86" s="207">
        <f>'Inputs-Imperial'!$E$15*BE86</f>
        <v>1.2893701200000001</v>
      </c>
      <c r="BG86" s="207">
        <f>'Inputs-Imperial'!$E$12*BE86</f>
        <v>0.42979003999999998</v>
      </c>
      <c r="BH86">
        <f>'Inputs-Imperial'!$E$11*BE86</f>
        <v>0.30944882879999996</v>
      </c>
      <c r="BI86">
        <f t="shared" si="32"/>
        <v>0.32822004791207249</v>
      </c>
      <c r="BJ86">
        <f>'Weight '!U88+'Weight '!V88 /12</f>
        <v>2.4934383202099744E-2</v>
      </c>
      <c r="BK86">
        <f>('Weight '!AK88+'Weight '!AL88)/12</f>
        <v>2.6246719160104991E-3</v>
      </c>
      <c r="BL86">
        <f>'Weight '!AG88/12</f>
        <v>3.2554157155911333E-2</v>
      </c>
      <c r="BM86">
        <f>'Weight '!AI88/12</f>
        <v>3.2554157155911333E-2</v>
      </c>
      <c r="BN86" s="554">
        <f t="shared" si="33"/>
        <v>0.61084789872245271</v>
      </c>
      <c r="BO86" s="554">
        <f t="shared" si="34"/>
        <v>2.1597864403154357</v>
      </c>
      <c r="BP86">
        <f t="shared" si="35"/>
        <v>3.2554157155911333E-2</v>
      </c>
      <c r="BQ86">
        <f t="shared" si="35"/>
        <v>3.2554157155911333E-2</v>
      </c>
      <c r="BR86">
        <f t="shared" si="36"/>
        <v>0.24434051448817731</v>
      </c>
      <c r="BS86">
        <f t="shared" si="37"/>
        <v>9.9748518380928852E-2</v>
      </c>
      <c r="BT86">
        <f t="shared" si="38"/>
        <v>0.23262972443497487</v>
      </c>
      <c r="BU86">
        <f t="shared" si="39"/>
        <v>3.4535663815565637E-2</v>
      </c>
      <c r="BV86">
        <f t="shared" si="40"/>
        <v>543.30302938929162</v>
      </c>
      <c r="BW86" s="207">
        <f t="shared" si="41"/>
        <v>202.49184282027409</v>
      </c>
      <c r="BX86">
        <f t="shared" si="42"/>
        <v>0.65886116123568295</v>
      </c>
      <c r="BY86" s="575">
        <f t="shared" si="43"/>
        <v>10.622525113231035</v>
      </c>
      <c r="BZ86">
        <f t="shared" si="44"/>
        <v>539.76218768488127</v>
      </c>
      <c r="CA86" s="207">
        <f t="shared" si="45"/>
        <v>203.81153279635774</v>
      </c>
      <c r="CB86">
        <f t="shared" si="46"/>
        <v>0.65754077557705848</v>
      </c>
      <c r="CC86">
        <f t="shared" si="47"/>
        <v>254.52513399919661</v>
      </c>
      <c r="CD86">
        <f t="shared" si="48"/>
        <v>454.92047635181575</v>
      </c>
      <c r="CE86" s="207">
        <f t="shared" si="49"/>
        <v>235.43247644390073</v>
      </c>
      <c r="CF86">
        <f t="shared" si="50"/>
        <v>0.62590316275810332</v>
      </c>
      <c r="CG86">
        <f t="shared" si="51"/>
        <v>140.13438781975566</v>
      </c>
      <c r="CH86">
        <f t="shared" si="52"/>
        <v>408.20901374523055</v>
      </c>
      <c r="CI86" s="207">
        <f t="shared" ref="CI86" si="194" xml:space="preserve"> ($BQ$38-CH86*($BP86+$BR86+$BQ86+$BN86))/($BP86+$BR86+$BQ86+$BO86)</f>
        <v>252.84207961631438</v>
      </c>
      <c r="CJ86">
        <f t="shared" si="54"/>
        <v>0.60848438200823562</v>
      </c>
      <c r="CK86">
        <f t="shared" si="55"/>
        <v>81.737048603386796</v>
      </c>
      <c r="CL86">
        <f t="shared" si="56"/>
        <v>380.96333087743494</v>
      </c>
      <c r="CM86" s="207">
        <f t="shared" ref="CM86" si="195" xml:space="preserve"> ($BQ$38-CL86*($BP86+$BR86+$BQ86+$BN86))/($BP86+$BR86+$BQ86+$BO86)</f>
        <v>262.99668622507596</v>
      </c>
      <c r="CN86">
        <f t="shared" si="58"/>
        <v>0.59832442233727345</v>
      </c>
      <c r="CO86">
        <f t="shared" si="59"/>
        <v>49.178075648483585</v>
      </c>
      <c r="CP86">
        <f t="shared" si="60"/>
        <v>364.57063899460707</v>
      </c>
      <c r="CQ86" s="207">
        <f t="shared" ref="CQ86" si="196" xml:space="preserve"> ($BQ$38-CP86*($BP86+$BR86+$BQ86+$BN86))/($BP86+$BR86+$BQ86+$BO86)</f>
        <v>269.10632708584933</v>
      </c>
      <c r="CR86">
        <f t="shared" si="62"/>
        <v>0.59221156074242243</v>
      </c>
      <c r="CS86">
        <f t="shared" si="63"/>
        <v>30.122089747159556</v>
      </c>
      <c r="CT86">
        <f t="shared" si="64"/>
        <v>354.52994241222052</v>
      </c>
      <c r="CU86" s="636">
        <f t="shared" si="65"/>
        <v>272.84854651807319</v>
      </c>
      <c r="CV86" s="575">
        <f t="shared" si="66"/>
        <v>0.58846736857662452</v>
      </c>
      <c r="CW86">
        <f t="shared" si="67"/>
        <v>18.648040875247769</v>
      </c>
      <c r="CX86" s="576">
        <f t="shared" si="68"/>
        <v>0.34229932863068707</v>
      </c>
    </row>
    <row r="87" spans="1:102" x14ac:dyDescent="0.25">
      <c r="A87" s="186">
        <v>43</v>
      </c>
      <c r="B87" s="187">
        <f>A87/100*'Inputs-Imperial'!$E$5</f>
        <v>4.2322835999999997</v>
      </c>
      <c r="C87" s="188">
        <f>'Inputs-Imperial'!$E$10+('Inputs-Imperial'!$E$9-'Inputs-Imperial'!$E$10)*(100-A87)/100</f>
        <v>1.7093176400000001</v>
      </c>
      <c r="D87" s="187">
        <f t="shared" si="69"/>
        <v>9.8425199999999435E-2</v>
      </c>
      <c r="E87" s="188">
        <f t="shared" si="70"/>
        <v>0.16872430658027904</v>
      </c>
      <c r="F87" s="423">
        <f>Sizing!F103</f>
        <v>58.551666717750557</v>
      </c>
      <c r="G87" s="423">
        <f>Sizing!G103</f>
        <v>585.51666717750527</v>
      </c>
      <c r="H87" s="423">
        <f>Sizing!H103</f>
        <v>1474.4655783233391</v>
      </c>
      <c r="I87" s="423">
        <f>Sizing!I103</f>
        <v>-464.85307775484478</v>
      </c>
      <c r="J87" s="189">
        <f>Sizing!J103</f>
        <v>147.44655783233392</v>
      </c>
      <c r="K87" s="128">
        <v>43</v>
      </c>
      <c r="L87" s="12">
        <f t="shared" si="11"/>
        <v>50.7874032</v>
      </c>
      <c r="M87" s="11">
        <f t="shared" si="11"/>
        <v>20.511811680000001</v>
      </c>
      <c r="N87" s="11">
        <f t="shared" si="11"/>
        <v>1.1811023999999932</v>
      </c>
      <c r="O87" s="152">
        <f t="shared" si="71"/>
        <v>24.296300147560181</v>
      </c>
      <c r="P87" s="170">
        <f t="shared" si="162"/>
        <v>3.6921261024000001</v>
      </c>
      <c r="Q87" s="8">
        <f t="shared" si="163"/>
        <v>1.8460630512</v>
      </c>
      <c r="R87" s="170">
        <f>Sizing!X103</f>
        <v>5.1279529200000002</v>
      </c>
      <c r="S87" s="8">
        <f>Sizing!Y103</f>
        <v>15.383858760000001</v>
      </c>
      <c r="T87" s="8">
        <f>Sizing!Z103</f>
        <v>10.25590584</v>
      </c>
      <c r="U87" s="17">
        <f>Sizing!CN103</f>
        <v>0.25</v>
      </c>
      <c r="V87" s="17">
        <f>Sizing!CO103</f>
        <v>2.3622047244094495E-2</v>
      </c>
      <c r="W87" s="17">
        <f>Sizing!CP103</f>
        <v>1.5748031496062995E-2</v>
      </c>
      <c r="X87" s="170">
        <f>Sizing!DU103</f>
        <v>0.15260733333097529</v>
      </c>
      <c r="Y87" s="170">
        <f>Sizing!DV103</f>
        <v>0.39064988587093596</v>
      </c>
      <c r="Z87" s="170">
        <f>Sizing!DW103</f>
        <v>0.15260733333097529</v>
      </c>
      <c r="AA87" s="272">
        <f>Sizing!DX103</f>
        <v>0.39064988587093596</v>
      </c>
      <c r="AB87" s="272">
        <f t="shared" si="12"/>
        <v>2.7227360590487493</v>
      </c>
      <c r="AC87" s="216">
        <f>Sizing!GJ103</f>
        <v>0.25</v>
      </c>
      <c r="AD87" s="216">
        <f>Sizing!GK103</f>
        <v>1.5748031496062995E-2</v>
      </c>
      <c r="AE87" s="17">
        <f>Sizing!GL103</f>
        <v>1.5748031496062995E-2</v>
      </c>
      <c r="AF87" s="170">
        <f>Sizing!JC103</f>
        <v>2.4612277601232125E-3</v>
      </c>
      <c r="AG87" s="272">
        <f>Sizing!JD103</f>
        <v>4.9610762543254791E-2</v>
      </c>
      <c r="AH87" s="170">
        <f>Sizing!JC103</f>
        <v>2.4612277601232125E-3</v>
      </c>
      <c r="AI87" s="272">
        <f>Sizing!JD103</f>
        <v>4.9610762543254791E-2</v>
      </c>
      <c r="AJ87" s="216">
        <f>Sizing!IT103</f>
        <v>0.25</v>
      </c>
      <c r="AK87" s="216">
        <f>Sizing!IU103</f>
        <v>1.5748031496062995E-2</v>
      </c>
      <c r="AL87" s="17">
        <f>Sizing!IV103</f>
        <v>1.5748031496062995E-2</v>
      </c>
      <c r="AM87" s="170">
        <f t="shared" si="13"/>
        <v>0</v>
      </c>
      <c r="AN87" s="11">
        <f t="shared" si="14"/>
        <v>0.28283066737268697</v>
      </c>
      <c r="AO87" s="11">
        <f t="shared" si="15"/>
        <v>0.28283066737268697</v>
      </c>
      <c r="AP87" s="11">
        <f t="shared" si="16"/>
        <v>0.56566133474537394</v>
      </c>
      <c r="AQ87" s="555">
        <f t="shared" si="17"/>
        <v>9024662.7535679508</v>
      </c>
      <c r="AR87" s="311">
        <f t="shared" si="18"/>
        <v>5.2907333055340402</v>
      </c>
      <c r="AS87" s="11">
        <f t="shared" si="19"/>
        <v>8.0874115639382963E-3</v>
      </c>
      <c r="AT87" s="11">
        <f t="shared" si="20"/>
        <v>0.50145635943132849</v>
      </c>
      <c r="AU87" s="11">
        <f t="shared" si="21"/>
        <v>0.50954377099526682</v>
      </c>
      <c r="AV87" s="555">
        <f t="shared" si="22"/>
        <v>8129353.0403372664</v>
      </c>
      <c r="AW87" s="138">
        <f t="shared" si="23"/>
        <v>3.9370078740157494E-2</v>
      </c>
      <c r="AX87" s="138">
        <f t="shared" si="24"/>
        <v>3.1496062992125991E-2</v>
      </c>
      <c r="AY87" s="554">
        <f t="shared" si="25"/>
        <v>3.1496062992125991E-2</v>
      </c>
      <c r="AZ87" s="12">
        <f t="shared" si="26"/>
        <v>178.43978132251704</v>
      </c>
      <c r="BA87" s="11">
        <f t="shared" si="27"/>
        <v>65.695790750393456</v>
      </c>
      <c r="BB87">
        <f t="shared" si="28"/>
        <v>76.32592829237835</v>
      </c>
      <c r="BC87" s="555">
        <f t="shared" si="29"/>
        <v>287824159.67941928</v>
      </c>
      <c r="BD87">
        <f t="shared" si="30"/>
        <v>43</v>
      </c>
      <c r="BE87" s="207">
        <f t="shared" si="31"/>
        <v>1.7093176400000001</v>
      </c>
      <c r="BF87" s="207">
        <f>'Inputs-Imperial'!$E$15*BE87</f>
        <v>1.2819882300000001</v>
      </c>
      <c r="BG87" s="207">
        <f>'Inputs-Imperial'!$E$12*BE87</f>
        <v>0.42732941000000002</v>
      </c>
      <c r="BH87">
        <f>'Inputs-Imperial'!$E$11*BE87</f>
        <v>0.30767717519999999</v>
      </c>
      <c r="BI87">
        <f t="shared" si="32"/>
        <v>0.32634092550036214</v>
      </c>
      <c r="BJ87">
        <f>'Weight '!U89+'Weight '!V89 /12</f>
        <v>2.4934383202099744E-2</v>
      </c>
      <c r="BK87">
        <f>('Weight '!AK89+'Weight '!AL89)/12</f>
        <v>2.6246719160104991E-3</v>
      </c>
      <c r="BL87">
        <f>'Weight '!AG89/12</f>
        <v>3.2554157155911333E-2</v>
      </c>
      <c r="BM87">
        <f>'Weight '!AI89/12</f>
        <v>3.2554157155911333E-2</v>
      </c>
      <c r="BN87" s="554">
        <f t="shared" si="33"/>
        <v>0.60493386977702979</v>
      </c>
      <c r="BO87" s="554">
        <f t="shared" si="34"/>
        <v>2.1498380589228554</v>
      </c>
      <c r="BP87">
        <f t="shared" si="35"/>
        <v>3.2554157155911333E-2</v>
      </c>
      <c r="BQ87">
        <f t="shared" si="35"/>
        <v>3.2554157155911333E-2</v>
      </c>
      <c r="BR87">
        <f t="shared" si="36"/>
        <v>0.24256886088817733</v>
      </c>
      <c r="BS87">
        <f t="shared" si="37"/>
        <v>9.8609629311511973E-2</v>
      </c>
      <c r="BT87">
        <f t="shared" si="38"/>
        <v>0.22997365039316631</v>
      </c>
      <c r="BU87">
        <f t="shared" si="39"/>
        <v>3.375153688504081E-2</v>
      </c>
      <c r="BV87">
        <f t="shared" si="40"/>
        <v>547.87853242843994</v>
      </c>
      <c r="BW87" s="207">
        <f t="shared" si="41"/>
        <v>203.45753835314949</v>
      </c>
      <c r="BX87">
        <f t="shared" si="42"/>
        <v>0.65546656739084452</v>
      </c>
      <c r="BY87" s="575">
        <f t="shared" si="43"/>
        <v>11.177423635367859</v>
      </c>
      <c r="BZ87">
        <f t="shared" si="44"/>
        <v>544.15272454998399</v>
      </c>
      <c r="CA87" s="207">
        <f t="shared" si="45"/>
        <v>204.84113645831238</v>
      </c>
      <c r="CB87">
        <f t="shared" si="46"/>
        <v>0.65409538410944079</v>
      </c>
      <c r="CC87">
        <f t="shared" si="47"/>
        <v>255.9212171375579</v>
      </c>
      <c r="CD87">
        <f t="shared" si="48"/>
        <v>458.84565217079802</v>
      </c>
      <c r="CE87" s="207">
        <f t="shared" si="49"/>
        <v>236.52036081750029</v>
      </c>
      <c r="CF87">
        <f t="shared" si="50"/>
        <v>0.62270041280450406</v>
      </c>
      <c r="CG87">
        <f t="shared" si="51"/>
        <v>141.55558787444997</v>
      </c>
      <c r="CH87">
        <f t="shared" si="52"/>
        <v>411.660456212648</v>
      </c>
      <c r="CI87" s="207">
        <f t="shared" ref="CI87" si="197" xml:space="preserve"> ($BQ$38-CH87*($BP87+$BR87+$BQ87+$BN87))/($BP87+$BR87+$BQ87+$BO87)</f>
        <v>254.04282838673305</v>
      </c>
      <c r="CJ87">
        <f t="shared" si="54"/>
        <v>0.60533517177807095</v>
      </c>
      <c r="CK87">
        <f t="shared" si="55"/>
        <v>82.898992837812543</v>
      </c>
      <c r="CL87">
        <f t="shared" si="56"/>
        <v>384.02745860004381</v>
      </c>
      <c r="CM87" s="207">
        <f t="shared" ref="CM87" si="198" xml:space="preserve"> ($BQ$38-CL87*($BP87+$BR87+$BQ87+$BN87))/($BP87+$BR87+$BQ87+$BO87)</f>
        <v>264.30448555855008</v>
      </c>
      <c r="CN87">
        <f t="shared" si="58"/>
        <v>0.59516559095760935</v>
      </c>
      <c r="CO87">
        <f t="shared" si="59"/>
        <v>50.069755816665108</v>
      </c>
      <c r="CP87">
        <f t="shared" si="60"/>
        <v>367.33753999448879</v>
      </c>
      <c r="CQ87" s="207">
        <f t="shared" ref="CQ87" si="199" xml:space="preserve"> ($BQ$38-CP87*($BP87+$BR87+$BQ87+$BN87))/($BP87+$BR87+$BQ87+$BO87)</f>
        <v>270.50237350964289</v>
      </c>
      <c r="CR87">
        <f t="shared" si="62"/>
        <v>0.58902331575006195</v>
      </c>
      <c r="CS87">
        <f t="shared" si="63"/>
        <v>30.785873172662242</v>
      </c>
      <c r="CT87">
        <f t="shared" si="64"/>
        <v>357.07558227026806</v>
      </c>
      <c r="CU87" s="636">
        <f t="shared" si="65"/>
        <v>274.31320480467406</v>
      </c>
      <c r="CV87" s="575">
        <f t="shared" si="66"/>
        <v>0.58524667848776857</v>
      </c>
      <c r="CW87">
        <f t="shared" si="67"/>
        <v>19.132566515589602</v>
      </c>
      <c r="CX87" s="576">
        <f t="shared" si="68"/>
        <v>0.34238614567142039</v>
      </c>
    </row>
    <row r="88" spans="1:102" x14ac:dyDescent="0.25">
      <c r="A88" s="186">
        <v>44</v>
      </c>
      <c r="B88" s="187">
        <f>A88/100*'Inputs-Imperial'!$E$5</f>
        <v>4.3307088</v>
      </c>
      <c r="C88" s="188">
        <f>'Inputs-Imperial'!$E$10+('Inputs-Imperial'!$E$9-'Inputs-Imperial'!$E$10)*(100-A88)/100</f>
        <v>1.69947512</v>
      </c>
      <c r="D88" s="187">
        <f t="shared" si="69"/>
        <v>9.8425200000000324E-2</v>
      </c>
      <c r="E88" s="188">
        <f t="shared" si="70"/>
        <v>0.16775555458077654</v>
      </c>
      <c r="F88" s="423">
        <f>Sizing!F104</f>
        <v>57.226990865191389</v>
      </c>
      <c r="G88" s="423">
        <f>Sizing!G104</f>
        <v>572.26990865191362</v>
      </c>
      <c r="H88" s="423">
        <f>Sizing!H104</f>
        <v>1416.8359832530596</v>
      </c>
      <c r="I88" s="423">
        <f>Sizing!I104</f>
        <v>-451.82958132898278</v>
      </c>
      <c r="J88" s="189">
        <f>Sizing!J104</f>
        <v>141.68359832530595</v>
      </c>
      <c r="K88" s="128">
        <v>44</v>
      </c>
      <c r="L88" s="12">
        <f t="shared" si="11"/>
        <v>51.9685056</v>
      </c>
      <c r="M88" s="11">
        <f t="shared" si="11"/>
        <v>20.393701440000001</v>
      </c>
      <c r="N88" s="11">
        <f t="shared" si="11"/>
        <v>1.1811024000000039</v>
      </c>
      <c r="O88" s="152">
        <f t="shared" si="71"/>
        <v>24.156799859631825</v>
      </c>
      <c r="P88" s="170">
        <f t="shared" si="162"/>
        <v>3.6708662591999999</v>
      </c>
      <c r="Q88" s="8">
        <f t="shared" si="163"/>
        <v>1.8354331295999999</v>
      </c>
      <c r="R88" s="170">
        <f>Sizing!X104</f>
        <v>5.0984253600000002</v>
      </c>
      <c r="S88" s="8">
        <f>Sizing!Y104</f>
        <v>15.295276080000001</v>
      </c>
      <c r="T88" s="8">
        <f>Sizing!Z104</f>
        <v>10.19685072</v>
      </c>
      <c r="U88" s="17">
        <f>Sizing!CN104</f>
        <v>0.25</v>
      </c>
      <c r="V88" s="17">
        <f>Sizing!CO104</f>
        <v>2.3622047244094495E-2</v>
      </c>
      <c r="W88" s="17">
        <f>Sizing!CP104</f>
        <v>1.5748031496062995E-2</v>
      </c>
      <c r="X88" s="170">
        <f>Sizing!DU104</f>
        <v>0.15260733333097529</v>
      </c>
      <c r="Y88" s="170">
        <f>Sizing!DV104</f>
        <v>0.39064988587093596</v>
      </c>
      <c r="Z88" s="170">
        <f>Sizing!DW104</f>
        <v>0.15260733333097529</v>
      </c>
      <c r="AA88" s="272">
        <f>Sizing!DX104</f>
        <v>0.39064988587093596</v>
      </c>
      <c r="AB88" s="272">
        <f t="shared" si="12"/>
        <v>2.7014762158487491</v>
      </c>
      <c r="AC88" s="216">
        <f>Sizing!GJ104</f>
        <v>0.25</v>
      </c>
      <c r="AD88" s="216">
        <f>Sizing!GK104</f>
        <v>1.5748031496062995E-2</v>
      </c>
      <c r="AE88" s="17">
        <f>Sizing!GL104</f>
        <v>1.5748031496062995E-2</v>
      </c>
      <c r="AF88" s="170">
        <f>Sizing!JC104</f>
        <v>2.4612277601232125E-3</v>
      </c>
      <c r="AG88" s="272">
        <f>Sizing!JD104</f>
        <v>4.9610762543254791E-2</v>
      </c>
      <c r="AH88" s="170">
        <f>Sizing!JC104</f>
        <v>2.4612277601232125E-3</v>
      </c>
      <c r="AI88" s="272">
        <f>Sizing!JD104</f>
        <v>4.9610762543254791E-2</v>
      </c>
      <c r="AJ88" s="216">
        <f>Sizing!IT104</f>
        <v>0.25</v>
      </c>
      <c r="AK88" s="216">
        <f>Sizing!IU104</f>
        <v>1.5748031496062995E-2</v>
      </c>
      <c r="AL88" s="17">
        <f>Sizing!IV104</f>
        <v>1.5748031496062995E-2</v>
      </c>
      <c r="AM88" s="170">
        <f t="shared" si="13"/>
        <v>0</v>
      </c>
      <c r="AN88" s="11">
        <f t="shared" si="14"/>
        <v>0.27843107797821548</v>
      </c>
      <c r="AO88" s="11">
        <f t="shared" si="15"/>
        <v>0.27843107797821548</v>
      </c>
      <c r="AP88" s="11">
        <f t="shared" si="16"/>
        <v>0.55686215595643096</v>
      </c>
      <c r="AQ88" s="555">
        <f t="shared" si="17"/>
        <v>8884279.0713169724</v>
      </c>
      <c r="AR88" s="311">
        <f t="shared" si="18"/>
        <v>5.2602684304541896</v>
      </c>
      <c r="AS88" s="11">
        <f t="shared" si="19"/>
        <v>7.9945425358813778E-3</v>
      </c>
      <c r="AT88" s="11">
        <f t="shared" si="20"/>
        <v>0.49569805662391392</v>
      </c>
      <c r="AU88" s="11">
        <f t="shared" si="21"/>
        <v>0.50369259915979525</v>
      </c>
      <c r="AV88" s="555">
        <f t="shared" si="22"/>
        <v>8036002.3916632226</v>
      </c>
      <c r="AW88" s="138">
        <f t="shared" si="23"/>
        <v>3.9370078740157494E-2</v>
      </c>
      <c r="AX88" s="138">
        <f t="shared" si="24"/>
        <v>3.1496062992125991E-2</v>
      </c>
      <c r="AY88" s="554">
        <f t="shared" si="25"/>
        <v>3.1496062992125991E-2</v>
      </c>
      <c r="AZ88" s="12">
        <f t="shared" si="26"/>
        <v>176.39072904823905</v>
      </c>
      <c r="BA88" s="11">
        <f t="shared" si="27"/>
        <v>65.317504047416136</v>
      </c>
      <c r="BB88">
        <f t="shared" si="28"/>
        <v>75.015015669858386</v>
      </c>
      <c r="BC88" s="555">
        <f t="shared" si="29"/>
        <v>282880723.91084796</v>
      </c>
      <c r="BD88">
        <f t="shared" si="30"/>
        <v>44</v>
      </c>
      <c r="BE88" s="207">
        <f t="shared" si="31"/>
        <v>1.69947512</v>
      </c>
      <c r="BF88" s="207">
        <f>'Inputs-Imperial'!$E$15*BE88</f>
        <v>1.2746063400000001</v>
      </c>
      <c r="BG88" s="207">
        <f>'Inputs-Imperial'!$E$12*BE88</f>
        <v>0.42486878</v>
      </c>
      <c r="BH88">
        <f>'Inputs-Imperial'!$E$11*BE88</f>
        <v>0.30590552160000001</v>
      </c>
      <c r="BI88">
        <f t="shared" si="32"/>
        <v>0.32446180308865186</v>
      </c>
      <c r="BJ88">
        <f>'Weight '!U90+'Weight '!V90 /12</f>
        <v>2.4934383202099744E-2</v>
      </c>
      <c r="BK88">
        <f>('Weight '!AK90+'Weight '!AL90)/12</f>
        <v>2.6246719160104991E-3</v>
      </c>
      <c r="BL88">
        <f>'Weight '!AG90/12</f>
        <v>3.2554157155911333E-2</v>
      </c>
      <c r="BM88">
        <f>'Weight '!AI90/12</f>
        <v>3.2554157155911333E-2</v>
      </c>
      <c r="BN88" s="554">
        <f t="shared" si="33"/>
        <v>0.59903500729900783</v>
      </c>
      <c r="BO88" s="554">
        <f t="shared" si="34"/>
        <v>2.1398745110628745</v>
      </c>
      <c r="BP88">
        <f t="shared" si="35"/>
        <v>3.2554157155911333E-2</v>
      </c>
      <c r="BQ88">
        <f t="shared" si="35"/>
        <v>3.2554157155911333E-2</v>
      </c>
      <c r="BR88">
        <f t="shared" si="36"/>
        <v>0.24079720728817736</v>
      </c>
      <c r="BS88">
        <f t="shared" si="37"/>
        <v>9.7477279318091747E-2</v>
      </c>
      <c r="BT88">
        <f t="shared" si="38"/>
        <v>0.22733282653724363</v>
      </c>
      <c r="BU88">
        <f t="shared" si="39"/>
        <v>3.2980838972707788E-2</v>
      </c>
      <c r="BV88">
        <f t="shared" si="40"/>
        <v>552.52249626649279</v>
      </c>
      <c r="BW88" s="207">
        <f t="shared" si="41"/>
        <v>204.43375664311824</v>
      </c>
      <c r="BX88">
        <f t="shared" si="42"/>
        <v>0.65207094192158233</v>
      </c>
      <c r="BY88" s="575">
        <f t="shared" si="43"/>
        <v>11.737171314568627</v>
      </c>
      <c r="BZ88">
        <f t="shared" si="44"/>
        <v>548.61010582830329</v>
      </c>
      <c r="CA88" s="207">
        <f t="shared" si="45"/>
        <v>205.88134417147825</v>
      </c>
      <c r="CB88">
        <f t="shared" si="46"/>
        <v>0.65065003524152842</v>
      </c>
      <c r="CC88">
        <f t="shared" si="47"/>
        <v>257.33570169867204</v>
      </c>
      <c r="CD88">
        <f t="shared" si="48"/>
        <v>462.83153859541261</v>
      </c>
      <c r="CE88" s="207">
        <f t="shared" si="49"/>
        <v>237.6194812742726</v>
      </c>
      <c r="CF88">
        <f t="shared" si="50"/>
        <v>0.61949687169298639</v>
      </c>
      <c r="CG88">
        <f t="shared" si="51"/>
        <v>142.9933205079567</v>
      </c>
      <c r="CH88">
        <f t="shared" si="52"/>
        <v>415.16709842609373</v>
      </c>
      <c r="CI88" s="207">
        <f t="shared" ref="CI88" si="200" xml:space="preserve"> ($BQ$38-CH88*($BP88+$BR88+$BQ88+$BN88))/($BP88+$BR88+$BQ88+$BO88)</f>
        <v>255.2553614926324</v>
      </c>
      <c r="CJ88">
        <f t="shared" si="54"/>
        <v>0.60218604280011201</v>
      </c>
      <c r="CK88">
        <f t="shared" si="55"/>
        <v>84.076889355059308</v>
      </c>
      <c r="CL88">
        <f t="shared" si="56"/>
        <v>387.14146864107397</v>
      </c>
      <c r="CM88" s="207">
        <f t="shared" ref="CM88" si="201" xml:space="preserve"> ($BQ$38-CL88*($BP88+$BR88+$BQ88+$BN88))/($BP88+$BR88+$BQ88+$BO88)</f>
        <v>265.62486647741667</v>
      </c>
      <c r="CN88">
        <f t="shared" si="58"/>
        <v>0.59200766075890632</v>
      </c>
      <c r="CO88">
        <f t="shared" si="59"/>
        <v>50.976144244146013</v>
      </c>
      <c r="CP88">
        <f t="shared" si="60"/>
        <v>370.14942055969198</v>
      </c>
      <c r="CQ88" s="207">
        <f t="shared" ref="CQ88" si="202" xml:space="preserve"> ($BQ$38-CP88*($BP88+$BR88+$BQ88+$BN88))/($BP88+$BR88+$BQ88+$BO88)</f>
        <v>271.91193758458468</v>
      </c>
      <c r="CR88">
        <f t="shared" si="62"/>
        <v>0.58583646823400948</v>
      </c>
      <c r="CS88">
        <f t="shared" si="63"/>
        <v>31.462659562907934</v>
      </c>
      <c r="CT88">
        <f t="shared" si="64"/>
        <v>359.66186737205601</v>
      </c>
      <c r="CU88" s="636">
        <f t="shared" si="65"/>
        <v>275.7923404833453</v>
      </c>
      <c r="CV88" s="575">
        <f t="shared" si="66"/>
        <v>0.58202758601298321</v>
      </c>
      <c r="CW88">
        <f t="shared" si="67"/>
        <v>19.628199766936746</v>
      </c>
      <c r="CX88" s="576">
        <f t="shared" si="68"/>
        <v>0.34247490837817218</v>
      </c>
    </row>
    <row r="89" spans="1:102" x14ac:dyDescent="0.25">
      <c r="A89" s="186">
        <v>45</v>
      </c>
      <c r="B89" s="187">
        <f>A89/100*'Inputs-Imperial'!$E$5</f>
        <v>4.4291340000000003</v>
      </c>
      <c r="C89" s="188">
        <f>'Inputs-Imperial'!$E$10+('Inputs-Imperial'!$E$9-'Inputs-Imperial'!$E$10)*(100-A89)/100</f>
        <v>1.6896325999999999</v>
      </c>
      <c r="D89" s="187">
        <f t="shared" si="69"/>
        <v>9.8425200000000324E-2</v>
      </c>
      <c r="E89" s="188">
        <f t="shared" si="70"/>
        <v>0.16678680258127257</v>
      </c>
      <c r="F89" s="423">
        <f>Sizing!F105</f>
        <v>55.909733567766089</v>
      </c>
      <c r="G89" s="423">
        <f>Sizing!G105</f>
        <v>559.09733567766068</v>
      </c>
      <c r="H89" s="423">
        <f>Sizing!H105</f>
        <v>1360.510203040013</v>
      </c>
      <c r="I89" s="423">
        <f>Sizing!I105</f>
        <v>-438.95227152323343</v>
      </c>
      <c r="J89" s="189">
        <f>Sizing!J105</f>
        <v>136.0510203040013</v>
      </c>
      <c r="K89" s="128">
        <v>45</v>
      </c>
      <c r="L89" s="12">
        <f t="shared" si="11"/>
        <v>53.149608000000001</v>
      </c>
      <c r="M89" s="11">
        <f t="shared" si="11"/>
        <v>20.275591200000001</v>
      </c>
      <c r="N89" s="11">
        <f t="shared" si="11"/>
        <v>1.1811024000000039</v>
      </c>
      <c r="O89" s="152">
        <f t="shared" si="71"/>
        <v>24.017299571703251</v>
      </c>
      <c r="P89" s="170">
        <f t="shared" si="162"/>
        <v>3.6496064160000001</v>
      </c>
      <c r="Q89" s="8">
        <f t="shared" si="163"/>
        <v>1.8248032080000001</v>
      </c>
      <c r="R89" s="170">
        <f>Sizing!X105</f>
        <v>5.0688978000000002</v>
      </c>
      <c r="S89" s="8">
        <f>Sizing!Y105</f>
        <v>15.206693400000001</v>
      </c>
      <c r="T89" s="8">
        <f>Sizing!Z105</f>
        <v>10.1377956</v>
      </c>
      <c r="U89" s="17">
        <f>Sizing!CN105</f>
        <v>0.25</v>
      </c>
      <c r="V89" s="17">
        <f>Sizing!CO105</f>
        <v>2.3622047244094495E-2</v>
      </c>
      <c r="W89" s="17">
        <f>Sizing!CP105</f>
        <v>1.5748031496062995E-2</v>
      </c>
      <c r="X89" s="170">
        <f>Sizing!DU105</f>
        <v>0.15260733333097529</v>
      </c>
      <c r="Y89" s="170">
        <f>Sizing!DV105</f>
        <v>0.39064988587093596</v>
      </c>
      <c r="Z89" s="170">
        <f>Sizing!DW105</f>
        <v>0.15260733333097529</v>
      </c>
      <c r="AA89" s="272">
        <f>Sizing!DX105</f>
        <v>0.39064988587093596</v>
      </c>
      <c r="AB89" s="272">
        <f t="shared" si="12"/>
        <v>2.6802163726487498</v>
      </c>
      <c r="AC89" s="216">
        <f>Sizing!GJ105</f>
        <v>0.25</v>
      </c>
      <c r="AD89" s="216">
        <f>Sizing!GK105</f>
        <v>1.5748031496062995E-2</v>
      </c>
      <c r="AE89" s="17">
        <f>Sizing!GL105</f>
        <v>1.5748031496062995E-2</v>
      </c>
      <c r="AF89" s="170">
        <f>Sizing!JC105</f>
        <v>2.4612277601232125E-3</v>
      </c>
      <c r="AG89" s="272">
        <f>Sizing!JD105</f>
        <v>4.9610762543254791E-2</v>
      </c>
      <c r="AH89" s="170">
        <f>Sizing!JC105</f>
        <v>2.4612277601232125E-3</v>
      </c>
      <c r="AI89" s="272">
        <f>Sizing!JD105</f>
        <v>4.9610762543254791E-2</v>
      </c>
      <c r="AJ89" s="216">
        <f>Sizing!IT105</f>
        <v>0.25</v>
      </c>
      <c r="AK89" s="216">
        <f>Sizing!IU105</f>
        <v>1.5748031496062995E-2</v>
      </c>
      <c r="AL89" s="17">
        <f>Sizing!IV105</f>
        <v>1.5748031496062995E-2</v>
      </c>
      <c r="AM89" s="170">
        <f t="shared" si="13"/>
        <v>0</v>
      </c>
      <c r="AN89" s="11">
        <f t="shared" si="14"/>
        <v>0.27406597638618646</v>
      </c>
      <c r="AO89" s="11">
        <f t="shared" si="15"/>
        <v>0.27406597638618646</v>
      </c>
      <c r="AP89" s="11">
        <f t="shared" si="16"/>
        <v>0.54813195277237292</v>
      </c>
      <c r="AQ89" s="555">
        <f t="shared" si="17"/>
        <v>8744995.8382819369</v>
      </c>
      <c r="AR89" s="311">
        <f t="shared" si="18"/>
        <v>5.2298035553743389</v>
      </c>
      <c r="AS89" s="11">
        <f t="shared" si="19"/>
        <v>7.9022098063502907E-3</v>
      </c>
      <c r="AT89" s="11">
        <f t="shared" si="20"/>
        <v>0.48997300676822636</v>
      </c>
      <c r="AU89" s="11">
        <f t="shared" si="21"/>
        <v>0.49787521657457667</v>
      </c>
      <c r="AV89" s="555">
        <f t="shared" si="22"/>
        <v>7943190.8227697797</v>
      </c>
      <c r="AW89" s="138">
        <f t="shared" si="23"/>
        <v>3.9370078740157494E-2</v>
      </c>
      <c r="AX89" s="138">
        <f t="shared" si="24"/>
        <v>3.1496062992125991E-2</v>
      </c>
      <c r="AY89" s="554">
        <f t="shared" si="25"/>
        <v>3.1496062992125991E-2</v>
      </c>
      <c r="AZ89" s="12">
        <f t="shared" si="26"/>
        <v>174.35350960711384</v>
      </c>
      <c r="BA89" s="11">
        <f t="shared" si="27"/>
        <v>64.939217344438816</v>
      </c>
      <c r="BB89">
        <f t="shared" si="28"/>
        <v>73.719199761930426</v>
      </c>
      <c r="BC89" s="555">
        <f t="shared" si="29"/>
        <v>277994217.67184252</v>
      </c>
      <c r="BD89">
        <f t="shared" si="30"/>
        <v>45</v>
      </c>
      <c r="BE89" s="207">
        <f t="shared" si="31"/>
        <v>1.6896325999999999</v>
      </c>
      <c r="BF89" s="207">
        <f>'Inputs-Imperial'!$E$15*BE89</f>
        <v>1.2672244500000001</v>
      </c>
      <c r="BG89" s="207">
        <f>'Inputs-Imperial'!$E$12*BE89</f>
        <v>0.42240814999999998</v>
      </c>
      <c r="BH89">
        <f>'Inputs-Imperial'!$E$11*BE89</f>
        <v>0.30413386799999997</v>
      </c>
      <c r="BI89">
        <f t="shared" si="32"/>
        <v>0.32258268067694146</v>
      </c>
      <c r="BJ89">
        <f>'Weight '!U91+'Weight '!V91 /12</f>
        <v>2.4934383202099744E-2</v>
      </c>
      <c r="BK89">
        <f>('Weight '!AK91+'Weight '!AL91)/12</f>
        <v>2.6246719160104991E-3</v>
      </c>
      <c r="BL89">
        <f>'Weight '!AG91/12</f>
        <v>3.2554157155911333E-2</v>
      </c>
      <c r="BM89">
        <f>'Weight '!AI91/12</f>
        <v>3.2554157155911333E-2</v>
      </c>
      <c r="BN89" s="554">
        <f t="shared" si="33"/>
        <v>0.59315149380625798</v>
      </c>
      <c r="BO89" s="554">
        <f t="shared" si="34"/>
        <v>2.1298956142176211</v>
      </c>
      <c r="BP89">
        <f t="shared" si="35"/>
        <v>3.2554157155911333E-2</v>
      </c>
      <c r="BQ89">
        <f t="shared" si="35"/>
        <v>3.2554157155911333E-2</v>
      </c>
      <c r="BR89">
        <f t="shared" si="36"/>
        <v>0.23902555368817732</v>
      </c>
      <c r="BS89">
        <f t="shared" si="37"/>
        <v>9.6351468400668133E-2</v>
      </c>
      <c r="BT89">
        <f t="shared" si="38"/>
        <v>0.22470725286720697</v>
      </c>
      <c r="BU89">
        <f t="shared" si="39"/>
        <v>3.2223415871875619E-2</v>
      </c>
      <c r="BV89">
        <f t="shared" si="40"/>
        <v>557.23632779820173</v>
      </c>
      <c r="BW89" s="207">
        <f t="shared" si="41"/>
        <v>205.42068354260638</v>
      </c>
      <c r="BX89">
        <f t="shared" si="42"/>
        <v>0.64867426689717966</v>
      </c>
      <c r="BY89" s="575">
        <f t="shared" si="43"/>
        <v>12.301826047074911</v>
      </c>
      <c r="BZ89">
        <f t="shared" si="44"/>
        <v>553.13571911584347</v>
      </c>
      <c r="CA89" s="207">
        <f t="shared" si="45"/>
        <v>206.93233990176577</v>
      </c>
      <c r="CB89">
        <f t="shared" si="46"/>
        <v>0.64720470726592427</v>
      </c>
      <c r="CC89">
        <f t="shared" si="47"/>
        <v>258.76885646807443</v>
      </c>
      <c r="CD89">
        <f t="shared" si="48"/>
        <v>466.87943362648531</v>
      </c>
      <c r="CE89" s="207">
        <f t="shared" si="49"/>
        <v>238.73002472802656</v>
      </c>
      <c r="CF89">
        <f t="shared" si="50"/>
        <v>0.61629252692485781</v>
      </c>
      <c r="CG89">
        <f t="shared" si="51"/>
        <v>144.44786123817761</v>
      </c>
      <c r="CH89">
        <f t="shared" si="52"/>
        <v>418.73014654709277</v>
      </c>
      <c r="CI89" s="207">
        <f t="shared" ref="CI89" si="203" xml:space="preserve"> ($BQ$38-CH89*($BP89+$BR89+$BQ89+$BN89))/($BP89+$BR89+$BQ89+$BO89)</f>
        <v>256.47987155337546</v>
      </c>
      <c r="CJ89">
        <f t="shared" si="54"/>
        <v>0.59903697926189248</v>
      </c>
      <c r="CK89">
        <f t="shared" si="55"/>
        <v>85.27100206550665</v>
      </c>
      <c r="CL89">
        <f t="shared" si="56"/>
        <v>390.30647919192387</v>
      </c>
      <c r="CM89" s="207">
        <f t="shared" ref="CM89" si="204" xml:space="preserve"> ($BQ$38-CL89*($BP89+$BR89+$BQ89+$BN89))/($BP89+$BR89+$BQ89+$BO89)</f>
        <v>266.95802756297604</v>
      </c>
      <c r="CN89">
        <f t="shared" si="58"/>
        <v>0.58885061978382447</v>
      </c>
      <c r="CO89">
        <f t="shared" si="59"/>
        <v>51.897496360105237</v>
      </c>
      <c r="CP89">
        <f t="shared" si="60"/>
        <v>373.00731373855547</v>
      </c>
      <c r="CQ89" s="207">
        <f t="shared" ref="CQ89" si="205" xml:space="preserve"> ($BQ$38-CP89*($BP89+$BR89+$BQ89+$BN89))/($BP89+$BR89+$BQ89+$BO89)</f>
        <v>273.33522555756633</v>
      </c>
      <c r="CR89">
        <f t="shared" si="62"/>
        <v>0.58265101451203882</v>
      </c>
      <c r="CS89">
        <f t="shared" si="63"/>
        <v>32.152695500655142</v>
      </c>
      <c r="CT89">
        <f t="shared" si="64"/>
        <v>362.28974857167043</v>
      </c>
      <c r="CU89" s="636">
        <f t="shared" si="65"/>
        <v>277.28616962324338</v>
      </c>
      <c r="CV89" s="575">
        <f t="shared" si="66"/>
        <v>0.57881009665455985</v>
      </c>
      <c r="CW89">
        <f t="shared" si="67"/>
        <v>20.13517561271615</v>
      </c>
      <c r="CX89" s="576">
        <f t="shared" si="68"/>
        <v>0.3425656540093745</v>
      </c>
    </row>
    <row r="90" spans="1:102" x14ac:dyDescent="0.25">
      <c r="A90" s="186">
        <v>46</v>
      </c>
      <c r="B90" s="187">
        <f>A90/100*'Inputs-Imperial'!$E$5</f>
        <v>4.5275592000000007</v>
      </c>
      <c r="C90" s="188">
        <f>'Inputs-Imperial'!$E$10+('Inputs-Imperial'!$E$9-'Inputs-Imperial'!$E$10)*(100-A90)/100</f>
        <v>1.6797900800000001</v>
      </c>
      <c r="D90" s="187">
        <f t="shared" si="69"/>
        <v>9.8425200000000324E-2</v>
      </c>
      <c r="E90" s="188">
        <f t="shared" si="70"/>
        <v>0.16581805058176854</v>
      </c>
      <c r="F90" s="423">
        <f>Sizing!F106</f>
        <v>54.600002302314621</v>
      </c>
      <c r="G90" s="423">
        <f>Sizing!G106</f>
        <v>546.00002302314601</v>
      </c>
      <c r="H90" s="423">
        <f>Sizing!H106</f>
        <v>1305.480935956472</v>
      </c>
      <c r="I90" s="423">
        <f>Sizing!I106</f>
        <v>-426.22242432834167</v>
      </c>
      <c r="J90" s="189">
        <f>Sizing!J106</f>
        <v>130.5480935956472</v>
      </c>
      <c r="K90" s="128">
        <v>46</v>
      </c>
      <c r="L90" s="12">
        <f t="shared" si="11"/>
        <v>54.330710400000008</v>
      </c>
      <c r="M90" s="11">
        <f t="shared" si="11"/>
        <v>20.157480960000001</v>
      </c>
      <c r="N90" s="11">
        <f t="shared" si="11"/>
        <v>1.1811024000000039</v>
      </c>
      <c r="O90" s="152">
        <f t="shared" si="71"/>
        <v>23.877799283774671</v>
      </c>
      <c r="P90" s="170">
        <f t="shared" si="162"/>
        <v>3.6283465727999999</v>
      </c>
      <c r="Q90" s="8">
        <f t="shared" si="163"/>
        <v>1.8141732864</v>
      </c>
      <c r="R90" s="170">
        <f>Sizing!X106</f>
        <v>5.0393702400000002</v>
      </c>
      <c r="S90" s="8">
        <f>Sizing!Y106</f>
        <v>15.118110720000001</v>
      </c>
      <c r="T90" s="8">
        <f>Sizing!Z106</f>
        <v>10.07874048</v>
      </c>
      <c r="U90" s="17">
        <f>Sizing!CN106</f>
        <v>0.25</v>
      </c>
      <c r="V90" s="17">
        <f>Sizing!CO106</f>
        <v>2.3622047244094495E-2</v>
      </c>
      <c r="W90" s="17">
        <f>Sizing!CP106</f>
        <v>1.5748031496062995E-2</v>
      </c>
      <c r="X90" s="170">
        <f>Sizing!DU106</f>
        <v>0.15260733333097529</v>
      </c>
      <c r="Y90" s="170">
        <f>Sizing!DV106</f>
        <v>0.39064988587093596</v>
      </c>
      <c r="Z90" s="170">
        <f>Sizing!DW106</f>
        <v>0.15260733333097529</v>
      </c>
      <c r="AA90" s="272">
        <f>Sizing!DX106</f>
        <v>0.39064988587093596</v>
      </c>
      <c r="AB90" s="272">
        <f t="shared" si="12"/>
        <v>2.6589565294487496</v>
      </c>
      <c r="AC90" s="216">
        <f>Sizing!GJ106</f>
        <v>0.25</v>
      </c>
      <c r="AD90" s="216">
        <f>Sizing!GK106</f>
        <v>1.5748031496062995E-2</v>
      </c>
      <c r="AE90" s="17">
        <f>Sizing!GL106</f>
        <v>1.5748031496062995E-2</v>
      </c>
      <c r="AF90" s="170">
        <f>Sizing!JC106</f>
        <v>2.4612277601232125E-3</v>
      </c>
      <c r="AG90" s="272">
        <f>Sizing!JD106</f>
        <v>4.9610762543254791E-2</v>
      </c>
      <c r="AH90" s="170">
        <f>Sizing!JC106</f>
        <v>2.4612277601232125E-3</v>
      </c>
      <c r="AI90" s="272">
        <f>Sizing!JD106</f>
        <v>4.9610762543254791E-2</v>
      </c>
      <c r="AJ90" s="216">
        <f>Sizing!IT106</f>
        <v>0.25</v>
      </c>
      <c r="AK90" s="216">
        <f>Sizing!IU106</f>
        <v>1.5748031496062995E-2</v>
      </c>
      <c r="AL90" s="17">
        <f>Sizing!IV106</f>
        <v>1.5748031496062995E-2</v>
      </c>
      <c r="AM90" s="170">
        <f t="shared" si="13"/>
        <v>0</v>
      </c>
      <c r="AN90" s="11">
        <f t="shared" si="14"/>
        <v>0.26973536259659953</v>
      </c>
      <c r="AO90" s="11">
        <f t="shared" si="15"/>
        <v>0.26973536259659953</v>
      </c>
      <c r="AP90" s="11">
        <f t="shared" si="16"/>
        <v>0.53947072519319905</v>
      </c>
      <c r="AQ90" s="555">
        <f t="shared" si="17"/>
        <v>8606813.0544628333</v>
      </c>
      <c r="AR90" s="311">
        <f t="shared" si="18"/>
        <v>5.1993386802944883</v>
      </c>
      <c r="AS90" s="11">
        <f t="shared" si="19"/>
        <v>7.8104133753450393E-3</v>
      </c>
      <c r="AT90" s="11">
        <f t="shared" si="20"/>
        <v>0.48428120986426593</v>
      </c>
      <c r="AU90" s="11">
        <f t="shared" si="21"/>
        <v>0.49209162323961098</v>
      </c>
      <c r="AV90" s="555">
        <f t="shared" si="22"/>
        <v>7850918.3336569369</v>
      </c>
      <c r="AW90" s="138">
        <f t="shared" si="23"/>
        <v>3.9370078740157494E-2</v>
      </c>
      <c r="AX90" s="138">
        <f t="shared" si="24"/>
        <v>3.1496062992125991E-2</v>
      </c>
      <c r="AY90" s="554">
        <f t="shared" si="25"/>
        <v>3.1496062992125991E-2</v>
      </c>
      <c r="AZ90" s="12">
        <f t="shared" si="26"/>
        <v>172.3281229991413</v>
      </c>
      <c r="BA90" s="11">
        <f t="shared" si="27"/>
        <v>64.560930641461553</v>
      </c>
      <c r="BB90">
        <f t="shared" si="28"/>
        <v>72.43839313588434</v>
      </c>
      <c r="BC90" s="555">
        <f t="shared" si="29"/>
        <v>273164311.25470227</v>
      </c>
      <c r="BD90">
        <f t="shared" si="30"/>
        <v>46</v>
      </c>
      <c r="BE90" s="207">
        <f t="shared" si="31"/>
        <v>1.6797900800000001</v>
      </c>
      <c r="BF90" s="207">
        <f>'Inputs-Imperial'!$E$15*BE90</f>
        <v>1.2598425600000001</v>
      </c>
      <c r="BG90" s="207">
        <f>'Inputs-Imperial'!$E$12*BE90</f>
        <v>0.41994752000000002</v>
      </c>
      <c r="BH90">
        <f>'Inputs-Imperial'!$E$11*BE90</f>
        <v>0.3023622144</v>
      </c>
      <c r="BI90">
        <f t="shared" si="32"/>
        <v>0.32070355826523117</v>
      </c>
      <c r="BJ90">
        <f>'Weight '!U92+'Weight '!V92 /12</f>
        <v>2.4934383202099744E-2</v>
      </c>
      <c r="BK90">
        <f>('Weight '!AK92+'Weight '!AL92)/12</f>
        <v>2.6246719160104991E-3</v>
      </c>
      <c r="BL90">
        <f>'Weight '!AG92/12</f>
        <v>3.2554157155911333E-2</v>
      </c>
      <c r="BM90">
        <f>'Weight '!AI92/12</f>
        <v>3.2554157155911333E-2</v>
      </c>
      <c r="BN90" s="554">
        <f t="shared" si="33"/>
        <v>0.58728351325539541</v>
      </c>
      <c r="BO90" s="554">
        <f t="shared" si="34"/>
        <v>2.1199011844304807</v>
      </c>
      <c r="BP90">
        <f t="shared" si="35"/>
        <v>3.2554157155911333E-2</v>
      </c>
      <c r="BQ90">
        <f t="shared" si="35"/>
        <v>3.2554157155911333E-2</v>
      </c>
      <c r="BR90">
        <f t="shared" si="36"/>
        <v>0.23725390008817734</v>
      </c>
      <c r="BS90">
        <f t="shared" si="37"/>
        <v>9.5232196559241214E-2</v>
      </c>
      <c r="BT90">
        <f t="shared" si="38"/>
        <v>0.22209692938305631</v>
      </c>
      <c r="BU90">
        <f t="shared" si="39"/>
        <v>3.1479114266363635E-2</v>
      </c>
      <c r="BV90">
        <f t="shared" si="40"/>
        <v>562.02147040903367</v>
      </c>
      <c r="BW90" s="207">
        <f t="shared" si="41"/>
        <v>206.41850933363003</v>
      </c>
      <c r="BX90">
        <f t="shared" si="42"/>
        <v>0.64527652409935976</v>
      </c>
      <c r="BY90" s="575">
        <f t="shared" si="43"/>
        <v>12.871446662093433</v>
      </c>
      <c r="BZ90">
        <f t="shared" si="44"/>
        <v>557.73098818833591</v>
      </c>
      <c r="CA90" s="207">
        <f t="shared" si="45"/>
        <v>207.99431202258123</v>
      </c>
      <c r="CB90">
        <f t="shared" si="46"/>
        <v>0.64375937812994977</v>
      </c>
      <c r="CC90">
        <f t="shared" si="47"/>
        <v>260.22095530408103</v>
      </c>
      <c r="CD90">
        <f t="shared" si="48"/>
        <v>470.99066975364224</v>
      </c>
      <c r="CE90" s="207">
        <f t="shared" si="49"/>
        <v>239.85218253664348</v>
      </c>
      <c r="CF90">
        <f t="shared" si="50"/>
        <v>0.61308736558466936</v>
      </c>
      <c r="CG90">
        <f t="shared" si="51"/>
        <v>145.91949088877973</v>
      </c>
      <c r="CH90">
        <f t="shared" si="52"/>
        <v>422.35083945738234</v>
      </c>
      <c r="CI90" s="207">
        <f t="shared" ref="CI90" si="206" xml:space="preserve"> ($BQ$38-CH90*($BP90+$BR90+$BQ90+$BN90))/($BP90+$BR90+$BQ90+$BO90)</f>
        <v>257.71655568361166</v>
      </c>
      <c r="CJ90">
        <f t="shared" si="54"/>
        <v>0.59588796498331675</v>
      </c>
      <c r="CK90">
        <f t="shared" si="55"/>
        <v>86.481600295991313</v>
      </c>
      <c r="CL90">
        <f t="shared" si="56"/>
        <v>393.52363935871858</v>
      </c>
      <c r="CM90" s="207">
        <f t="shared" ref="CM90" si="207" xml:space="preserve"> ($BQ$38-CL90*($BP90+$BR90+$BQ90+$BN90))/($BP90+$BR90+$BQ90+$BO90)</f>
        <v>268.30417196862254</v>
      </c>
      <c r="CN90">
        <f t="shared" si="58"/>
        <v>0.5856944556784458</v>
      </c>
      <c r="CO90">
        <f t="shared" si="59"/>
        <v>52.834072915059437</v>
      </c>
      <c r="CP90">
        <f t="shared" si="60"/>
        <v>375.91228172036546</v>
      </c>
      <c r="CQ90" s="207">
        <f t="shared" ref="CQ90" si="208" xml:space="preserve"> ($BQ$38-CP90*($BP90+$BR90+$BQ90+$BN90))/($BP90+$BR90+$BQ90+$BO90)</f>
        <v>274.77244832896253</v>
      </c>
      <c r="CR90">
        <f t="shared" si="62"/>
        <v>0.57946695049779928</v>
      </c>
      <c r="CS90">
        <f t="shared" si="63"/>
        <v>32.85623275820123</v>
      </c>
      <c r="CT90">
        <f t="shared" si="64"/>
        <v>364.96020413429835</v>
      </c>
      <c r="CU90" s="636">
        <f t="shared" si="65"/>
        <v>278.79491303618613</v>
      </c>
      <c r="CV90" s="575">
        <f t="shared" si="66"/>
        <v>0.57559421556693036</v>
      </c>
      <c r="CW90">
        <f t="shared" si="67"/>
        <v>20.653734126863274</v>
      </c>
      <c r="CX90" s="576">
        <f t="shared" si="68"/>
        <v>0.34265842048961875</v>
      </c>
    </row>
    <row r="91" spans="1:102" x14ac:dyDescent="0.25">
      <c r="A91" s="186">
        <v>47</v>
      </c>
      <c r="B91" s="187">
        <f>A91/100*'Inputs-Imperial'!$E$5</f>
        <v>4.6259844000000001</v>
      </c>
      <c r="C91" s="188">
        <f>'Inputs-Imperial'!$E$10+('Inputs-Imperial'!$E$9-'Inputs-Imperial'!$E$10)*(100-A91)/100</f>
        <v>1.66994756</v>
      </c>
      <c r="D91" s="187">
        <f t="shared" si="69"/>
        <v>9.8425199999999435E-2</v>
      </c>
      <c r="E91" s="188">
        <f t="shared" si="70"/>
        <v>0.16484929858226305</v>
      </c>
      <c r="F91" s="423">
        <f>Sizing!F107</f>
        <v>53.297906381424134</v>
      </c>
      <c r="G91" s="423">
        <f>Sizing!G107</f>
        <v>532.97906381424116</v>
      </c>
      <c r="H91" s="423">
        <f>Sizing!H107</f>
        <v>1251.7407744904144</v>
      </c>
      <c r="I91" s="423">
        <f>Sizing!I107</f>
        <v>-413.64131531044177</v>
      </c>
      <c r="J91" s="189">
        <f>Sizing!J107</f>
        <v>125.17407744904145</v>
      </c>
      <c r="K91" s="128">
        <v>47</v>
      </c>
      <c r="L91" s="12">
        <f t="shared" si="11"/>
        <v>55.511812800000001</v>
      </c>
      <c r="M91" s="11">
        <f t="shared" si="11"/>
        <v>20.039370720000001</v>
      </c>
      <c r="N91" s="11">
        <f t="shared" si="11"/>
        <v>1.1811023999999932</v>
      </c>
      <c r="O91" s="152">
        <f t="shared" si="71"/>
        <v>23.738298995845881</v>
      </c>
      <c r="P91" s="170">
        <f t="shared" si="162"/>
        <v>3.6070867296000002</v>
      </c>
      <c r="Q91" s="8">
        <f t="shared" si="163"/>
        <v>1.8035433648000001</v>
      </c>
      <c r="R91" s="170">
        <f>Sizing!X107</f>
        <v>5.0098426800000002</v>
      </c>
      <c r="S91" s="8">
        <f>Sizing!Y107</f>
        <v>15.029528040000001</v>
      </c>
      <c r="T91" s="8">
        <f>Sizing!Z107</f>
        <v>10.01968536</v>
      </c>
      <c r="U91" s="17">
        <f>Sizing!CN107</f>
        <v>0.25</v>
      </c>
      <c r="V91" s="17">
        <f>Sizing!CO107</f>
        <v>2.3622047244094495E-2</v>
      </c>
      <c r="W91" s="17">
        <f>Sizing!CP107</f>
        <v>1.5748031496062995E-2</v>
      </c>
      <c r="X91" s="170">
        <f>Sizing!DU107</f>
        <v>0.15260733333097529</v>
      </c>
      <c r="Y91" s="170">
        <f>Sizing!DV107</f>
        <v>0.39064988587093596</v>
      </c>
      <c r="Z91" s="170">
        <f>Sizing!DW107</f>
        <v>0.15260733333097529</v>
      </c>
      <c r="AA91" s="272">
        <f>Sizing!DX107</f>
        <v>0.39064988587093596</v>
      </c>
      <c r="AB91" s="272">
        <f t="shared" si="12"/>
        <v>2.6376966862487494</v>
      </c>
      <c r="AC91" s="216">
        <f>Sizing!GJ107</f>
        <v>0.25</v>
      </c>
      <c r="AD91" s="216">
        <f>Sizing!GK107</f>
        <v>1.5748031496062995E-2</v>
      </c>
      <c r="AE91" s="17">
        <f>Sizing!GL107</f>
        <v>1.5748031496062995E-2</v>
      </c>
      <c r="AF91" s="170">
        <f>Sizing!JC107</f>
        <v>2.4612277601232125E-3</v>
      </c>
      <c r="AG91" s="272">
        <f>Sizing!JD107</f>
        <v>4.9610762543254791E-2</v>
      </c>
      <c r="AH91" s="170">
        <f>Sizing!JC107</f>
        <v>2.4612277601232125E-3</v>
      </c>
      <c r="AI91" s="272">
        <f>Sizing!JD107</f>
        <v>4.9610762543254791E-2</v>
      </c>
      <c r="AJ91" s="216">
        <f>Sizing!IT107</f>
        <v>0.25</v>
      </c>
      <c r="AK91" s="216">
        <f>Sizing!IU107</f>
        <v>1.5748031496062995E-2</v>
      </c>
      <c r="AL91" s="17">
        <f>Sizing!IV107</f>
        <v>1.5748031496062995E-2</v>
      </c>
      <c r="AM91" s="170">
        <f t="shared" si="13"/>
        <v>0</v>
      </c>
      <c r="AN91" s="11">
        <f t="shared" si="14"/>
        <v>0.2654392366094549</v>
      </c>
      <c r="AO91" s="11">
        <f t="shared" si="15"/>
        <v>0.2654392366094549</v>
      </c>
      <c r="AP91" s="11">
        <f t="shared" si="16"/>
        <v>0.5308784732189098</v>
      </c>
      <c r="AQ91" s="555">
        <f t="shared" si="17"/>
        <v>8469730.7198596671</v>
      </c>
      <c r="AR91" s="311">
        <f t="shared" si="18"/>
        <v>5.1688738052146386</v>
      </c>
      <c r="AS91" s="11">
        <f t="shared" si="19"/>
        <v>7.7191532428657079E-3</v>
      </c>
      <c r="AT91" s="11">
        <f t="shared" si="20"/>
        <v>0.47862266591203245</v>
      </c>
      <c r="AU91" s="11">
        <f t="shared" si="21"/>
        <v>0.48634181915489816</v>
      </c>
      <c r="AV91" s="555">
        <f t="shared" si="22"/>
        <v>7759184.9243246932</v>
      </c>
      <c r="AW91" s="138">
        <f t="shared" si="23"/>
        <v>3.9370078740157494E-2</v>
      </c>
      <c r="AX91" s="138">
        <f t="shared" si="24"/>
        <v>3.1496062992125991E-2</v>
      </c>
      <c r="AY91" s="554">
        <f t="shared" si="25"/>
        <v>3.1496062992125991E-2</v>
      </c>
      <c r="AZ91" s="12">
        <f t="shared" si="26"/>
        <v>170.31456922432147</v>
      </c>
      <c r="BA91" s="11">
        <f t="shared" si="27"/>
        <v>64.182643938484219</v>
      </c>
      <c r="BB91">
        <f t="shared" si="28"/>
        <v>71.172508359010294</v>
      </c>
      <c r="BC91" s="555">
        <f t="shared" si="29"/>
        <v>268390674.95172754</v>
      </c>
      <c r="BD91">
        <f t="shared" si="30"/>
        <v>47</v>
      </c>
      <c r="BE91" s="207">
        <f t="shared" si="31"/>
        <v>1.66994756</v>
      </c>
      <c r="BF91" s="207">
        <f>'Inputs-Imperial'!$E$15*BE91</f>
        <v>1.2524606700000001</v>
      </c>
      <c r="BG91" s="207">
        <f>'Inputs-Imperial'!$E$12*BE91</f>
        <v>0.41748689</v>
      </c>
      <c r="BH91">
        <f>'Inputs-Imperial'!$E$11*BE91</f>
        <v>0.30059056079999996</v>
      </c>
      <c r="BI91">
        <f t="shared" si="32"/>
        <v>0.31882443585352077</v>
      </c>
      <c r="BJ91">
        <f>'Weight '!U93+'Weight '!V93 /12</f>
        <v>2.4934383202099744E-2</v>
      </c>
      <c r="BK91">
        <f>('Weight '!AK93+'Weight '!AL93)/12</f>
        <v>2.6246719160104991E-3</v>
      </c>
      <c r="BL91">
        <f>'Weight '!AG93/12</f>
        <v>3.2554157155911333E-2</v>
      </c>
      <c r="BM91">
        <f>'Weight '!AI93/12</f>
        <v>3.2554157155911333E-2</v>
      </c>
      <c r="BN91" s="554">
        <f t="shared" si="33"/>
        <v>0.58143125103974902</v>
      </c>
      <c r="BO91" s="554">
        <f t="shared" si="34"/>
        <v>2.1098910363081229</v>
      </c>
      <c r="BP91">
        <f t="shared" si="35"/>
        <v>3.2554157155911333E-2</v>
      </c>
      <c r="BQ91">
        <f t="shared" si="35"/>
        <v>3.2554157155911333E-2</v>
      </c>
      <c r="BR91">
        <f t="shared" si="36"/>
        <v>0.23548224648817731</v>
      </c>
      <c r="BS91">
        <f t="shared" si="37"/>
        <v>9.4119463793810934E-2</v>
      </c>
      <c r="BT91">
        <f t="shared" si="38"/>
        <v>0.21950185608479156</v>
      </c>
      <c r="BU91">
        <f t="shared" si="39"/>
        <v>3.074778173050138E-2</v>
      </c>
      <c r="BV91">
        <f t="shared" si="40"/>
        <v>566.87940512160833</v>
      </c>
      <c r="BW91" s="207">
        <f t="shared" si="41"/>
        <v>207.42742885896936</v>
      </c>
      <c r="BX91">
        <f t="shared" si="42"/>
        <v>0.64187769501672098</v>
      </c>
      <c r="BY91" s="575">
        <f t="shared" si="43"/>
        <v>13.446092941134566</v>
      </c>
      <c r="BZ91">
        <f t="shared" si="44"/>
        <v>562.3973741412301</v>
      </c>
      <c r="CA91" s="207">
        <f t="shared" si="45"/>
        <v>209.06745344608001</v>
      </c>
      <c r="CB91">
        <f t="shared" si="46"/>
        <v>0.64031402542976912</v>
      </c>
      <c r="CC91">
        <f t="shared" si="47"/>
        <v>261.69227725678167</v>
      </c>
      <c r="CD91">
        <f t="shared" si="48"/>
        <v>475.16661505563621</v>
      </c>
      <c r="CE91" s="207">
        <f t="shared" si="49"/>
        <v>240.9861506346987</v>
      </c>
      <c r="CF91">
        <f t="shared" si="50"/>
        <v>0.60988137433342227</v>
      </c>
      <c r="CG91">
        <f t="shared" si="51"/>
        <v>147.40849571719042</v>
      </c>
      <c r="CH91">
        <f t="shared" si="52"/>
        <v>426.03044981657274</v>
      </c>
      <c r="CI91" s="207">
        <f t="shared" ref="CI91" si="209" xml:space="preserve"> ($BQ$38-CH91*($BP91+$BR91+$BQ91+$BN91))/($BP91+$BR91+$BQ91+$BO91)</f>
        <v>258.96561562750782</v>
      </c>
      <c r="CJ91">
        <f t="shared" si="54"/>
        <v>0.59273898340838649</v>
      </c>
      <c r="CK91">
        <f t="shared" si="55"/>
        <v>87.708958922850428</v>
      </c>
      <c r="CL91">
        <f t="shared" si="56"/>
        <v>396.79413017562263</v>
      </c>
      <c r="CM91" s="207">
        <f t="shared" ref="CM91" si="210" xml:space="preserve"> ($BQ$38-CL91*($BP91+$BR91+$BQ91+$BN91))/($BP91+$BR91+$BQ91+$BO91)</f>
        <v>269.66350755589832</v>
      </c>
      <c r="CN91">
        <f t="shared" si="58"/>
        <v>0.5825391556836127</v>
      </c>
      <c r="CO91">
        <f t="shared" si="59"/>
        <v>53.786140115734469</v>
      </c>
      <c r="CP91">
        <f t="shared" si="60"/>
        <v>378.86541680371113</v>
      </c>
      <c r="CQ91" s="207">
        <f t="shared" ref="CQ91" si="211" xml:space="preserve"> ($BQ$38-CP91*($BP91+$BR91+$BQ91+$BN91))/($BP91+$BR91+$BQ91+$BO91)</f>
        <v>276.22382159074539</v>
      </c>
      <c r="CR91">
        <f t="shared" si="62"/>
        <v>0.57628427169116214</v>
      </c>
      <c r="CS91">
        <f t="shared" si="63"/>
        <v>33.573528430418449</v>
      </c>
      <c r="CT91">
        <f t="shared" si="64"/>
        <v>367.6742406602383</v>
      </c>
      <c r="CU91" s="636">
        <f t="shared" si="65"/>
        <v>280.31879641674101</v>
      </c>
      <c r="CV91" s="575">
        <f t="shared" si="66"/>
        <v>0.5723799475456175</v>
      </c>
      <c r="CW91">
        <f t="shared" si="67"/>
        <v>21.184120603210687</v>
      </c>
      <c r="CX91" s="576">
        <f t="shared" si="68"/>
        <v>0.34275324642267058</v>
      </c>
    </row>
    <row r="92" spans="1:102" x14ac:dyDescent="0.25">
      <c r="A92" s="186">
        <v>48</v>
      </c>
      <c r="B92" s="187">
        <f>A92/100*'Inputs-Imperial'!$E$5</f>
        <v>4.7244096000000004</v>
      </c>
      <c r="C92" s="188">
        <f>'Inputs-Imperial'!$E$10+('Inputs-Imperial'!$E$9-'Inputs-Imperial'!$E$10)*(100-A92)/100</f>
        <v>1.6601050399999999</v>
      </c>
      <c r="D92" s="187">
        <f t="shared" si="69"/>
        <v>9.8425200000000324E-2</v>
      </c>
      <c r="E92" s="188">
        <f t="shared" si="70"/>
        <v>0.16388054658276055</v>
      </c>
      <c r="F92" s="423">
        <f>Sizing!F108</f>
        <v>52.003557048890023</v>
      </c>
      <c r="G92" s="423">
        <f>Sizing!G108</f>
        <v>520.03557048890002</v>
      </c>
      <c r="H92" s="423">
        <f>Sizing!H108</f>
        <v>1199.2822035386848</v>
      </c>
      <c r="I92" s="423">
        <f>Sizing!I108</f>
        <v>-401.21022009485955</v>
      </c>
      <c r="J92" s="189">
        <f>Sizing!J108</f>
        <v>119.92822035386848</v>
      </c>
      <c r="K92" s="128">
        <v>48</v>
      </c>
      <c r="L92" s="12">
        <f t="shared" si="11"/>
        <v>56.692915200000002</v>
      </c>
      <c r="M92" s="11">
        <f t="shared" si="11"/>
        <v>19.921260480000001</v>
      </c>
      <c r="N92" s="11">
        <f t="shared" si="11"/>
        <v>1.1811024000000039</v>
      </c>
      <c r="O92" s="152">
        <f t="shared" si="71"/>
        <v>23.598798707917521</v>
      </c>
      <c r="P92" s="170">
        <f t="shared" si="162"/>
        <v>3.5858268864</v>
      </c>
      <c r="Q92" s="8">
        <f t="shared" si="163"/>
        <v>1.7929134432</v>
      </c>
      <c r="R92" s="170">
        <f>Sizing!X108</f>
        <v>4.9803151200000002</v>
      </c>
      <c r="S92" s="8">
        <f>Sizing!Y108</f>
        <v>14.940945360000001</v>
      </c>
      <c r="T92" s="8">
        <f>Sizing!Z108</f>
        <v>9.9606302400000004</v>
      </c>
      <c r="U92" s="17">
        <f>Sizing!CN108</f>
        <v>0.25</v>
      </c>
      <c r="V92" s="17">
        <f>Sizing!CO108</f>
        <v>2.3622047244094495E-2</v>
      </c>
      <c r="W92" s="17">
        <f>Sizing!CP108</f>
        <v>1.5748031496062995E-2</v>
      </c>
      <c r="X92" s="170">
        <f>Sizing!DU108</f>
        <v>0.15260733333097529</v>
      </c>
      <c r="Y92" s="170">
        <f>Sizing!DV108</f>
        <v>0.39064988587093596</v>
      </c>
      <c r="Z92" s="170">
        <f>Sizing!DW108</f>
        <v>0.15260733333097529</v>
      </c>
      <c r="AA92" s="272">
        <f>Sizing!DX108</f>
        <v>0.39064988587093596</v>
      </c>
      <c r="AB92" s="272">
        <f t="shared" si="12"/>
        <v>2.6164368430487492</v>
      </c>
      <c r="AC92" s="216">
        <f>Sizing!GJ108</f>
        <v>0.25</v>
      </c>
      <c r="AD92" s="216">
        <f>Sizing!GK108</f>
        <v>1.5748031496062995E-2</v>
      </c>
      <c r="AE92" s="17">
        <f>Sizing!GL108</f>
        <v>1.5748031496062995E-2</v>
      </c>
      <c r="AF92" s="170">
        <f>Sizing!JC108</f>
        <v>2.4612277601232125E-3</v>
      </c>
      <c r="AG92" s="272">
        <f>Sizing!JD108</f>
        <v>4.9610762543254791E-2</v>
      </c>
      <c r="AH92" s="170">
        <f>Sizing!JC108</f>
        <v>2.4612277601232125E-3</v>
      </c>
      <c r="AI92" s="272">
        <f>Sizing!JD108</f>
        <v>4.9610762543254791E-2</v>
      </c>
      <c r="AJ92" s="216">
        <f>Sizing!IT108</f>
        <v>0.25</v>
      </c>
      <c r="AK92" s="216">
        <f>Sizing!IU108</f>
        <v>1.5748031496062995E-2</v>
      </c>
      <c r="AL92" s="17">
        <f>Sizing!IV108</f>
        <v>1.5748031496062995E-2</v>
      </c>
      <c r="AM92" s="170">
        <f t="shared" si="13"/>
        <v>0</v>
      </c>
      <c r="AN92" s="11">
        <f t="shared" si="14"/>
        <v>0.26117759842475258</v>
      </c>
      <c r="AO92" s="11">
        <f t="shared" si="15"/>
        <v>0.26117759842475258</v>
      </c>
      <c r="AP92" s="11">
        <f t="shared" si="16"/>
        <v>0.52235519684950515</v>
      </c>
      <c r="AQ92" s="555">
        <f t="shared" si="17"/>
        <v>8333748.8344724383</v>
      </c>
      <c r="AR92" s="311">
        <f t="shared" si="18"/>
        <v>5.1384089301347879</v>
      </c>
      <c r="AS92" s="11">
        <f t="shared" si="19"/>
        <v>7.6284294089121237E-3</v>
      </c>
      <c r="AT92" s="11">
        <f t="shared" si="20"/>
        <v>0.47299737491152644</v>
      </c>
      <c r="AU92" s="11">
        <f t="shared" si="21"/>
        <v>0.48062580432043855</v>
      </c>
      <c r="AV92" s="555">
        <f t="shared" si="22"/>
        <v>7667990.5947730541</v>
      </c>
      <c r="AW92" s="138">
        <f t="shared" si="23"/>
        <v>3.9370078740157494E-2</v>
      </c>
      <c r="AX92" s="138">
        <f t="shared" si="24"/>
        <v>3.1496062992125991E-2</v>
      </c>
      <c r="AY92" s="554">
        <f t="shared" si="25"/>
        <v>3.1496062992125991E-2</v>
      </c>
      <c r="AZ92" s="12">
        <f t="shared" si="26"/>
        <v>168.31284828265433</v>
      </c>
      <c r="BA92" s="11">
        <f t="shared" si="27"/>
        <v>63.804357235506885</v>
      </c>
      <c r="BB92">
        <f t="shared" si="28"/>
        <v>69.921457998598214</v>
      </c>
      <c r="BC92" s="555">
        <f t="shared" si="29"/>
        <v>263672979.05521792</v>
      </c>
      <c r="BD92">
        <f t="shared" si="30"/>
        <v>48</v>
      </c>
      <c r="BE92" s="207">
        <f t="shared" si="31"/>
        <v>1.6601050399999999</v>
      </c>
      <c r="BF92" s="207">
        <f>'Inputs-Imperial'!$E$15*BE92</f>
        <v>1.2450787800000001</v>
      </c>
      <c r="BG92" s="207">
        <f>'Inputs-Imperial'!$E$12*BE92</f>
        <v>0.41502625999999998</v>
      </c>
      <c r="BH92">
        <f>'Inputs-Imperial'!$E$11*BE92</f>
        <v>0.29881890719999998</v>
      </c>
      <c r="BI92">
        <f t="shared" si="32"/>
        <v>0.31694531344181048</v>
      </c>
      <c r="BJ92">
        <f>'Weight '!U94+'Weight '!V94 /12</f>
        <v>2.4934383202099744E-2</v>
      </c>
      <c r="BK92">
        <f>('Weight '!AK94+'Weight '!AL94)/12</f>
        <v>2.6246719160104991E-3</v>
      </c>
      <c r="BL92">
        <f>'Weight '!AG94/12</f>
        <v>3.2554157155911333E-2</v>
      </c>
      <c r="BM92">
        <f>'Weight '!AI94/12</f>
        <v>3.2554157155911333E-2</v>
      </c>
      <c r="BN92" s="554">
        <f t="shared" si="33"/>
        <v>0.57559489398695518</v>
      </c>
      <c r="BO92" s="554">
        <f t="shared" si="34"/>
        <v>2.0998649830229139</v>
      </c>
      <c r="BP92">
        <f t="shared" si="35"/>
        <v>3.2554157155911333E-2</v>
      </c>
      <c r="BQ92">
        <f t="shared" si="35"/>
        <v>3.2554157155911333E-2</v>
      </c>
      <c r="BR92">
        <f t="shared" si="36"/>
        <v>0.23371059288817733</v>
      </c>
      <c r="BS92">
        <f t="shared" si="37"/>
        <v>9.3013270104377294E-2</v>
      </c>
      <c r="BT92">
        <f t="shared" si="38"/>
        <v>0.21692203297241289</v>
      </c>
      <c r="BU92">
        <f t="shared" si="39"/>
        <v>3.0029266729128673E-2</v>
      </c>
      <c r="BV92">
        <f t="shared" si="40"/>
        <v>571.81165178464164</v>
      </c>
      <c r="BW92" s="207">
        <f t="shared" si="41"/>
        <v>208.44764165799859</v>
      </c>
      <c r="BX92">
        <f t="shared" si="42"/>
        <v>0.63847776083903385</v>
      </c>
      <c r="BY92" s="575">
        <f t="shared" si="43"/>
        <v>14.025825637835794</v>
      </c>
      <c r="BZ92">
        <f t="shared" si="44"/>
        <v>567.13637657202969</v>
      </c>
      <c r="CA92" s="207">
        <f t="shared" si="45"/>
        <v>210.15196175908338</v>
      </c>
      <c r="CB92">
        <f t="shared" si="46"/>
        <v>0.6368686264043818</v>
      </c>
      <c r="CC92">
        <f t="shared" si="47"/>
        <v>263.18310669035975</v>
      </c>
      <c r="CD92">
        <f t="shared" si="48"/>
        <v>479.40867434190977</v>
      </c>
      <c r="CE92" s="207">
        <f t="shared" si="49"/>
        <v>242.13212967079082</v>
      </c>
      <c r="CF92">
        <f t="shared" si="50"/>
        <v>0.6066745394016354</v>
      </c>
      <c r="CG92">
        <f t="shared" si="51"/>
        <v>148.91516754630686</v>
      </c>
      <c r="CH92">
        <f t="shared" si="52"/>
        <v>429.77028515980749</v>
      </c>
      <c r="CI92" s="207">
        <f t="shared" ref="CI92" si="212" xml:space="preserve"> ($BQ$38-CH92*($BP92+$BR92+$BQ92+$BN92))/($BP92+$BR92+$BQ92+$BO92)</f>
        <v>260.22725789774779</v>
      </c>
      <c r="CJ92">
        <f t="shared" si="54"/>
        <v>0.58959001759677721</v>
      </c>
      <c r="CK92">
        <f t="shared" si="55"/>
        <v>88.95335850894493</v>
      </c>
      <c r="CL92">
        <f t="shared" si="56"/>
        <v>400.11916565682583</v>
      </c>
      <c r="CM92" s="207">
        <f t="shared" ref="CM92" si="213" xml:space="preserve"> ($BQ$38-CL92*($BP92+$BR92+$BQ92+$BN92))/($BP92+$BR92+$BQ92+$BO92)</f>
        <v>271.03624703538748</v>
      </c>
      <c r="CN92">
        <f t="shared" si="58"/>
        <v>0.57938470662609409</v>
      </c>
      <c r="CO92">
        <f t="shared" si="59"/>
        <v>54.753969764063072</v>
      </c>
      <c r="CP92">
        <f t="shared" si="60"/>
        <v>381.86784240213814</v>
      </c>
      <c r="CQ92" s="207">
        <f t="shared" ref="CQ92" si="214" xml:space="preserve"> ($BQ$38-CP92*($BP92+$BR92+$BQ92+$BN92))/($BP92+$BR92+$BQ92+$BO92)</f>
        <v>277.68956596952194</v>
      </c>
      <c r="CR92">
        <f t="shared" si="62"/>
        <v>0.57310297316838044</v>
      </c>
      <c r="CS92">
        <f t="shared" si="63"/>
        <v>34.304845071958106</v>
      </c>
      <c r="CT92">
        <f t="shared" si="64"/>
        <v>370.4328940448188</v>
      </c>
      <c r="CU92" s="636">
        <f t="shared" si="65"/>
        <v>281.85805048732595</v>
      </c>
      <c r="CV92" s="575">
        <f t="shared" si="66"/>
        <v>0.56916729701597035</v>
      </c>
      <c r="CW92">
        <f t="shared" si="67"/>
        <v>21.726585688979021</v>
      </c>
      <c r="CX92" s="576">
        <f t="shared" si="68"/>
        <v>0.3428501711048178</v>
      </c>
    </row>
    <row r="93" spans="1:102" x14ac:dyDescent="0.25">
      <c r="A93" s="186">
        <v>49</v>
      </c>
      <c r="B93" s="187">
        <f>A93/100*'Inputs-Imperial'!$E$5</f>
        <v>4.8228347999999999</v>
      </c>
      <c r="C93" s="188">
        <f>'Inputs-Imperial'!$E$10+('Inputs-Imperial'!$E$9-'Inputs-Imperial'!$E$10)*(100-A93)/100</f>
        <v>1.6502625200000001</v>
      </c>
      <c r="D93" s="187">
        <f t="shared" si="69"/>
        <v>9.8425199999999435E-2</v>
      </c>
      <c r="E93" s="188">
        <f t="shared" si="70"/>
        <v>0.16291179458325505</v>
      </c>
      <c r="F93" s="423">
        <f>Sizing!F109</f>
        <v>50.717067581164642</v>
      </c>
      <c r="G93" s="423">
        <f>Sizing!G109</f>
        <v>507.17067581164622</v>
      </c>
      <c r="H93" s="423">
        <f>Sizing!H109</f>
        <v>1148.0975985062009</v>
      </c>
      <c r="I93" s="423">
        <f>Sizing!I109</f>
        <v>-388.93041487928474</v>
      </c>
      <c r="J93" s="189">
        <f>Sizing!J109</f>
        <v>114.8097598506201</v>
      </c>
      <c r="K93" s="128">
        <v>49</v>
      </c>
      <c r="L93" s="12">
        <f t="shared" si="11"/>
        <v>57.874017600000002</v>
      </c>
      <c r="M93" s="11">
        <f t="shared" si="11"/>
        <v>19.803150240000001</v>
      </c>
      <c r="N93" s="11">
        <f t="shared" si="11"/>
        <v>1.1811023999999932</v>
      </c>
      <c r="O93" s="152">
        <f t="shared" si="71"/>
        <v>23.459298419988727</v>
      </c>
      <c r="P93" s="170">
        <f t="shared" si="162"/>
        <v>3.5645670431999998</v>
      </c>
      <c r="Q93" s="8">
        <f t="shared" si="163"/>
        <v>1.7822835215999999</v>
      </c>
      <c r="R93" s="170">
        <f>Sizing!X109</f>
        <v>4.9507875600000002</v>
      </c>
      <c r="S93" s="8">
        <f>Sizing!Y109</f>
        <v>14.852362680000001</v>
      </c>
      <c r="T93" s="8">
        <f>Sizing!Z109</f>
        <v>9.9015751200000004</v>
      </c>
      <c r="U93" s="17">
        <f>Sizing!CN109</f>
        <v>0.25</v>
      </c>
      <c r="V93" s="17">
        <f>Sizing!CO109</f>
        <v>2.3622047244094495E-2</v>
      </c>
      <c r="W93" s="17">
        <f>Sizing!CP109</f>
        <v>1.5748031496062995E-2</v>
      </c>
      <c r="X93" s="170">
        <f>Sizing!DU109</f>
        <v>0.15260733333097529</v>
      </c>
      <c r="Y93" s="170">
        <f>Sizing!DV109</f>
        <v>0.39064988587093596</v>
      </c>
      <c r="Z93" s="170">
        <f>Sizing!DW109</f>
        <v>0.15260733333097529</v>
      </c>
      <c r="AA93" s="272">
        <f>Sizing!DX109</f>
        <v>0.39064988587093596</v>
      </c>
      <c r="AB93" s="272">
        <f t="shared" si="12"/>
        <v>2.5951769998487491</v>
      </c>
      <c r="AC93" s="216">
        <f>Sizing!GJ109</f>
        <v>0.25</v>
      </c>
      <c r="AD93" s="216">
        <f>Sizing!GK109</f>
        <v>1.5748031496062995E-2</v>
      </c>
      <c r="AE93" s="17">
        <f>Sizing!GL109</f>
        <v>1.5748031496062995E-2</v>
      </c>
      <c r="AF93" s="170">
        <f>Sizing!JC109</f>
        <v>2.4612277601232125E-3</v>
      </c>
      <c r="AG93" s="272">
        <f>Sizing!JD109</f>
        <v>4.9610762543254791E-2</v>
      </c>
      <c r="AH93" s="170">
        <f>Sizing!JC109</f>
        <v>2.4612277601232125E-3</v>
      </c>
      <c r="AI93" s="272">
        <f>Sizing!JD109</f>
        <v>4.9610762543254791E-2</v>
      </c>
      <c r="AJ93" s="216">
        <f>Sizing!IT109</f>
        <v>0.25</v>
      </c>
      <c r="AK93" s="216">
        <f>Sizing!IU109</f>
        <v>1.5748031496062995E-2</v>
      </c>
      <c r="AL93" s="17">
        <f>Sizing!IV109</f>
        <v>1.5748031496062995E-2</v>
      </c>
      <c r="AM93" s="170">
        <f t="shared" si="13"/>
        <v>0</v>
      </c>
      <c r="AN93" s="11">
        <f t="shared" si="14"/>
        <v>0.25695044804249251</v>
      </c>
      <c r="AO93" s="11">
        <f t="shared" si="15"/>
        <v>0.25695044804249251</v>
      </c>
      <c r="AP93" s="11">
        <f t="shared" si="16"/>
        <v>0.51390089608498501</v>
      </c>
      <c r="AQ93" s="555">
        <f t="shared" si="17"/>
        <v>8198867.398301146</v>
      </c>
      <c r="AR93" s="311">
        <f t="shared" si="18"/>
        <v>5.1079440550549373</v>
      </c>
      <c r="AS93" s="11">
        <f t="shared" si="19"/>
        <v>7.5382418734843727E-3</v>
      </c>
      <c r="AT93" s="11">
        <f t="shared" si="20"/>
        <v>0.46740533686274727</v>
      </c>
      <c r="AU93" s="11">
        <f t="shared" si="21"/>
        <v>0.47494357873623166</v>
      </c>
      <c r="AV93" s="555">
        <f t="shared" si="22"/>
        <v>7577335.3450020123</v>
      </c>
      <c r="AW93" s="138">
        <f t="shared" si="23"/>
        <v>3.9370078740157494E-2</v>
      </c>
      <c r="AX93" s="138">
        <f t="shared" si="24"/>
        <v>3.1496062992125991E-2</v>
      </c>
      <c r="AY93" s="554">
        <f t="shared" si="25"/>
        <v>3.1496062992125991E-2</v>
      </c>
      <c r="AZ93" s="12">
        <f t="shared" si="26"/>
        <v>166.32296017413992</v>
      </c>
      <c r="BA93" s="11">
        <f t="shared" si="27"/>
        <v>63.42607053252955</v>
      </c>
      <c r="BB93">
        <f t="shared" si="28"/>
        <v>68.685154621938139</v>
      </c>
      <c r="BC93" s="555">
        <f t="shared" si="29"/>
        <v>259010893.85747328</v>
      </c>
      <c r="BD93">
        <f t="shared" si="30"/>
        <v>49</v>
      </c>
      <c r="BE93" s="207">
        <f t="shared" si="31"/>
        <v>1.6502625200000001</v>
      </c>
      <c r="BF93" s="207">
        <f>'Inputs-Imperial'!$E$15*BE93</f>
        <v>1.23769689</v>
      </c>
      <c r="BG93" s="207">
        <f>'Inputs-Imperial'!$E$12*BE93</f>
        <v>0.41256563000000002</v>
      </c>
      <c r="BH93">
        <f>'Inputs-Imperial'!$E$11*BE93</f>
        <v>0.29704725360000001</v>
      </c>
      <c r="BI93">
        <f t="shared" si="32"/>
        <v>0.31506619103010014</v>
      </c>
      <c r="BJ93">
        <f>'Weight '!U95+'Weight '!V95 /12</f>
        <v>2.4934383202099744E-2</v>
      </c>
      <c r="BK93">
        <f>('Weight '!AK95+'Weight '!AL95)/12</f>
        <v>2.6246719160104991E-3</v>
      </c>
      <c r="BL93">
        <f>'Weight '!AG95/12</f>
        <v>3.2554157155911333E-2</v>
      </c>
      <c r="BM93">
        <f>'Weight '!AI95/12</f>
        <v>3.2554157155911333E-2</v>
      </c>
      <c r="BN93" s="554">
        <f t="shared" si="33"/>
        <v>0.5697746303561706</v>
      </c>
      <c r="BO93" s="554">
        <f t="shared" si="34"/>
        <v>2.0898228363156961</v>
      </c>
      <c r="BP93">
        <f t="shared" si="35"/>
        <v>3.2554157155911333E-2</v>
      </c>
      <c r="BQ93">
        <f t="shared" si="35"/>
        <v>3.2554157155911333E-2</v>
      </c>
      <c r="BR93">
        <f t="shared" si="36"/>
        <v>0.23193893928817735</v>
      </c>
      <c r="BS93">
        <f t="shared" si="37"/>
        <v>9.1913615490940334E-2</v>
      </c>
      <c r="BT93">
        <f t="shared" si="38"/>
        <v>0.2143574600459201</v>
      </c>
      <c r="BU93">
        <f t="shared" si="39"/>
        <v>2.9323418617595558E-2</v>
      </c>
      <c r="BV93">
        <f t="shared" si="40"/>
        <v>576.81977030621636</v>
      </c>
      <c r="BW93" s="207">
        <f t="shared" si="41"/>
        <v>209.47935210736998</v>
      </c>
      <c r="BX93">
        <f t="shared" si="42"/>
        <v>0.63507670245139458</v>
      </c>
      <c r="BY93" s="575">
        <f t="shared" si="43"/>
        <v>14.610706498278091</v>
      </c>
      <c r="BZ93">
        <f t="shared" si="44"/>
        <v>571.94953480679033</v>
      </c>
      <c r="CA93" s="207">
        <f t="shared" si="45"/>
        <v>211.24803936385649</v>
      </c>
      <c r="CB93">
        <f t="shared" si="46"/>
        <v>0.63342315792947346</v>
      </c>
      <c r="CC93">
        <f t="shared" si="47"/>
        <v>264.69373340883652</v>
      </c>
      <c r="CD93">
        <f t="shared" si="48"/>
        <v>483.71829033717813</v>
      </c>
      <c r="CE93" s="207">
        <f t="shared" si="49"/>
        <v>243.29032514977789</v>
      </c>
      <c r="CF93">
        <f t="shared" si="50"/>
        <v>0.60346684658226801</v>
      </c>
      <c r="CG93">
        <f t="shared" si="51"/>
        <v>150.43980390003966</v>
      </c>
      <c r="CH93">
        <f t="shared" si="52"/>
        <v>433.5716890371649</v>
      </c>
      <c r="CI93" s="207">
        <f t="shared" ref="CI93" si="215" xml:space="preserve"> ($BQ$38-CH93*($BP93+$BR93+$BQ93+$BN93))/($BP93+$BR93+$BQ93+$BO93)</f>
        <v>261.50169391950078</v>
      </c>
      <c r="CJ93">
        <f t="shared" si="54"/>
        <v>0.58644105021525939</v>
      </c>
      <c r="CK93">
        <f t="shared" si="55"/>
        <v>90.215085444798277</v>
      </c>
      <c r="CL93">
        <f t="shared" si="56"/>
        <v>403.49999388889881</v>
      </c>
      <c r="CM93" s="207">
        <f t="shared" ref="CM93" si="216" xml:space="preserve"> ($BQ$38-CL93*($BP93+$BR93+$BQ93+$BN93))/($BP93+$BR93+$BQ93+$BO93)</f>
        <v>272.42260811265498</v>
      </c>
      <c r="CN93">
        <f t="shared" si="58"/>
        <v>0.57623109490957447</v>
      </c>
      <c r="CO93">
        <f t="shared" si="59"/>
        <v>55.73783940045292</v>
      </c>
      <c r="CP93">
        <f t="shared" si="60"/>
        <v>384.92071408874784</v>
      </c>
      <c r="CQ93" s="207">
        <f t="shared" ref="CQ93" si="217" xml:space="preserve"> ($BQ$38-CP93*($BP93+$BR93+$BQ93+$BN93))/($BP93+$BR93+$BQ93+$BO93)</f>
        <v>279.16990717470185</v>
      </c>
      <c r="CR93">
        <f t="shared" si="62"/>
        <v>0.56992304957205397</v>
      </c>
      <c r="CS93">
        <f t="shared" si="63"/>
        <v>35.050450838770871</v>
      </c>
      <c r="CT93">
        <f t="shared" si="64"/>
        <v>373.23723047582422</v>
      </c>
      <c r="CU93" s="636">
        <f t="shared" si="65"/>
        <v>283.41291114853067</v>
      </c>
      <c r="CV93" s="575">
        <f t="shared" si="66"/>
        <v>0.56595626802167864</v>
      </c>
      <c r="CW93">
        <f t="shared" si="67"/>
        <v>22.281385522525099</v>
      </c>
      <c r="CX93" s="576">
        <f t="shared" si="68"/>
        <v>0.34294923453856213</v>
      </c>
    </row>
    <row r="94" spans="1:102" x14ac:dyDescent="0.25">
      <c r="A94" s="186">
        <v>50</v>
      </c>
      <c r="B94" s="187">
        <f>A94/100*'Inputs-Imperial'!$E$5</f>
        <v>4.9212600000000002</v>
      </c>
      <c r="C94" s="188">
        <f>'Inputs-Imperial'!$E$10+('Inputs-Imperial'!$E$9-'Inputs-Imperial'!$E$10)*(100-A94)/100</f>
        <v>1.64042</v>
      </c>
      <c r="D94" s="187">
        <f t="shared" si="69"/>
        <v>9.8425200000000324E-2</v>
      </c>
      <c r="E94" s="188">
        <f t="shared" si="70"/>
        <v>0.16194304258375253</v>
      </c>
      <c r="F94" s="423">
        <f>Sizing!F110</f>
        <v>49.438553395322081</v>
      </c>
      <c r="G94" s="423">
        <f>Sizing!G110</f>
        <v>494.38553395322066</v>
      </c>
      <c r="H94" s="423">
        <f>Sizing!H110</f>
        <v>1098.1792233053043</v>
      </c>
      <c r="I94" s="423">
        <f>Sizing!I110</f>
        <v>-376.80317697922789</v>
      </c>
      <c r="J94" s="189">
        <f>Sizing!J110</f>
        <v>109.81792233053044</v>
      </c>
      <c r="K94" s="128">
        <v>50</v>
      </c>
      <c r="L94" s="12">
        <f t="shared" si="11"/>
        <v>59.055120000000002</v>
      </c>
      <c r="M94" s="11">
        <f t="shared" si="11"/>
        <v>19.685040000000001</v>
      </c>
      <c r="N94" s="11">
        <f t="shared" si="11"/>
        <v>1.1811024000000039</v>
      </c>
      <c r="O94" s="152">
        <f t="shared" si="71"/>
        <v>23.319798132060363</v>
      </c>
      <c r="P94" s="170">
        <f t="shared" si="162"/>
        <v>3.5433072000000001</v>
      </c>
      <c r="Q94" s="8">
        <f t="shared" si="163"/>
        <v>1.7716536000000001</v>
      </c>
      <c r="R94" s="170">
        <f>Sizing!X110</f>
        <v>4.9212600000000002</v>
      </c>
      <c r="S94" s="8">
        <f>Sizing!Y110</f>
        <v>14.763780000000001</v>
      </c>
      <c r="T94" s="8">
        <f>Sizing!Z110</f>
        <v>9.8425200000000004</v>
      </c>
      <c r="U94" s="17">
        <f>Sizing!CN110</f>
        <v>0.25</v>
      </c>
      <c r="V94" s="17">
        <f>Sizing!CO110</f>
        <v>2.3622047244094495E-2</v>
      </c>
      <c r="W94" s="17">
        <f>Sizing!CP110</f>
        <v>1.5748031496062995E-2</v>
      </c>
      <c r="X94" s="170">
        <f>Sizing!DU110</f>
        <v>0.10588389379166488</v>
      </c>
      <c r="Y94" s="170">
        <f>Sizing!DV110</f>
        <v>0.32539805437596714</v>
      </c>
      <c r="Z94" s="170">
        <f>Sizing!DW110</f>
        <v>0.10588389379166488</v>
      </c>
      <c r="AA94" s="272">
        <f>Sizing!DX110</f>
        <v>0.32539805437596714</v>
      </c>
      <c r="AB94" s="272">
        <f t="shared" si="12"/>
        <v>2.6391689881437186</v>
      </c>
      <c r="AC94" s="216">
        <f>Sizing!GJ110</f>
        <v>0.25</v>
      </c>
      <c r="AD94" s="216">
        <f>Sizing!GK110</f>
        <v>1.5748031496062995E-2</v>
      </c>
      <c r="AE94" s="17">
        <f>Sizing!GL110</f>
        <v>1.5748031496062995E-2</v>
      </c>
      <c r="AF94" s="170">
        <f>Sizing!JC110</f>
        <v>1.7308826818777986E-3</v>
      </c>
      <c r="AG94" s="272">
        <f>Sizing!JD110</f>
        <v>4.160387820717918E-2</v>
      </c>
      <c r="AH94" s="170">
        <f>Sizing!JC110</f>
        <v>1.7308826818777986E-3</v>
      </c>
      <c r="AI94" s="272">
        <f>Sizing!JD110</f>
        <v>4.160387820717918E-2</v>
      </c>
      <c r="AJ94" s="216">
        <f>Sizing!IT110</f>
        <v>0.25</v>
      </c>
      <c r="AK94" s="216">
        <f>Sizing!IU110</f>
        <v>1.5748031496062995E-2</v>
      </c>
      <c r="AL94" s="17">
        <f>Sizing!IV110</f>
        <v>1.5748031496062995E-2</v>
      </c>
      <c r="AM94" s="170">
        <f t="shared" si="13"/>
        <v>0</v>
      </c>
      <c r="AN94" s="11">
        <f t="shared" si="14"/>
        <v>0.18437596700504866</v>
      </c>
      <c r="AO94" s="11">
        <f t="shared" si="15"/>
        <v>0.18437596700504866</v>
      </c>
      <c r="AP94" s="11">
        <f t="shared" si="16"/>
        <v>0.36875193401009732</v>
      </c>
      <c r="AQ94" s="555">
        <f t="shared" si="17"/>
        <v>5883134.7305452144</v>
      </c>
      <c r="AR94" s="311">
        <f t="shared" si="18"/>
        <v>5.0795676968823553</v>
      </c>
      <c r="AS94" s="11">
        <f t="shared" si="19"/>
        <v>5.3071817498628743E-3</v>
      </c>
      <c r="AT94" s="11">
        <f t="shared" si="20"/>
        <v>0.3246580918620619</v>
      </c>
      <c r="AU94" s="11">
        <f t="shared" si="21"/>
        <v>0.32996527361192479</v>
      </c>
      <c r="AV94" s="555">
        <f t="shared" si="22"/>
        <v>5264325.3689538985</v>
      </c>
      <c r="AW94" s="138">
        <f t="shared" si="23"/>
        <v>3.9370078740157494E-2</v>
      </c>
      <c r="AX94" s="138">
        <f t="shared" si="24"/>
        <v>3.1496062992125991E-2</v>
      </c>
      <c r="AY94" s="554">
        <f t="shared" si="25"/>
        <v>3.1496062992125991E-2</v>
      </c>
      <c r="AZ94" s="12">
        <f t="shared" si="26"/>
        <v>164.34490489877822</v>
      </c>
      <c r="BA94" s="11">
        <f t="shared" si="27"/>
        <v>63.047783829552287</v>
      </c>
      <c r="BB94">
        <f t="shared" si="28"/>
        <v>67.463510796319994</v>
      </c>
      <c r="BC94" s="555">
        <f t="shared" si="29"/>
        <v>254404089.65079316</v>
      </c>
      <c r="BD94">
        <f t="shared" si="30"/>
        <v>50</v>
      </c>
      <c r="BE94" s="207">
        <f t="shared" si="31"/>
        <v>1.64042</v>
      </c>
      <c r="BF94" s="207">
        <f>'Inputs-Imperial'!$E$15*BE94</f>
        <v>1.230315</v>
      </c>
      <c r="BG94" s="207">
        <f>'Inputs-Imperial'!$E$12*BE94</f>
        <v>0.410105</v>
      </c>
      <c r="BH94">
        <f>'Inputs-Imperial'!$E$11*BE94</f>
        <v>0.29527559999999997</v>
      </c>
      <c r="BI94">
        <f t="shared" si="32"/>
        <v>0.3131870686183898</v>
      </c>
      <c r="BJ94">
        <f>'Weight '!U96+'Weight '!V96 /12</f>
        <v>2.4934383202099744E-2</v>
      </c>
      <c r="BK94">
        <f>('Weight '!AK96+'Weight '!AL96)/12</f>
        <v>2.6246719160104991E-3</v>
      </c>
      <c r="BL94">
        <f>'Weight '!AG96/12</f>
        <v>2.7116504531330594E-2</v>
      </c>
      <c r="BM94">
        <f>'Weight '!AI96/12</f>
        <v>2.7116504531330594E-2</v>
      </c>
      <c r="BN94" s="554">
        <f t="shared" si="33"/>
        <v>0.56397064983489531</v>
      </c>
      <c r="BO94" s="554">
        <f t="shared" si="34"/>
        <v>2.0797644064989678</v>
      </c>
      <c r="BP94">
        <f t="shared" si="35"/>
        <v>2.7116504531330594E-2</v>
      </c>
      <c r="BQ94">
        <f t="shared" si="35"/>
        <v>2.7116504531330594E-2</v>
      </c>
      <c r="BR94">
        <f t="shared" si="36"/>
        <v>0.24104259093733879</v>
      </c>
      <c r="BS94">
        <f t="shared" si="37"/>
        <v>9.0820499953499986E-2</v>
      </c>
      <c r="BT94">
        <f t="shared" si="38"/>
        <v>0.21180813730531334</v>
      </c>
      <c r="BU94">
        <f t="shared" si="39"/>
        <v>2.8630087641762326E-2</v>
      </c>
      <c r="BV94">
        <f t="shared" si="40"/>
        <v>581.90536193329365</v>
      </c>
      <c r="BW94" s="207">
        <f t="shared" si="41"/>
        <v>210.52276956675226</v>
      </c>
      <c r="BX94">
        <f t="shared" si="42"/>
        <v>0.63167450042822915</v>
      </c>
      <c r="BY94" s="575">
        <f t="shared" si="43"/>
        <v>15.200798281814002</v>
      </c>
      <c r="BZ94">
        <f t="shared" si="44"/>
        <v>576.83842917268896</v>
      </c>
      <c r="CA94" s="207">
        <f t="shared" si="45"/>
        <v>212.35589362394782</v>
      </c>
      <c r="CB94">
        <f t="shared" si="46"/>
        <v>0.62997759651112317</v>
      </c>
      <c r="CC94">
        <f t="shared" si="47"/>
        <v>266.22445278535537</v>
      </c>
      <c r="CD94">
        <f t="shared" si="48"/>
        <v>488.09694491090386</v>
      </c>
      <c r="CE94" s="207">
        <f t="shared" si="49"/>
        <v>244.46094758012183</v>
      </c>
      <c r="CF94">
        <f t="shared" si="50"/>
        <v>0.60025828122349356</v>
      </c>
      <c r="CG94">
        <f t="shared" si="51"/>
        <v>151.98270814282333</v>
      </c>
      <c r="CH94">
        <f t="shared" si="52"/>
        <v>437.43604219662939</v>
      </c>
      <c r="CI94" s="207">
        <f t="shared" ref="CI94" si="218" xml:space="preserve"> ($BQ$38-CH94*($BP94+$BR94+$BQ94+$BN94))/($BP94+$BR94+$BQ94+$BO94)</f>
        <v>262.78914017956288</v>
      </c>
      <c r="CJ94">
        <f t="shared" si="54"/>
        <v>0.58329206352896024</v>
      </c>
      <c r="CK94">
        <f t="shared" si="55"/>
        <v>91.494432093995584</v>
      </c>
      <c r="CL94">
        <f t="shared" si="56"/>
        <v>406.9378981652975</v>
      </c>
      <c r="CM94" s="207">
        <f t="shared" ref="CM94" si="219" xml:space="preserve"> ($BQ$38-CL94*($BP94+$BR94+$BQ94+$BN94))/($BP94+$BR94+$BQ94+$BO94)</f>
        <v>273.82281363943679</v>
      </c>
      <c r="CN94">
        <f t="shared" si="58"/>
        <v>0.57307830650545943</v>
      </c>
      <c r="CO94">
        <f t="shared" si="59"/>
        <v>56.738032451478432</v>
      </c>
      <c r="CP94">
        <f t="shared" si="60"/>
        <v>388.02522068147135</v>
      </c>
      <c r="CQ94" s="207">
        <f t="shared" ref="CQ94" si="220" xml:space="preserve"> ($BQ$38-CP94*($BP94+$BR94+$BQ94+$BN94))/($BP94+$BR94+$BQ94+$BO94)</f>
        <v>280.66507615200368</v>
      </c>
      <c r="CR94">
        <f t="shared" si="62"/>
        <v>0.56674449510089719</v>
      </c>
      <c r="CS94">
        <f t="shared" si="63"/>
        <v>35.810619634107169</v>
      </c>
      <c r="CT94">
        <f t="shared" si="64"/>
        <v>376.08834747010229</v>
      </c>
      <c r="CU94" s="636">
        <f t="shared" si="65"/>
        <v>284.9836196348744</v>
      </c>
      <c r="CV94" s="575">
        <f t="shared" si="66"/>
        <v>0.5627468642130633</v>
      </c>
      <c r="CW94">
        <f t="shared" si="67"/>
        <v>22.84878187551071</v>
      </c>
      <c r="CX94" s="576">
        <f t="shared" si="68"/>
        <v>0.34305047744666811</v>
      </c>
    </row>
    <row r="95" spans="1:102" x14ac:dyDescent="0.25">
      <c r="A95" s="186">
        <v>51</v>
      </c>
      <c r="B95" s="187">
        <f>A95/100*'Inputs-Imperial'!$E$5</f>
        <v>5.0196852000000005</v>
      </c>
      <c r="C95" s="188">
        <f>'Inputs-Imperial'!$E$10+('Inputs-Imperial'!$E$9-'Inputs-Imperial'!$E$10)*(100-A95)/100</f>
        <v>1.6305774799999999</v>
      </c>
      <c r="D95" s="187">
        <f t="shared" si="69"/>
        <v>9.8425200000000324E-2</v>
      </c>
      <c r="E95" s="188">
        <f t="shared" si="70"/>
        <v>0.16097429058424853</v>
      </c>
      <c r="F95" s="423">
        <f>Sizing!F111</f>
        <v>48.168132164125474</v>
      </c>
      <c r="G95" s="423">
        <f>Sizing!G111</f>
        <v>481.68132164125461</v>
      </c>
      <c r="H95" s="423">
        <f>Sizing!H111</f>
        <v>1049.5192282488515</v>
      </c>
      <c r="I95" s="423">
        <f>Sizing!I111</f>
        <v>-364.82978540900655</v>
      </c>
      <c r="J95" s="189">
        <f>Sizing!J111</f>
        <v>104.95192282488516</v>
      </c>
      <c r="K95" s="128">
        <v>51</v>
      </c>
      <c r="L95" s="12">
        <f t="shared" si="11"/>
        <v>60.236222400000003</v>
      </c>
      <c r="M95" s="11">
        <f t="shared" si="11"/>
        <v>19.566929760000001</v>
      </c>
      <c r="N95" s="11">
        <f t="shared" si="11"/>
        <v>1.1811024000000039</v>
      </c>
      <c r="O95" s="152">
        <f t="shared" si="71"/>
        <v>23.18029784413179</v>
      </c>
      <c r="P95" s="170">
        <f t="shared" si="162"/>
        <v>3.5220473567999999</v>
      </c>
      <c r="Q95" s="8">
        <f t="shared" si="163"/>
        <v>1.7610236784</v>
      </c>
      <c r="R95" s="170">
        <f>Sizing!X111</f>
        <v>4.8917324400000002</v>
      </c>
      <c r="S95" s="8">
        <f>Sizing!Y111</f>
        <v>14.675197320000001</v>
      </c>
      <c r="T95" s="8">
        <f>Sizing!Z111</f>
        <v>9.7834648800000004</v>
      </c>
      <c r="U95" s="17">
        <f>Sizing!CN111</f>
        <v>0.25</v>
      </c>
      <c r="V95" s="17">
        <f>Sizing!CO111</f>
        <v>2.3622047244094495E-2</v>
      </c>
      <c r="W95" s="17">
        <f>Sizing!CP111</f>
        <v>1.5748031496062995E-2</v>
      </c>
      <c r="X95" s="170">
        <f>Sizing!DU111</f>
        <v>0.10588389379166488</v>
      </c>
      <c r="Y95" s="170">
        <f>Sizing!DV111</f>
        <v>0.32539805437596714</v>
      </c>
      <c r="Z95" s="170">
        <f>Sizing!DW111</f>
        <v>0.10588389379166488</v>
      </c>
      <c r="AA95" s="272">
        <f>Sizing!DX111</f>
        <v>0.32539805437596714</v>
      </c>
      <c r="AB95" s="272">
        <f t="shared" si="12"/>
        <v>2.6179091449437184</v>
      </c>
      <c r="AC95" s="216">
        <f>Sizing!GJ111</f>
        <v>0.25</v>
      </c>
      <c r="AD95" s="216">
        <f>Sizing!GK111</f>
        <v>1.5748031496062995E-2</v>
      </c>
      <c r="AE95" s="17">
        <f>Sizing!GL111</f>
        <v>1.5748031496062995E-2</v>
      </c>
      <c r="AF95" s="170">
        <f>Sizing!JC111</f>
        <v>1.7308826818777986E-3</v>
      </c>
      <c r="AG95" s="272">
        <f>Sizing!JD111</f>
        <v>4.160387820717918E-2</v>
      </c>
      <c r="AH95" s="170">
        <f>Sizing!JC111</f>
        <v>1.7308826818777986E-3</v>
      </c>
      <c r="AI95" s="272">
        <f>Sizing!JD111</f>
        <v>4.160387820717918E-2</v>
      </c>
      <c r="AJ95" s="216">
        <f>Sizing!IT111</f>
        <v>0.25</v>
      </c>
      <c r="AK95" s="216">
        <f>Sizing!IU111</f>
        <v>1.5748031496062995E-2</v>
      </c>
      <c r="AL95" s="17">
        <f>Sizing!IV111</f>
        <v>1.5748031496062995E-2</v>
      </c>
      <c r="AM95" s="170">
        <f t="shared" si="13"/>
        <v>0</v>
      </c>
      <c r="AN95" s="11">
        <f t="shared" si="14"/>
        <v>0.18141744774249127</v>
      </c>
      <c r="AO95" s="11">
        <f t="shared" si="15"/>
        <v>0.18141744774249127</v>
      </c>
      <c r="AP95" s="11">
        <f t="shared" si="16"/>
        <v>0.36283489548498254</v>
      </c>
      <c r="AQ95" s="555">
        <f t="shared" si="17"/>
        <v>5788733.2328485986</v>
      </c>
      <c r="AR95" s="311">
        <f t="shared" si="18"/>
        <v>5.0490902907010602</v>
      </c>
      <c r="AS95" s="11">
        <f t="shared" si="19"/>
        <v>5.2436866274074489E-3</v>
      </c>
      <c r="AT95" s="11">
        <f t="shared" si="20"/>
        <v>0.32077388245102417</v>
      </c>
      <c r="AU95" s="11">
        <f t="shared" si="21"/>
        <v>0.3260175690784316</v>
      </c>
      <c r="AV95" s="555">
        <f t="shared" si="22"/>
        <v>5201342.9802397322</v>
      </c>
      <c r="AW95" s="138">
        <f t="shared" si="23"/>
        <v>3.9370078740157494E-2</v>
      </c>
      <c r="AX95" s="138">
        <f t="shared" si="24"/>
        <v>3.1496062992125991E-2</v>
      </c>
      <c r="AY95" s="554">
        <f t="shared" si="25"/>
        <v>3.1496062992125991E-2</v>
      </c>
      <c r="AZ95" s="12">
        <f t="shared" si="26"/>
        <v>162.37868245656924</v>
      </c>
      <c r="BA95" s="11">
        <f t="shared" si="27"/>
        <v>62.669497126574953</v>
      </c>
      <c r="BB95">
        <f t="shared" si="28"/>
        <v>66.256439089033918</v>
      </c>
      <c r="BC95" s="555">
        <f t="shared" si="29"/>
        <v>249852236.72747788</v>
      </c>
      <c r="BD95">
        <f t="shared" si="30"/>
        <v>51</v>
      </c>
      <c r="BE95" s="207">
        <f t="shared" si="31"/>
        <v>1.6305774799999999</v>
      </c>
      <c r="BF95" s="207">
        <f>'Inputs-Imperial'!$E$15*BE95</f>
        <v>1.22293311</v>
      </c>
      <c r="BG95" s="207">
        <f>'Inputs-Imperial'!$E$12*BE95</f>
        <v>0.40764436999999998</v>
      </c>
      <c r="BH95">
        <f>'Inputs-Imperial'!$E$11*BE95</f>
        <v>0.29350394639999999</v>
      </c>
      <c r="BI95">
        <f t="shared" si="32"/>
        <v>0.31130794620667945</v>
      </c>
      <c r="BJ95">
        <f>'Weight '!U97+'Weight '!V97 /12</f>
        <v>2.4934383202099744E-2</v>
      </c>
      <c r="BK95">
        <f>('Weight '!AK97+'Weight '!AL97)/12</f>
        <v>2.6246719160104991E-3</v>
      </c>
      <c r="BL95">
        <f>'Weight '!AG97/12</f>
        <v>2.7116504531330594E-2</v>
      </c>
      <c r="BM95">
        <f>'Weight '!AI97/12</f>
        <v>2.7116504531330594E-2</v>
      </c>
      <c r="BN95" s="554">
        <f t="shared" si="33"/>
        <v>0.558183143535399</v>
      </c>
      <c r="BO95" s="554">
        <f t="shared" si="34"/>
        <v>2.0696895024604611</v>
      </c>
      <c r="BP95">
        <f t="shared" si="35"/>
        <v>2.7116504531330594E-2</v>
      </c>
      <c r="BQ95">
        <f t="shared" si="35"/>
        <v>2.7116504531330594E-2</v>
      </c>
      <c r="BR95">
        <f t="shared" si="36"/>
        <v>0.23927093733733881</v>
      </c>
      <c r="BS95">
        <f t="shared" si="37"/>
        <v>8.9733923492056319E-2</v>
      </c>
      <c r="BT95">
        <f t="shared" si="38"/>
        <v>0.20927406475059257</v>
      </c>
      <c r="BU95">
        <f t="shared" si="39"/>
        <v>2.7949124937999521E-2</v>
      </c>
      <c r="BV95">
        <f t="shared" si="40"/>
        <v>587.07007057947226</v>
      </c>
      <c r="BW95" s="207">
        <f t="shared" si="41"/>
        <v>211.57810852983766</v>
      </c>
      <c r="BX95">
        <f t="shared" si="42"/>
        <v>0.6282711350271466</v>
      </c>
      <c r="BY95" s="575">
        <f t="shared" si="43"/>
        <v>15.796164782420817</v>
      </c>
      <c r="BZ95">
        <f t="shared" si="44"/>
        <v>581.8046823186653</v>
      </c>
      <c r="CA95" s="207">
        <f t="shared" si="45"/>
        <v>213.4757370153047</v>
      </c>
      <c r="CB95">
        <f t="shared" si="46"/>
        <v>0.62653191827936383</v>
      </c>
      <c r="CC95">
        <f t="shared" si="47"/>
        <v>267.77556589511926</v>
      </c>
      <c r="CD95">
        <f t="shared" si="48"/>
        <v>492.54616035362557</v>
      </c>
      <c r="CE95" s="207">
        <f t="shared" si="49"/>
        <v>245.64421262655725</v>
      </c>
      <c r="CF95">
        <f t="shared" si="50"/>
        <v>0.59704882822131977</v>
      </c>
      <c r="CG95">
        <f t="shared" si="51"/>
        <v>153.54418962322299</v>
      </c>
      <c r="CH95">
        <f t="shared" si="52"/>
        <v>441.36476381255125</v>
      </c>
      <c r="CI95" s="207">
        <f t="shared" ref="CI95" si="221" xml:space="preserve"> ($BQ$38-CH95*($BP95+$BR95+$BQ95+$BN95))/($BP95+$BR95+$BQ95+$BO95)</f>
        <v>264.089818380888</v>
      </c>
      <c r="CJ95">
        <f t="shared" si="54"/>
        <v>0.58014303939246159</v>
      </c>
      <c r="CK95">
        <f t="shared" si="55"/>
        <v>92.791696942991322</v>
      </c>
      <c r="CL95">
        <f t="shared" si="56"/>
        <v>410.43419816488745</v>
      </c>
      <c r="CM95" s="207">
        <f t="shared" ref="CM95" si="222" xml:space="preserve"> ($BQ$38-CL95*($BP95+$BR95+$BQ95+$BN95))/($BP95+$BR95+$BQ95+$BO95)</f>
        <v>275.23709177029986</v>
      </c>
      <c r="CN95">
        <f t="shared" si="58"/>
        <v>0.56992632694349799</v>
      </c>
      <c r="CO95">
        <f t="shared" si="59"/>
        <v>57.754838382160443</v>
      </c>
      <c r="CP95">
        <f t="shared" si="60"/>
        <v>391.18258537083398</v>
      </c>
      <c r="CQ95" s="207">
        <f t="shared" ref="CQ95" si="223" xml:space="preserve"> ($BQ$38-CP95*($BP95+$BR95+$BQ95+$BN95))/($BP95+$BR95+$BQ95+$BO95)</f>
        <v>282.17530924252452</v>
      </c>
      <c r="CR95">
        <f t="shared" si="62"/>
        <v>0.56356730349930528</v>
      </c>
      <c r="CS95">
        <f t="shared" si="63"/>
        <v>36.585631259162113</v>
      </c>
      <c r="CT95">
        <f t="shared" si="64"/>
        <v>378.98737495111328</v>
      </c>
      <c r="CU95" s="636">
        <f t="shared" si="65"/>
        <v>286.57042267622586</v>
      </c>
      <c r="CV95" s="575">
        <f t="shared" si="66"/>
        <v>0.55953908883513859</v>
      </c>
      <c r="CW95">
        <f t="shared" si="67"/>
        <v>23.429042299660427</v>
      </c>
      <c r="CX95" s="576">
        <f t="shared" si="68"/>
        <v>0.34315394128657939</v>
      </c>
    </row>
    <row r="96" spans="1:102" x14ac:dyDescent="0.25">
      <c r="A96" s="186">
        <v>52</v>
      </c>
      <c r="B96" s="187">
        <f>A96/100*'Inputs-Imperial'!$E$5</f>
        <v>5.1181103999999999</v>
      </c>
      <c r="C96" s="188">
        <f>'Inputs-Imperial'!$E$10+('Inputs-Imperial'!$E$9-'Inputs-Imperial'!$E$10)*(100-A96)/100</f>
        <v>1.6207349600000001</v>
      </c>
      <c r="D96" s="187">
        <f t="shared" si="69"/>
        <v>9.8425199999999435E-2</v>
      </c>
      <c r="E96" s="188">
        <f t="shared" si="70"/>
        <v>0.16000553858474309</v>
      </c>
      <c r="F96" s="423">
        <f>Sizing!F112</f>
        <v>46.905923938847103</v>
      </c>
      <c r="G96" s="423">
        <f>Sizing!G112</f>
        <v>469.05923938847093</v>
      </c>
      <c r="H96" s="423">
        <f>Sizing!H112</f>
        <v>1002.109647830047</v>
      </c>
      <c r="I96" s="423">
        <f>Sizing!I112</f>
        <v>-353.01152150186863</v>
      </c>
      <c r="J96" s="189">
        <f>Sizing!J112</f>
        <v>100.2109647830047</v>
      </c>
      <c r="K96" s="128">
        <v>52</v>
      </c>
      <c r="L96" s="12">
        <f t="shared" si="11"/>
        <v>61.417324800000003</v>
      </c>
      <c r="M96" s="11">
        <f t="shared" si="11"/>
        <v>19.448819520000001</v>
      </c>
      <c r="N96" s="11">
        <f t="shared" si="11"/>
        <v>1.1811023999999932</v>
      </c>
      <c r="O96" s="152">
        <f t="shared" si="71"/>
        <v>23.040797556203003</v>
      </c>
      <c r="P96" s="170">
        <f t="shared" si="162"/>
        <v>3.5007875136000002</v>
      </c>
      <c r="Q96" s="8">
        <f t="shared" si="163"/>
        <v>1.7503937568000001</v>
      </c>
      <c r="R96" s="170">
        <f>Sizing!X112</f>
        <v>4.8622048800000002</v>
      </c>
      <c r="S96" s="8">
        <f>Sizing!Y112</f>
        <v>14.586614640000001</v>
      </c>
      <c r="T96" s="8">
        <f>Sizing!Z112</f>
        <v>9.7244097600000003</v>
      </c>
      <c r="U96" s="17">
        <f>Sizing!CN112</f>
        <v>0.25</v>
      </c>
      <c r="V96" s="17">
        <f>Sizing!CO112</f>
        <v>2.3622047244094495E-2</v>
      </c>
      <c r="W96" s="17">
        <f>Sizing!CP112</f>
        <v>1.5748031496062995E-2</v>
      </c>
      <c r="X96" s="170">
        <f>Sizing!DU112</f>
        <v>0.10588389379166488</v>
      </c>
      <c r="Y96" s="170">
        <f>Sizing!DV112</f>
        <v>0.32539805437596714</v>
      </c>
      <c r="Z96" s="170">
        <f>Sizing!DW112</f>
        <v>0.10588389379166488</v>
      </c>
      <c r="AA96" s="272">
        <f>Sizing!DX112</f>
        <v>0.32539805437596714</v>
      </c>
      <c r="AB96" s="272">
        <f t="shared" si="12"/>
        <v>2.5966493017437182</v>
      </c>
      <c r="AC96" s="216">
        <f>Sizing!GJ112</f>
        <v>0.25</v>
      </c>
      <c r="AD96" s="216">
        <f>Sizing!GK112</f>
        <v>1.5748031496062995E-2</v>
      </c>
      <c r="AE96" s="17">
        <f>Sizing!GL112</f>
        <v>1.5748031496062995E-2</v>
      </c>
      <c r="AF96" s="170">
        <f>Sizing!JC112</f>
        <v>1.7308826818777986E-3</v>
      </c>
      <c r="AG96" s="272">
        <f>Sizing!JD112</f>
        <v>4.160387820717918E-2</v>
      </c>
      <c r="AH96" s="170">
        <f>Sizing!JC112</f>
        <v>1.7308826818777986E-3</v>
      </c>
      <c r="AI96" s="272">
        <f>Sizing!JD112</f>
        <v>4.160387820717918E-2</v>
      </c>
      <c r="AJ96" s="216">
        <f>Sizing!IT112</f>
        <v>0.25</v>
      </c>
      <c r="AK96" s="216">
        <f>Sizing!IU112</f>
        <v>1.5748031496062995E-2</v>
      </c>
      <c r="AL96" s="17">
        <f>Sizing!IV112</f>
        <v>1.5748031496062995E-2</v>
      </c>
      <c r="AM96" s="170">
        <f t="shared" si="13"/>
        <v>0</v>
      </c>
      <c r="AN96" s="11">
        <f t="shared" si="14"/>
        <v>0.1784828572304808</v>
      </c>
      <c r="AO96" s="11">
        <f t="shared" si="15"/>
        <v>0.1784828572304808</v>
      </c>
      <c r="AP96" s="11">
        <f t="shared" si="16"/>
        <v>0.35696571446096159</v>
      </c>
      <c r="AQ96" s="555">
        <f t="shared" si="17"/>
        <v>5695095.2623387845</v>
      </c>
      <c r="AR96" s="311">
        <f t="shared" si="18"/>
        <v>5.0186128845197659</v>
      </c>
      <c r="AS96" s="11">
        <f t="shared" si="19"/>
        <v>5.1805736220380729E-3</v>
      </c>
      <c r="AT96" s="11">
        <f t="shared" si="20"/>
        <v>0.3169130484226006</v>
      </c>
      <c r="AU96" s="11">
        <f t="shared" si="21"/>
        <v>0.32209362204463865</v>
      </c>
      <c r="AV96" s="555">
        <f t="shared" si="22"/>
        <v>5138739.6229521334</v>
      </c>
      <c r="AW96" s="138">
        <f t="shared" si="23"/>
        <v>3.9370078740157494E-2</v>
      </c>
      <c r="AX96" s="138">
        <f t="shared" si="24"/>
        <v>3.1496062992125991E-2</v>
      </c>
      <c r="AY96" s="554">
        <f t="shared" si="25"/>
        <v>3.1496062992125991E-2</v>
      </c>
      <c r="AZ96" s="12">
        <f t="shared" si="26"/>
        <v>160.42429284751299</v>
      </c>
      <c r="BA96" s="11">
        <f t="shared" si="27"/>
        <v>62.291210423597626</v>
      </c>
      <c r="BB96">
        <f t="shared" si="28"/>
        <v>65.063852067369879</v>
      </c>
      <c r="BC96" s="555">
        <f t="shared" si="29"/>
        <v>245355005.37982702</v>
      </c>
      <c r="BD96">
        <f t="shared" si="30"/>
        <v>52</v>
      </c>
      <c r="BE96" s="207">
        <f t="shared" si="31"/>
        <v>1.6207349600000001</v>
      </c>
      <c r="BF96" s="207">
        <f>'Inputs-Imperial'!$E$15*BE96</f>
        <v>1.21555122</v>
      </c>
      <c r="BG96" s="207">
        <f>'Inputs-Imperial'!$E$12*BE96</f>
        <v>0.40518374000000001</v>
      </c>
      <c r="BH96">
        <f>'Inputs-Imperial'!$E$11*BE96</f>
        <v>0.29173229280000001</v>
      </c>
      <c r="BI96">
        <f t="shared" si="32"/>
        <v>0.30942882379496917</v>
      </c>
      <c r="BJ96">
        <f>'Weight '!U98+'Weight '!V98 /12</f>
        <v>2.4934383202099744E-2</v>
      </c>
      <c r="BK96">
        <f>('Weight '!AK98+'Weight '!AL98)/12</f>
        <v>2.6246719160104991E-3</v>
      </c>
      <c r="BL96">
        <f>'Weight '!AG98/12</f>
        <v>2.7116504531330594E-2</v>
      </c>
      <c r="BM96">
        <f>'Weight '!AI98/12</f>
        <v>2.7116504531330594E-2</v>
      </c>
      <c r="BN96" s="554">
        <f t="shared" si="33"/>
        <v>0.5524123039907417</v>
      </c>
      <c r="BO96" s="554">
        <f t="shared" si="34"/>
        <v>2.0595979316671147</v>
      </c>
      <c r="BP96">
        <f t="shared" si="35"/>
        <v>2.7116504531330594E-2</v>
      </c>
      <c r="BQ96">
        <f t="shared" si="35"/>
        <v>2.7116504531330594E-2</v>
      </c>
      <c r="BR96">
        <f t="shared" si="36"/>
        <v>0.23749928373733883</v>
      </c>
      <c r="BS96">
        <f t="shared" si="37"/>
        <v>8.8653886106609306E-2</v>
      </c>
      <c r="BT96">
        <f t="shared" si="38"/>
        <v>0.20675524238175785</v>
      </c>
      <c r="BU96">
        <f t="shared" si="39"/>
        <v>2.7280382533187934E-2</v>
      </c>
      <c r="BV96">
        <f t="shared" si="40"/>
        <v>592.31558420310182</v>
      </c>
      <c r="BW96" s="207">
        <f t="shared" si="41"/>
        <v>212.64558878084244</v>
      </c>
      <c r="BX96">
        <f t="shared" si="42"/>
        <v>0.62486658618263369</v>
      </c>
      <c r="BY96" s="575">
        <f t="shared" si="43"/>
        <v>16.396870850592165</v>
      </c>
      <c r="BZ96">
        <f t="shared" si="44"/>
        <v>586.84996058623778</v>
      </c>
      <c r="CA96" s="207">
        <f t="shared" si="45"/>
        <v>214.60778728288963</v>
      </c>
      <c r="CB96">
        <f t="shared" si="46"/>
        <v>0.62308609898158784</v>
      </c>
      <c r="CC96">
        <f t="shared" si="47"/>
        <v>269.34737965209968</v>
      </c>
      <c r="CD96">
        <f t="shared" si="48"/>
        <v>497.06750070220454</v>
      </c>
      <c r="CE96" s="207">
        <f t="shared" si="49"/>
        <v>246.84034126831057</v>
      </c>
      <c r="CF96">
        <f t="shared" si="50"/>
        <v>0.59383847201204965</v>
      </c>
      <c r="CG96">
        <f t="shared" si="51"/>
        <v>155.12456382177791</v>
      </c>
      <c r="CH96">
        <f t="shared" si="52"/>
        <v>445.35931276161193</v>
      </c>
      <c r="CI96" s="207">
        <f t="shared" ref="CI96" si="224" xml:space="preserve"> ($BQ$38-CH96*($BP96+$BR96+$BQ96+$BN96))/($BP96+$BR96+$BQ96+$BO96)</f>
        <v>265.40395560273851</v>
      </c>
      <c r="CJ96">
        <f t="shared" si="54"/>
        <v>0.57699395924072849</v>
      </c>
      <c r="CK96">
        <f t="shared" si="55"/>
        <v>94.107184755479281</v>
      </c>
      <c r="CL96">
        <f t="shared" si="56"/>
        <v>413.99025117645215</v>
      </c>
      <c r="CM96" s="207">
        <f t="shared" ref="CM96" si="225" xml:space="preserve"> ($BQ$38-CL96*($BP96+$BR96+$BQ96+$BN96))/($BP96+$BR96+$BQ96+$BO96)</f>
        <v>276.6656761250058</v>
      </c>
      <c r="CN96">
        <f t="shared" si="58"/>
        <v>0.56677514130221052</v>
      </c>
      <c r="CO96">
        <f t="shared" si="59"/>
        <v>58.788552852992595</v>
      </c>
      <c r="CP96">
        <f t="shared" si="60"/>
        <v>394.39406689212126</v>
      </c>
      <c r="CQ96" s="207">
        <f t="shared" ref="CQ96" si="226" xml:space="preserve"> ($BQ$38-CP96*($BP96+$BR96+$BQ96+$BN96))/($BP96+$BR96+$BQ96+$BO96)</f>
        <v>283.70084834760695</v>
      </c>
      <c r="CR96">
        <f t="shared" si="62"/>
        <v>0.56039146804671358</v>
      </c>
      <c r="CS96">
        <f t="shared" si="63"/>
        <v>37.375771568539008</v>
      </c>
      <c r="CT96">
        <f t="shared" si="64"/>
        <v>381.93547636927491</v>
      </c>
      <c r="CU96" s="636">
        <f t="shared" si="65"/>
        <v>288.17357266512494</v>
      </c>
      <c r="CV96" s="575">
        <f t="shared" si="66"/>
        <v>0.55633294471544048</v>
      </c>
      <c r="CW96">
        <f t="shared" si="67"/>
        <v>24.022440278285401</v>
      </c>
      <c r="CX96" s="576">
        <f t="shared" si="68"/>
        <v>0.34325966826521742</v>
      </c>
    </row>
    <row r="97" spans="1:102" x14ac:dyDescent="0.25">
      <c r="A97" s="186">
        <v>53</v>
      </c>
      <c r="B97" s="187">
        <f>A97/100*'Inputs-Imperial'!$E$5</f>
        <v>5.2165356000000003</v>
      </c>
      <c r="C97" s="188">
        <f>'Inputs-Imperial'!$E$10+('Inputs-Imperial'!$E$9-'Inputs-Imperial'!$E$10)*(100-A97)/100</f>
        <v>1.61089244</v>
      </c>
      <c r="D97" s="187">
        <f t="shared" si="69"/>
        <v>9.8425200000000324E-2</v>
      </c>
      <c r="E97" s="188">
        <f t="shared" si="70"/>
        <v>0.15903678658524051</v>
      </c>
      <c r="F97" s="423">
        <f>Sizing!F113</f>
        <v>45.65205128056563</v>
      </c>
      <c r="G97" s="423">
        <f>Sizing!G113</f>
        <v>456.52051280565621</v>
      </c>
      <c r="H97" s="423">
        <f>Sizing!H113</f>
        <v>955.94239838138878</v>
      </c>
      <c r="I97" s="423">
        <f>Sizing!I113</f>
        <v>-341.34966957328299</v>
      </c>
      <c r="J97" s="189">
        <f>Sizing!J113</f>
        <v>95.594239838138876</v>
      </c>
      <c r="K97" s="128">
        <v>53</v>
      </c>
      <c r="L97" s="12">
        <f t="shared" si="11"/>
        <v>62.598427200000003</v>
      </c>
      <c r="M97" s="11">
        <f t="shared" si="11"/>
        <v>19.330709280000001</v>
      </c>
      <c r="N97" s="11">
        <f t="shared" si="11"/>
        <v>1.1811024000000039</v>
      </c>
      <c r="O97" s="152">
        <f t="shared" si="71"/>
        <v>22.901297268274632</v>
      </c>
      <c r="P97" s="170">
        <f t="shared" si="162"/>
        <v>3.4795276704</v>
      </c>
      <c r="Q97" s="8">
        <f t="shared" si="163"/>
        <v>1.7397638352</v>
      </c>
      <c r="R97" s="170">
        <f>Sizing!X113</f>
        <v>4.8326773200000002</v>
      </c>
      <c r="S97" s="8">
        <f>Sizing!Y113</f>
        <v>14.49803196</v>
      </c>
      <c r="T97" s="8">
        <f>Sizing!Z113</f>
        <v>9.6653546400000003</v>
      </c>
      <c r="U97" s="17">
        <f>Sizing!CN113</f>
        <v>0.25</v>
      </c>
      <c r="V97" s="17">
        <f>Sizing!CO113</f>
        <v>2.3622047244094495E-2</v>
      </c>
      <c r="W97" s="17">
        <f>Sizing!CP113</f>
        <v>1.5748031496062995E-2</v>
      </c>
      <c r="X97" s="170">
        <f>Sizing!DU113</f>
        <v>0.10588389379166488</v>
      </c>
      <c r="Y97" s="170">
        <f>Sizing!DV113</f>
        <v>0.32539805437596714</v>
      </c>
      <c r="Z97" s="170">
        <f>Sizing!DW113</f>
        <v>0.10588389379166488</v>
      </c>
      <c r="AA97" s="272">
        <f>Sizing!DX113</f>
        <v>0.32539805437596714</v>
      </c>
      <c r="AB97" s="272">
        <f t="shared" si="12"/>
        <v>2.575389458543718</v>
      </c>
      <c r="AC97" s="216">
        <f>Sizing!GJ113</f>
        <v>0.25</v>
      </c>
      <c r="AD97" s="216">
        <f>Sizing!GK113</f>
        <v>1.5748031496062995E-2</v>
      </c>
      <c r="AE97" s="17">
        <f>Sizing!GL113</f>
        <v>1.5748031496062995E-2</v>
      </c>
      <c r="AF97" s="170">
        <f>Sizing!JC113</f>
        <v>1.7308826818777986E-3</v>
      </c>
      <c r="AG97" s="272">
        <f>Sizing!JD113</f>
        <v>4.160387820717918E-2</v>
      </c>
      <c r="AH97" s="170">
        <f>Sizing!JC113</f>
        <v>1.7308826818777986E-3</v>
      </c>
      <c r="AI97" s="272">
        <f>Sizing!JD113</f>
        <v>4.160387820717918E-2</v>
      </c>
      <c r="AJ97" s="216">
        <f>Sizing!IT113</f>
        <v>0.25</v>
      </c>
      <c r="AK97" s="216">
        <f>Sizing!IU113</f>
        <v>1.5748031496062995E-2</v>
      </c>
      <c r="AL97" s="17">
        <f>Sizing!IV113</f>
        <v>1.5748031496062995E-2</v>
      </c>
      <c r="AM97" s="170">
        <f t="shared" si="13"/>
        <v>0</v>
      </c>
      <c r="AN97" s="11">
        <f t="shared" si="14"/>
        <v>0.17557219546901726</v>
      </c>
      <c r="AO97" s="11">
        <f t="shared" si="15"/>
        <v>0.17557219546901726</v>
      </c>
      <c r="AP97" s="11">
        <f t="shared" si="16"/>
        <v>0.35114439093803451</v>
      </c>
      <c r="AQ97" s="555">
        <f t="shared" si="17"/>
        <v>5602220.8190157712</v>
      </c>
      <c r="AR97" s="311">
        <f t="shared" si="18"/>
        <v>4.9881354783384717</v>
      </c>
      <c r="AS97" s="11">
        <f t="shared" si="19"/>
        <v>5.1178427337546873E-3</v>
      </c>
      <c r="AT97" s="11">
        <f t="shared" si="20"/>
        <v>0.31307558977679095</v>
      </c>
      <c r="AU97" s="11">
        <f t="shared" si="21"/>
        <v>0.31819343251054566</v>
      </c>
      <c r="AV97" s="555">
        <f t="shared" si="22"/>
        <v>5076515.2970910976</v>
      </c>
      <c r="AW97" s="138">
        <f t="shared" si="23"/>
        <v>3.9370078740157494E-2</v>
      </c>
      <c r="AX97" s="138">
        <f t="shared" si="24"/>
        <v>3.1496062992125991E-2</v>
      </c>
      <c r="AY97" s="554">
        <f t="shared" si="25"/>
        <v>3.1496062992125991E-2</v>
      </c>
      <c r="AZ97" s="12">
        <f t="shared" si="26"/>
        <v>158.48173607160942</v>
      </c>
      <c r="BA97" s="11">
        <f t="shared" si="27"/>
        <v>61.912923720620334</v>
      </c>
      <c r="BB97">
        <f t="shared" si="28"/>
        <v>63.885662298617795</v>
      </c>
      <c r="BC97" s="555">
        <f t="shared" si="29"/>
        <v>240912065.90014017</v>
      </c>
      <c r="BD97">
        <f t="shared" si="30"/>
        <v>53</v>
      </c>
      <c r="BE97" s="207">
        <f t="shared" si="31"/>
        <v>1.61089244</v>
      </c>
      <c r="BF97" s="207">
        <f>'Inputs-Imperial'!$E$15*BE97</f>
        <v>1.20816933</v>
      </c>
      <c r="BG97" s="207">
        <f>'Inputs-Imperial'!$E$12*BE97</f>
        <v>0.40272311</v>
      </c>
      <c r="BH97">
        <f>'Inputs-Imperial'!$E$11*BE97</f>
        <v>0.28996063919999998</v>
      </c>
      <c r="BI97">
        <f t="shared" si="32"/>
        <v>0.30754970138325877</v>
      </c>
      <c r="BJ97">
        <f>'Weight '!U99+'Weight '!V99 /12</f>
        <v>2.4934383202099744E-2</v>
      </c>
      <c r="BK97">
        <f>('Weight '!AK99+'Weight '!AL99)/12</f>
        <v>2.6246719160104991E-3</v>
      </c>
      <c r="BL97">
        <f>'Weight '!AG99/12</f>
        <v>2.7116504531330594E-2</v>
      </c>
      <c r="BM97">
        <f>'Weight '!AI99/12</f>
        <v>2.7116504531330594E-2</v>
      </c>
      <c r="BN97" s="554">
        <f t="shared" si="33"/>
        <v>0.54665832515037904</v>
      </c>
      <c r="BO97" s="554">
        <f t="shared" si="34"/>
        <v>2.0494895001694746</v>
      </c>
      <c r="BP97">
        <f t="shared" si="35"/>
        <v>2.7116504531330594E-2</v>
      </c>
      <c r="BQ97">
        <f t="shared" si="35"/>
        <v>2.7116504531330594E-2</v>
      </c>
      <c r="BR97">
        <f t="shared" si="36"/>
        <v>0.2357276301373388</v>
      </c>
      <c r="BS97">
        <f t="shared" si="37"/>
        <v>8.7580387797158918E-2</v>
      </c>
      <c r="BT97">
        <f t="shared" si="38"/>
        <v>0.20425167019880902</v>
      </c>
      <c r="BU97">
        <f t="shared" si="39"/>
        <v>2.6623713344718598E-2</v>
      </c>
      <c r="BV97">
        <f t="shared" si="40"/>
        <v>597.64363623796396</v>
      </c>
      <c r="BW97" s="207">
        <f t="shared" si="41"/>
        <v>213.72543555673272</v>
      </c>
      <c r="BX97">
        <f t="shared" si="42"/>
        <v>0.62146083349958903</v>
      </c>
      <c r="BY97" s="575">
        <f t="shared" si="43"/>
        <v>17.002982415787727</v>
      </c>
      <c r="BZ97">
        <f t="shared" si="44"/>
        <v>591.97597543270138</v>
      </c>
      <c r="CA97" s="207">
        <f t="shared" si="45"/>
        <v>215.75226760302971</v>
      </c>
      <c r="CB97">
        <f t="shared" si="46"/>
        <v>0.61964011397579644</v>
      </c>
      <c r="CC97">
        <f t="shared" si="47"/>
        <v>270.94020694964263</v>
      </c>
      <c r="CD97">
        <f t="shared" si="48"/>
        <v>501.66257311615385</v>
      </c>
      <c r="CE97" s="207">
        <f t="shared" si="49"/>
        <v>248.04955996310258</v>
      </c>
      <c r="CF97">
        <f t="shared" si="50"/>
        <v>0.59062719656458007</v>
      </c>
      <c r="CG97">
        <f t="shared" si="51"/>
        <v>156.72415250322851</v>
      </c>
      <c r="CH97">
        <f t="shared" si="52"/>
        <v>449.42118894841099</v>
      </c>
      <c r="CI97" s="207">
        <f t="shared" ref="CI97" si="227" xml:space="preserve"> ($BQ$38-CH97*($BP97+$BR97+$BQ97+$BN97))/($BP97+$BR97+$BQ97+$BO97)</f>
        <v>266.73178446668908</v>
      </c>
      <c r="CJ97">
        <f t="shared" si="54"/>
        <v>0.57384480407986416</v>
      </c>
      <c r="CK97">
        <f t="shared" si="55"/>
        <v>95.441206731487554</v>
      </c>
      <c r="CL97">
        <f t="shared" si="56"/>
        <v>417.60745337124848</v>
      </c>
      <c r="CM97" s="207">
        <f t="shared" ref="CM97" si="228" xml:space="preserve"> ($BQ$38-CL97*($BP97+$BR97+$BQ97+$BN97))/($BP97+$BR97+$BQ97+$BO97)</f>
        <v>278.10880595681408</v>
      </c>
      <c r="CN97">
        <f t="shared" si="58"/>
        <v>0.56362473419912429</v>
      </c>
      <c r="CO97">
        <f t="shared" si="59"/>
        <v>59.839477881896173</v>
      </c>
      <c r="CP97">
        <f t="shared" si="60"/>
        <v>397.66096074394977</v>
      </c>
      <c r="CQ97" s="207">
        <f t="shared" ref="CQ97" si="229" xml:space="preserve"> ($BQ$38-CP97*($BP97+$BR97+$BQ97+$BN97))/($BP97+$BR97+$BQ97+$BO97)</f>
        <v>285.24194109974593</v>
      </c>
      <c r="CR97">
        <f t="shared" si="62"/>
        <v>0.55721698154674504</v>
      </c>
      <c r="CS97">
        <f t="shared" si="63"/>
        <v>38.181332630712063</v>
      </c>
      <c r="CT97">
        <f t="shared" si="64"/>
        <v>384.93384986704575</v>
      </c>
      <c r="CU97" s="636">
        <f t="shared" si="65"/>
        <v>289.79332783025245</v>
      </c>
      <c r="CV97" s="575">
        <f t="shared" si="66"/>
        <v>0.55312843425161828</v>
      </c>
      <c r="CW97">
        <f t="shared" si="67"/>
        <v>24.629255382758664</v>
      </c>
      <c r="CX97" s="576">
        <f t="shared" si="68"/>
        <v>0.34336770135417499</v>
      </c>
    </row>
    <row r="98" spans="1:102" x14ac:dyDescent="0.25">
      <c r="A98" s="186">
        <v>54</v>
      </c>
      <c r="B98" s="187">
        <f>A98/100*'Inputs-Imperial'!$E$5</f>
        <v>5.3149608000000006</v>
      </c>
      <c r="C98" s="188">
        <f>'Inputs-Imperial'!$E$10+('Inputs-Imperial'!$E$9-'Inputs-Imperial'!$E$10)*(100-A98)/100</f>
        <v>1.6010499199999999</v>
      </c>
      <c r="D98" s="187">
        <f t="shared" si="69"/>
        <v>9.8425200000000324E-2</v>
      </c>
      <c r="E98" s="188">
        <f t="shared" si="70"/>
        <v>0.15806803458573654</v>
      </c>
      <c r="F98" s="423">
        <f>Sizing!F114</f>
        <v>44.406639400748084</v>
      </c>
      <c r="G98" s="423">
        <f>Sizing!G114</f>
        <v>444.06639400748071</v>
      </c>
      <c r="H98" s="423">
        <f>Sizing!H114</f>
        <v>911.00927560438936</v>
      </c>
      <c r="I98" s="423">
        <f>Sizing!I114</f>
        <v>-329.84551763190763</v>
      </c>
      <c r="J98" s="189">
        <f>Sizing!J114</f>
        <v>91.100927560438933</v>
      </c>
      <c r="K98" s="128">
        <v>54</v>
      </c>
      <c r="L98" s="12">
        <f t="shared" si="11"/>
        <v>63.779529600000004</v>
      </c>
      <c r="M98" s="11">
        <f t="shared" si="11"/>
        <v>19.212599040000001</v>
      </c>
      <c r="N98" s="11">
        <f t="shared" si="11"/>
        <v>1.1811024000000039</v>
      </c>
      <c r="O98" s="152">
        <f t="shared" si="71"/>
        <v>22.761796980346062</v>
      </c>
      <c r="P98" s="170">
        <f t="shared" si="162"/>
        <v>3.4582678271999998</v>
      </c>
      <c r="Q98" s="8">
        <f t="shared" si="163"/>
        <v>1.7291339135999999</v>
      </c>
      <c r="R98" s="170">
        <f>Sizing!X114</f>
        <v>4.8031497600000002</v>
      </c>
      <c r="S98" s="8">
        <f>Sizing!Y114</f>
        <v>14.40944928</v>
      </c>
      <c r="T98" s="8">
        <f>Sizing!Z114</f>
        <v>9.6062995200000003</v>
      </c>
      <c r="U98" s="17">
        <f>Sizing!CN114</f>
        <v>0.25</v>
      </c>
      <c r="V98" s="17">
        <f>Sizing!CO114</f>
        <v>2.3622047244094495E-2</v>
      </c>
      <c r="W98" s="17">
        <f>Sizing!CP114</f>
        <v>1.5748031496062995E-2</v>
      </c>
      <c r="X98" s="170">
        <f>Sizing!DU114</f>
        <v>0.10588389379166488</v>
      </c>
      <c r="Y98" s="170">
        <f>Sizing!DV114</f>
        <v>0.32539805437596714</v>
      </c>
      <c r="Z98" s="170">
        <f>Sizing!DW114</f>
        <v>0.10588389379166488</v>
      </c>
      <c r="AA98" s="272">
        <f>Sizing!DX114</f>
        <v>0.32539805437596714</v>
      </c>
      <c r="AB98" s="272">
        <f t="shared" si="12"/>
        <v>2.5541296153437179</v>
      </c>
      <c r="AC98" s="216">
        <f>Sizing!GJ114</f>
        <v>0.25</v>
      </c>
      <c r="AD98" s="216">
        <f>Sizing!GK114</f>
        <v>1.5748031496062995E-2</v>
      </c>
      <c r="AE98" s="17">
        <f>Sizing!GL114</f>
        <v>1.5748031496062995E-2</v>
      </c>
      <c r="AF98" s="170">
        <f>Sizing!JC114</f>
        <v>1.7308826818777986E-3</v>
      </c>
      <c r="AG98" s="272">
        <f>Sizing!JD114</f>
        <v>4.160387820717918E-2</v>
      </c>
      <c r="AH98" s="170">
        <f>Sizing!JC114</f>
        <v>1.7308826818777986E-3</v>
      </c>
      <c r="AI98" s="272">
        <f>Sizing!JD114</f>
        <v>4.160387820717918E-2</v>
      </c>
      <c r="AJ98" s="216">
        <f>Sizing!IT114</f>
        <v>0.25</v>
      </c>
      <c r="AK98" s="216">
        <f>Sizing!IU114</f>
        <v>1.5748031496062995E-2</v>
      </c>
      <c r="AL98" s="17">
        <f>Sizing!IV114</f>
        <v>1.5748031496062995E-2</v>
      </c>
      <c r="AM98" s="170">
        <f t="shared" si="13"/>
        <v>0</v>
      </c>
      <c r="AN98" s="11">
        <f t="shared" si="14"/>
        <v>0.17268546245810062</v>
      </c>
      <c r="AO98" s="11">
        <f t="shared" si="15"/>
        <v>0.17268546245810062</v>
      </c>
      <c r="AP98" s="11">
        <f t="shared" si="16"/>
        <v>0.34537092491620125</v>
      </c>
      <c r="AQ98" s="555">
        <f t="shared" si="17"/>
        <v>5510109.9028795594</v>
      </c>
      <c r="AR98" s="311">
        <f t="shared" si="18"/>
        <v>4.9576580721571775</v>
      </c>
      <c r="AS98" s="11">
        <f t="shared" si="19"/>
        <v>5.0554939625572929E-3</v>
      </c>
      <c r="AT98" s="11">
        <f t="shared" si="20"/>
        <v>0.30926150651359557</v>
      </c>
      <c r="AU98" s="11">
        <f t="shared" si="21"/>
        <v>0.31431700047615285</v>
      </c>
      <c r="AV98" s="555">
        <f t="shared" si="22"/>
        <v>5014670.0026566284</v>
      </c>
      <c r="AW98" s="138">
        <f t="shared" si="23"/>
        <v>3.9370078740157494E-2</v>
      </c>
      <c r="AX98" s="138">
        <f t="shared" si="24"/>
        <v>3.1496062992125991E-2</v>
      </c>
      <c r="AY98" s="554">
        <f t="shared" si="25"/>
        <v>3.1496062992125991E-2</v>
      </c>
      <c r="AZ98" s="12">
        <f t="shared" si="26"/>
        <v>156.55101212885856</v>
      </c>
      <c r="BA98" s="11">
        <f t="shared" si="27"/>
        <v>61.534637017643028</v>
      </c>
      <c r="BB98">
        <f t="shared" si="28"/>
        <v>62.721782350067755</v>
      </c>
      <c r="BC98" s="555">
        <f t="shared" si="29"/>
        <v>236523088.58071733</v>
      </c>
      <c r="BD98">
        <f t="shared" si="30"/>
        <v>54</v>
      </c>
      <c r="BE98" s="207">
        <f t="shared" si="31"/>
        <v>1.6010499199999999</v>
      </c>
      <c r="BF98" s="207">
        <f>'Inputs-Imperial'!$E$15*BE98</f>
        <v>1.20078744</v>
      </c>
      <c r="BG98" s="207">
        <f>'Inputs-Imperial'!$E$12*BE98</f>
        <v>0.40026247999999998</v>
      </c>
      <c r="BH98">
        <f>'Inputs-Imperial'!$E$11*BE98</f>
        <v>0.28818898559999995</v>
      </c>
      <c r="BI98">
        <f t="shared" si="32"/>
        <v>0.30567057897154837</v>
      </c>
      <c r="BJ98">
        <f>'Weight '!U100+'Weight '!V100 /12</f>
        <v>2.4934383202099744E-2</v>
      </c>
      <c r="BK98">
        <f>('Weight '!AK100+'Weight '!AL100)/12</f>
        <v>2.6246719160104991E-3</v>
      </c>
      <c r="BL98">
        <f>'Weight '!AG100/12</f>
        <v>2.7116504531330594E-2</v>
      </c>
      <c r="BM98">
        <f>'Weight '!AI100/12</f>
        <v>2.7116504531330594E-2</v>
      </c>
      <c r="BN98" s="554">
        <f t="shared" si="33"/>
        <v>0.54092140237535125</v>
      </c>
      <c r="BO98" s="554">
        <f t="shared" si="34"/>
        <v>2.0393640126064994</v>
      </c>
      <c r="BP98">
        <f t="shared" si="35"/>
        <v>2.7116504531330594E-2</v>
      </c>
      <c r="BQ98">
        <f t="shared" si="35"/>
        <v>2.7116504531330594E-2</v>
      </c>
      <c r="BR98">
        <f t="shared" si="36"/>
        <v>0.23395597653733877</v>
      </c>
      <c r="BS98">
        <f t="shared" si="37"/>
        <v>8.6513428563705197E-2</v>
      </c>
      <c r="BT98">
        <f t="shared" si="38"/>
        <v>0.20176334820174618</v>
      </c>
      <c r="BU98">
        <f t="shared" si="39"/>
        <v>2.5978971180492784E-2</v>
      </c>
      <c r="BV98">
        <f t="shared" si="40"/>
        <v>603.05600707883616</v>
      </c>
      <c r="BW98" s="207">
        <f t="shared" si="41"/>
        <v>214.81787971542474</v>
      </c>
      <c r="BX98">
        <f t="shared" si="42"/>
        <v>0.61805385624668829</v>
      </c>
      <c r="BY98" s="575">
        <f t="shared" si="43"/>
        <v>17.614566509452374</v>
      </c>
      <c r="BZ98">
        <f t="shared" si="44"/>
        <v>597.18448490901869</v>
      </c>
      <c r="CA98" s="207">
        <f t="shared" si="45"/>
        <v>216.90940675174758</v>
      </c>
      <c r="CB98">
        <f t="shared" si="46"/>
        <v>0.61619393822368485</v>
      </c>
      <c r="CC98">
        <f t="shared" si="47"/>
        <v>272.55436680509462</v>
      </c>
      <c r="CD98">
        <f t="shared" si="48"/>
        <v>506.33302930732049</v>
      </c>
      <c r="CE98" s="207">
        <f t="shared" si="49"/>
        <v>249.27210081718536</v>
      </c>
      <c r="CF98">
        <f t="shared" si="50"/>
        <v>0.58741498537252956</v>
      </c>
      <c r="CG98">
        <f t="shared" si="51"/>
        <v>158.34328387326772</v>
      </c>
      <c r="CH98">
        <f t="shared" si="52"/>
        <v>453.55193468289792</v>
      </c>
      <c r="CI98" s="207">
        <f t="shared" ref="CI98" si="230" xml:space="preserve"> ($BQ$38-CH98*($BP98+$BR98+$BQ98+$BN98))/($BP98+$BR98+$BQ98+$BO98)</f>
        <v>268.07354330873727</v>
      </c>
      <c r="CJ98">
        <f t="shared" si="54"/>
        <v>0.57069555447768505</v>
      </c>
      <c r="CK98">
        <f t="shared" si="55"/>
        <v>96.794080671362465</v>
      </c>
      <c r="CL98">
        <f t="shared" si="56"/>
        <v>421.28724112577709</v>
      </c>
      <c r="CM98" s="207">
        <f t="shared" ref="CM98" si="231" xml:space="preserve"> ($BQ$38-CL98*($BP98+$BR98+$BQ98+$BN98))/($BP98+$BR98+$BQ98+$BO98)</f>
        <v>279.56672632698144</v>
      </c>
      <c r="CN98">
        <f t="shared" si="58"/>
        <v>0.56047508978080463</v>
      </c>
      <c r="CO98">
        <f t="shared" si="59"/>
        <v>60.907922011274621</v>
      </c>
      <c r="CP98">
        <f t="shared" si="60"/>
        <v>400.98460045535222</v>
      </c>
      <c r="CQ98" s="207">
        <f t="shared" ref="CQ98" si="232" xml:space="preserve"> ($BQ$38-CP98*($BP98+$BR98+$BQ98+$BN98))/($BP98+$BR98+$BQ98+$BO98)</f>
        <v>286.79884103979401</v>
      </c>
      <c r="CR98">
        <f t="shared" si="62"/>
        <v>0.55404383631614151</v>
      </c>
      <c r="CS98">
        <f t="shared" si="63"/>
        <v>39.002612893676378</v>
      </c>
      <c r="CT98">
        <f t="shared" si="64"/>
        <v>387.98372949079345</v>
      </c>
      <c r="CU98" s="636">
        <f t="shared" si="65"/>
        <v>291.42995241631201</v>
      </c>
      <c r="CV98" s="575">
        <f t="shared" si="66"/>
        <v>0.54992555939878196</v>
      </c>
      <c r="CW98">
        <f t="shared" si="67"/>
        <v>25.249773434130006</v>
      </c>
      <c r="CX98" s="576">
        <f t="shared" si="68"/>
        <v>0.34347808430531762</v>
      </c>
    </row>
    <row r="99" spans="1:102" x14ac:dyDescent="0.25">
      <c r="A99" s="186">
        <v>55</v>
      </c>
      <c r="B99" s="187">
        <f>A99/100*'Inputs-Imperial'!$E$5</f>
        <v>5.4133860000000009</v>
      </c>
      <c r="C99" s="188">
        <f>'Inputs-Imperial'!$E$10+('Inputs-Imperial'!$E$9-'Inputs-Imperial'!$E$10)*(100-A99)/100</f>
        <v>1.5912074</v>
      </c>
      <c r="D99" s="187">
        <f t="shared" si="69"/>
        <v>9.8425200000000324E-2</v>
      </c>
      <c r="E99" s="188">
        <f t="shared" si="70"/>
        <v>0.15709928258623251</v>
      </c>
      <c r="F99" s="423">
        <f>Sizing!F115</f>
        <v>43.16981631201913</v>
      </c>
      <c r="G99" s="423">
        <f>Sizing!G115</f>
        <v>431.69816312019117</v>
      </c>
      <c r="H99" s="423">
        <f>Sizing!H115</f>
        <v>867.30195196092416</v>
      </c>
      <c r="I99" s="423">
        <f>Sizing!I115</f>
        <v>-318.50035814328993</v>
      </c>
      <c r="J99" s="189">
        <f>Sizing!J115</f>
        <v>86.73019519609241</v>
      </c>
      <c r="K99" s="128">
        <v>55</v>
      </c>
      <c r="L99" s="12">
        <f t="shared" si="11"/>
        <v>64.960632000000004</v>
      </c>
      <c r="M99" s="11">
        <f t="shared" si="11"/>
        <v>19.094488800000001</v>
      </c>
      <c r="N99" s="11">
        <f t="shared" si="11"/>
        <v>1.1811024000000039</v>
      </c>
      <c r="O99" s="152">
        <f t="shared" si="71"/>
        <v>22.622296692417482</v>
      </c>
      <c r="P99" s="170">
        <f t="shared" si="162"/>
        <v>3.4370079840000001</v>
      </c>
      <c r="Q99" s="8">
        <f t="shared" si="163"/>
        <v>1.718503992</v>
      </c>
      <c r="R99" s="170">
        <f>Sizing!X115</f>
        <v>4.7736222000000001</v>
      </c>
      <c r="S99" s="8">
        <f>Sizing!Y115</f>
        <v>14.3208666</v>
      </c>
      <c r="T99" s="8">
        <f>Sizing!Z115</f>
        <v>9.5472444000000003</v>
      </c>
      <c r="U99" s="17">
        <f>Sizing!CN115</f>
        <v>0.25</v>
      </c>
      <c r="V99" s="17">
        <f>Sizing!CO115</f>
        <v>2.3622047244094495E-2</v>
      </c>
      <c r="W99" s="17">
        <f>Sizing!CP115</f>
        <v>1.5748031496062995E-2</v>
      </c>
      <c r="X99" s="170">
        <f>Sizing!DU115</f>
        <v>0.10588389379166488</v>
      </c>
      <c r="Y99" s="170">
        <f>Sizing!DV115</f>
        <v>0.32539805437596714</v>
      </c>
      <c r="Z99" s="170">
        <f>Sizing!DW115</f>
        <v>0.10588389379166488</v>
      </c>
      <c r="AA99" s="272">
        <f>Sizing!DX115</f>
        <v>0.32539805437596714</v>
      </c>
      <c r="AB99" s="272">
        <f t="shared" si="12"/>
        <v>2.5328697721437186</v>
      </c>
      <c r="AC99" s="216">
        <f>Sizing!GJ115</f>
        <v>0.25</v>
      </c>
      <c r="AD99" s="216">
        <f>Sizing!GK115</f>
        <v>1.5748031496062995E-2</v>
      </c>
      <c r="AE99" s="17">
        <f>Sizing!GL115</f>
        <v>1.5748031496062995E-2</v>
      </c>
      <c r="AF99" s="170">
        <f>Sizing!JC115</f>
        <v>1.7308826818777986E-3</v>
      </c>
      <c r="AG99" s="272">
        <f>Sizing!JD115</f>
        <v>4.160387820717918E-2</v>
      </c>
      <c r="AH99" s="170">
        <f>Sizing!JC115</f>
        <v>1.7308826818777986E-3</v>
      </c>
      <c r="AI99" s="272">
        <f>Sizing!JD115</f>
        <v>4.160387820717918E-2</v>
      </c>
      <c r="AJ99" s="216">
        <f>Sizing!IT115</f>
        <v>0.25</v>
      </c>
      <c r="AK99" s="216">
        <f>Sizing!IU115</f>
        <v>1.5748031496062995E-2</v>
      </c>
      <c r="AL99" s="17">
        <f>Sizing!IV115</f>
        <v>1.5748031496062995E-2</v>
      </c>
      <c r="AM99" s="170">
        <f t="shared" si="13"/>
        <v>0</v>
      </c>
      <c r="AN99" s="11">
        <f t="shared" si="14"/>
        <v>0.16982265819773104</v>
      </c>
      <c r="AO99" s="11">
        <f t="shared" si="15"/>
        <v>0.16982265819773104</v>
      </c>
      <c r="AP99" s="11">
        <f t="shared" si="16"/>
        <v>0.33964531639546208</v>
      </c>
      <c r="AQ99" s="555">
        <f t="shared" si="17"/>
        <v>5418762.5139301531</v>
      </c>
      <c r="AR99" s="311">
        <f t="shared" si="18"/>
        <v>4.9271806659758841</v>
      </c>
      <c r="AS99" s="11">
        <f t="shared" si="19"/>
        <v>4.9935273084459452E-3</v>
      </c>
      <c r="AT99" s="11">
        <f t="shared" si="20"/>
        <v>0.30547079863301402</v>
      </c>
      <c r="AU99" s="11">
        <f t="shared" si="21"/>
        <v>0.31046432594145995</v>
      </c>
      <c r="AV99" s="555">
        <f t="shared" si="22"/>
        <v>4953203.7396487212</v>
      </c>
      <c r="AW99" s="138">
        <f t="shared" si="23"/>
        <v>3.9370078740157494E-2</v>
      </c>
      <c r="AX99" s="138">
        <f t="shared" si="24"/>
        <v>3.1496062992125991E-2</v>
      </c>
      <c r="AY99" s="554">
        <f t="shared" si="25"/>
        <v>3.1496062992125991E-2</v>
      </c>
      <c r="AZ99" s="12">
        <f t="shared" si="26"/>
        <v>154.63212101926044</v>
      </c>
      <c r="BA99" s="11">
        <f t="shared" si="27"/>
        <v>61.156350314665694</v>
      </c>
      <c r="BB99">
        <f t="shared" si="28"/>
        <v>61.572124789009791</v>
      </c>
      <c r="BC99" s="555">
        <f t="shared" si="29"/>
        <v>232187743.71385849</v>
      </c>
      <c r="BD99">
        <f t="shared" si="30"/>
        <v>55</v>
      </c>
      <c r="BE99" s="207">
        <f t="shared" si="31"/>
        <v>1.5912074</v>
      </c>
      <c r="BF99" s="207">
        <f>'Inputs-Imperial'!$E$15*BE99</f>
        <v>1.19340555</v>
      </c>
      <c r="BG99" s="207">
        <f>'Inputs-Imperial'!$E$12*BE99</f>
        <v>0.39780185000000001</v>
      </c>
      <c r="BH99">
        <f>'Inputs-Imperial'!$E$11*BE99</f>
        <v>0.28641733200000002</v>
      </c>
      <c r="BI99">
        <f t="shared" si="32"/>
        <v>0.30379145655983814</v>
      </c>
      <c r="BJ99">
        <f>'Weight '!U101+'Weight '!V101 /12</f>
        <v>2.4934383202099744E-2</v>
      </c>
      <c r="BK99">
        <f>('Weight '!AK101+'Weight '!AL101)/12</f>
        <v>2.6246719160104991E-3</v>
      </c>
      <c r="BL99">
        <f>'Weight '!AG101/12</f>
        <v>2.7116504531330594E-2</v>
      </c>
      <c r="BM99">
        <f>'Weight '!AI101/12</f>
        <v>2.7116504531330594E-2</v>
      </c>
      <c r="BN99" s="554">
        <f t="shared" si="33"/>
        <v>0.53520173243303837</v>
      </c>
      <c r="BO99" s="554">
        <f t="shared" si="34"/>
        <v>2.0292212722108087</v>
      </c>
      <c r="BP99">
        <f t="shared" si="35"/>
        <v>2.7116504531330594E-2</v>
      </c>
      <c r="BQ99">
        <f t="shared" si="35"/>
        <v>2.7116504531330594E-2</v>
      </c>
      <c r="BR99">
        <f t="shared" si="36"/>
        <v>0.23218432293733884</v>
      </c>
      <c r="BS99">
        <f t="shared" si="37"/>
        <v>8.5453008406248157E-2</v>
      </c>
      <c r="BT99">
        <f t="shared" si="38"/>
        <v>0.1992902763905694</v>
      </c>
      <c r="BU99">
        <f t="shared" si="39"/>
        <v>2.534601073892204E-2</v>
      </c>
      <c r="BV99">
        <f t="shared" si="40"/>
        <v>608.55452562438666</v>
      </c>
      <c r="BW99" s="207">
        <f t="shared" si="41"/>
        <v>215.92315791021485</v>
      </c>
      <c r="BX99">
        <f t="shared" si="42"/>
        <v>0.61464563334957956</v>
      </c>
      <c r="BY99" s="575">
        <f t="shared" si="43"/>
        <v>18.231691288626251</v>
      </c>
      <c r="BZ99">
        <f t="shared" si="44"/>
        <v>602.4772951948446</v>
      </c>
      <c r="CA99" s="207">
        <f t="shared" si="45"/>
        <v>218.07943927933033</v>
      </c>
      <c r="CB99">
        <f t="shared" si="46"/>
        <v>0.61274754628356121</v>
      </c>
      <c r="CC99">
        <f t="shared" si="47"/>
        <v>274.19018450858812</v>
      </c>
      <c r="CD99">
        <f t="shared" si="48"/>
        <v>511.08056702531525</v>
      </c>
      <c r="CE99" s="207">
        <f t="shared" si="49"/>
        <v>250.50820176167022</v>
      </c>
      <c r="CF99">
        <f t="shared" si="50"/>
        <v>0.58420182144619315</v>
      </c>
      <c r="CG99">
        <f t="shared" si="51"/>
        <v>159.98229273998271</v>
      </c>
      <c r="CH99">
        <f t="shared" si="52"/>
        <v>457.75313611198766</v>
      </c>
      <c r="CI99" s="207">
        <f t="shared" ref="CI99" si="233" xml:space="preserve"> ($BQ$38-CH99*($BP99+$BR99+$BQ99+$BN99))/($BP99+$BR99+$BQ99+$BO99)</f>
        <v>269.42947635778029</v>
      </c>
      <c r="CJ99">
        <f t="shared" si="54"/>
        <v>0.56754619055411148</v>
      </c>
      <c r="CK99">
        <f t="shared" si="55"/>
        <v>98.16613114481811</v>
      </c>
      <c r="CL99">
        <f t="shared" si="56"/>
        <v>425.03109239704827</v>
      </c>
      <c r="CM99" s="207">
        <f t="shared" ref="CM99" si="234" xml:space="preserve"> ($BQ$38-CL99*($BP99+$BR99+$BQ99+$BN99))/($BP99+$BR99+$BQ99+$BO99)</f>
        <v>281.03968828571976</v>
      </c>
      <c r="CN99">
        <f t="shared" si="58"/>
        <v>0.55732619171268249</v>
      </c>
      <c r="CO99">
        <f t="shared" si="59"/>
        <v>61.994200480362977</v>
      </c>
      <c r="CP99">
        <f t="shared" si="60"/>
        <v>404.36635890359395</v>
      </c>
      <c r="CQ99" s="207">
        <f t="shared" ref="CQ99" si="235" xml:space="preserve"> ($BQ$38-CP99*($BP99+$BR99+$BQ99+$BN99))/($BP99+$BR99+$BQ99+$BO99)</f>
        <v>288.37180780073214</v>
      </c>
      <c r="CR99">
        <f t="shared" si="62"/>
        <v>0.55087202417347347</v>
      </c>
      <c r="CS99">
        <f t="shared" si="63"/>
        <v>39.839917355982465</v>
      </c>
      <c r="CT99">
        <f t="shared" si="64"/>
        <v>391.08638645159976</v>
      </c>
      <c r="CU99" s="636">
        <f t="shared" si="65"/>
        <v>293.08371687059434</v>
      </c>
      <c r="CV99" s="575">
        <f t="shared" si="66"/>
        <v>0.54672432165660334</v>
      </c>
      <c r="CW99">
        <f t="shared" si="67"/>
        <v>25.884286670086709</v>
      </c>
      <c r="CX99" s="576">
        <f t="shared" si="68"/>
        <v>0.3435908616668093</v>
      </c>
    </row>
    <row r="100" spans="1:102" x14ac:dyDescent="0.25">
      <c r="A100" s="186">
        <v>56</v>
      </c>
      <c r="B100" s="187">
        <f>A100/100*'Inputs-Imperial'!$E$5</f>
        <v>5.5118112000000004</v>
      </c>
      <c r="C100" s="188">
        <f>'Inputs-Imperial'!$E$10+('Inputs-Imperial'!$E$9-'Inputs-Imperial'!$E$10)*(100-A100)/100</f>
        <v>1.58136488</v>
      </c>
      <c r="D100" s="187">
        <f t="shared" si="69"/>
        <v>9.8425199999999435E-2</v>
      </c>
      <c r="E100" s="188">
        <f t="shared" si="70"/>
        <v>0.1561305305867271</v>
      </c>
      <c r="F100" s="423">
        <f>Sizing!F116</f>
        <v>41.941712990129403</v>
      </c>
      <c r="G100" s="423">
        <f>Sizing!G116</f>
        <v>419.41712990129395</v>
      </c>
      <c r="H100" s="423">
        <f>Sizing!H116</f>
        <v>824.81197391618696</v>
      </c>
      <c r="I100" s="423">
        <f>Sizing!I116</f>
        <v>-307.31548885198697</v>
      </c>
      <c r="J100" s="189">
        <f>Sizing!J116</f>
        <v>82.481197391618693</v>
      </c>
      <c r="K100" s="128">
        <v>56</v>
      </c>
      <c r="L100" s="12">
        <f t="shared" si="11"/>
        <v>66.141734400000004</v>
      </c>
      <c r="M100" s="11">
        <f t="shared" si="11"/>
        <v>18.976378560000001</v>
      </c>
      <c r="N100" s="11">
        <f t="shared" si="11"/>
        <v>1.1811023999999932</v>
      </c>
      <c r="O100" s="152">
        <f t="shared" si="71"/>
        <v>22.482796404488703</v>
      </c>
      <c r="P100" s="170">
        <f t="shared" si="162"/>
        <v>3.4157481407999999</v>
      </c>
      <c r="Q100" s="8">
        <f t="shared" si="163"/>
        <v>1.7078740703999999</v>
      </c>
      <c r="R100" s="170">
        <f>Sizing!X116</f>
        <v>4.7440946400000001</v>
      </c>
      <c r="S100" s="8">
        <f>Sizing!Y116</f>
        <v>14.23228392</v>
      </c>
      <c r="T100" s="8">
        <f>Sizing!Z116</f>
        <v>9.4881892800000003</v>
      </c>
      <c r="U100" s="17">
        <f>Sizing!CN116</f>
        <v>0.25</v>
      </c>
      <c r="V100" s="17">
        <f>Sizing!CO116</f>
        <v>2.3622047244094495E-2</v>
      </c>
      <c r="W100" s="17">
        <f>Sizing!CP116</f>
        <v>1.5748031496062995E-2</v>
      </c>
      <c r="X100" s="170">
        <f>Sizing!DU116</f>
        <v>0.10588389379166488</v>
      </c>
      <c r="Y100" s="170">
        <f>Sizing!DV116</f>
        <v>0.32539805437596714</v>
      </c>
      <c r="Z100" s="170">
        <f>Sizing!DW116</f>
        <v>0.10588389379166488</v>
      </c>
      <c r="AA100" s="272">
        <f>Sizing!DX116</f>
        <v>0.32539805437596714</v>
      </c>
      <c r="AB100" s="272">
        <f t="shared" si="12"/>
        <v>2.5116099289437184</v>
      </c>
      <c r="AC100" s="216">
        <f>Sizing!GJ116</f>
        <v>0.25</v>
      </c>
      <c r="AD100" s="216">
        <f>Sizing!GK116</f>
        <v>1.5748031496062995E-2</v>
      </c>
      <c r="AE100" s="17">
        <f>Sizing!GL116</f>
        <v>1.5748031496062995E-2</v>
      </c>
      <c r="AF100" s="170">
        <f>Sizing!JC116</f>
        <v>1.7308826818777986E-3</v>
      </c>
      <c r="AG100" s="272">
        <f>Sizing!JD116</f>
        <v>4.160387820717918E-2</v>
      </c>
      <c r="AH100" s="170">
        <f>Sizing!JC116</f>
        <v>1.7308826818777986E-3</v>
      </c>
      <c r="AI100" s="272">
        <f>Sizing!JD116</f>
        <v>4.160387820717918E-2</v>
      </c>
      <c r="AJ100" s="216">
        <f>Sizing!IT116</f>
        <v>0.25</v>
      </c>
      <c r="AK100" s="216">
        <f>Sizing!IU116</f>
        <v>1.5748031496062995E-2</v>
      </c>
      <c r="AL100" s="17">
        <f>Sizing!IV116</f>
        <v>1.5748031496062995E-2</v>
      </c>
      <c r="AM100" s="170">
        <f t="shared" si="13"/>
        <v>0</v>
      </c>
      <c r="AN100" s="11">
        <f t="shared" si="14"/>
        <v>0.16698378268790823</v>
      </c>
      <c r="AO100" s="11">
        <f t="shared" si="15"/>
        <v>0.16698378268790823</v>
      </c>
      <c r="AP100" s="11">
        <f t="shared" si="16"/>
        <v>0.33396756537581646</v>
      </c>
      <c r="AQ100" s="555">
        <f t="shared" si="17"/>
        <v>5328178.6521675438</v>
      </c>
      <c r="AR100" s="311">
        <f t="shared" si="18"/>
        <v>4.8967032597945899</v>
      </c>
      <c r="AS100" s="11">
        <f t="shared" si="19"/>
        <v>4.9319427714205298E-3</v>
      </c>
      <c r="AT100" s="11">
        <f t="shared" si="20"/>
        <v>0.30170346613504667</v>
      </c>
      <c r="AU100" s="11">
        <f t="shared" si="21"/>
        <v>0.30663540890646718</v>
      </c>
      <c r="AV100" s="555">
        <f t="shared" si="22"/>
        <v>4892116.5080673806</v>
      </c>
      <c r="AW100" s="138">
        <f t="shared" si="23"/>
        <v>3.9370078740157494E-2</v>
      </c>
      <c r="AX100" s="138">
        <f t="shared" si="24"/>
        <v>3.1496062992125991E-2</v>
      </c>
      <c r="AY100" s="554">
        <f t="shared" si="25"/>
        <v>3.1496062992125991E-2</v>
      </c>
      <c r="AZ100" s="12">
        <f t="shared" si="26"/>
        <v>152.725062742815</v>
      </c>
      <c r="BA100" s="11">
        <f t="shared" si="27"/>
        <v>60.778063611688367</v>
      </c>
      <c r="BB100">
        <f t="shared" si="28"/>
        <v>60.436602182733843</v>
      </c>
      <c r="BC100" s="555">
        <f t="shared" si="29"/>
        <v>227905701.59186316</v>
      </c>
      <c r="BD100">
        <f t="shared" si="30"/>
        <v>56</v>
      </c>
      <c r="BE100" s="207">
        <f t="shared" si="31"/>
        <v>1.58136488</v>
      </c>
      <c r="BF100" s="207">
        <f>'Inputs-Imperial'!$E$15*BE100</f>
        <v>1.18602366</v>
      </c>
      <c r="BG100" s="207">
        <f>'Inputs-Imperial'!$E$12*BE100</f>
        <v>0.39534121999999999</v>
      </c>
      <c r="BH100">
        <f>'Inputs-Imperial'!$E$11*BE100</f>
        <v>0.28464567839999999</v>
      </c>
      <c r="BI100">
        <f t="shared" si="32"/>
        <v>0.30191233414812774</v>
      </c>
      <c r="BJ100">
        <f>'Weight '!U102+'Weight '!V102 /12</f>
        <v>2.4934383202099744E-2</v>
      </c>
      <c r="BK100">
        <f>('Weight '!AK102+'Weight '!AL102)/12</f>
        <v>2.6246719160104991E-3</v>
      </c>
      <c r="BL100">
        <f>'Weight '!AG102/12</f>
        <v>2.7116504531330594E-2</v>
      </c>
      <c r="BM100">
        <f>'Weight '!AI102/12</f>
        <v>2.7116504531330594E-2</v>
      </c>
      <c r="BN100" s="554">
        <f t="shared" si="33"/>
        <v>0.52949951349148205</v>
      </c>
      <c r="BO100" s="554">
        <f t="shared" si="34"/>
        <v>2.0190610808143616</v>
      </c>
      <c r="BP100">
        <f t="shared" si="35"/>
        <v>2.7116504531330594E-2</v>
      </c>
      <c r="BQ100">
        <f t="shared" si="35"/>
        <v>2.7116504531330594E-2</v>
      </c>
      <c r="BR100">
        <f t="shared" si="36"/>
        <v>0.23041266933733881</v>
      </c>
      <c r="BS100">
        <f t="shared" si="37"/>
        <v>8.4399127324787729E-2</v>
      </c>
      <c r="BT100">
        <f t="shared" si="38"/>
        <v>0.1968324547652785</v>
      </c>
      <c r="BU100">
        <f t="shared" si="39"/>
        <v>2.4724687608928118E-2</v>
      </c>
      <c r="BV100">
        <f t="shared" si="40"/>
        <v>614.14107087995353</v>
      </c>
      <c r="BW100" s="207">
        <f t="shared" si="41"/>
        <v>217.04151277071222</v>
      </c>
      <c r="BX100">
        <f t="shared" si="42"/>
        <v>0.61123614338389975</v>
      </c>
      <c r="BY100" s="575">
        <f t="shared" si="43"/>
        <v>18.854426060159966</v>
      </c>
      <c r="BZ100">
        <f t="shared" si="44"/>
        <v>607.85626219323353</v>
      </c>
      <c r="CA100" s="207">
        <f t="shared" si="45"/>
        <v>219.2626056914084</v>
      </c>
      <c r="CB100">
        <f t="shared" si="46"/>
        <v>0.60930091230309003</v>
      </c>
      <c r="CC100">
        <f t="shared" si="47"/>
        <v>275.84799177611598</v>
      </c>
      <c r="CD100">
        <f t="shared" si="48"/>
        <v>515.90693160119486</v>
      </c>
      <c r="CE100" s="207">
        <f t="shared" si="49"/>
        <v>251.75810673542077</v>
      </c>
      <c r="CF100">
        <f t="shared" si="50"/>
        <v>0.58098768730431594</v>
      </c>
      <c r="CG100">
        <f t="shared" si="51"/>
        <v>161.64152068013851</v>
      </c>
      <c r="CH100">
        <f t="shared" si="52"/>
        <v>462.02642470781535</v>
      </c>
      <c r="CI100" s="207">
        <f t="shared" ref="CI100" si="236" xml:space="preserve"> ($BQ$38-CH100*($BP100+$BR100+$BQ100+$BN100))/($BP100+$BR100+$BQ100+$BO100)</f>
        <v>270.79983392073348</v>
      </c>
      <c r="CJ100">
        <f t="shared" si="54"/>
        <v>0.56439669197136733</v>
      </c>
      <c r="CK100">
        <f t="shared" si="55"/>
        <v>99.557689665229901</v>
      </c>
      <c r="CL100">
        <f t="shared" si="56"/>
        <v>428.84052815273873</v>
      </c>
      <c r="CM100" s="207">
        <f t="shared" ref="CM100" si="237" xml:space="preserve"> ($BQ$38-CL100*($BP100+$BR100+$BQ100+$BN100))/($BP100+$BR100+$BQ100+$BO100)</f>
        <v>282.52794905989202</v>
      </c>
      <c r="CN100">
        <f t="shared" si="58"/>
        <v>0.55417802316866827</v>
      </c>
      <c r="CO100">
        <f t="shared" si="59"/>
        <v>63.09863540306138</v>
      </c>
      <c r="CP100">
        <f t="shared" si="60"/>
        <v>407.80764968505162</v>
      </c>
      <c r="CQ100" s="207">
        <f t="shared" ref="CQ100" si="238" xml:space="preserve"> ($BQ$38-CP100*($BP100+$BR100+$BQ100+$BN100))/($BP100+$BR100+$BQ100+$BO100)</f>
        <v>289.96110729828911</v>
      </c>
      <c r="CR100">
        <f t="shared" si="62"/>
        <v>0.54770153642762109</v>
      </c>
      <c r="CS100">
        <f t="shared" si="63"/>
        <v>40.693557743357573</v>
      </c>
      <c r="CT100">
        <f t="shared" si="64"/>
        <v>394.24313043726573</v>
      </c>
      <c r="CU100" s="636">
        <f t="shared" si="65"/>
        <v>294.75489803651249</v>
      </c>
      <c r="CV100" s="575">
        <f t="shared" si="66"/>
        <v>0.5435247220561632</v>
      </c>
      <c r="CW100">
        <f t="shared" si="67"/>
        <v>26.533093917465322</v>
      </c>
      <c r="CX100" s="576">
        <f t="shared" si="68"/>
        <v>0.34370607879957676</v>
      </c>
    </row>
    <row r="101" spans="1:102" x14ac:dyDescent="0.25">
      <c r="A101" s="186">
        <v>57</v>
      </c>
      <c r="B101" s="187">
        <f>A101/100*'Inputs-Imperial'!$E$5</f>
        <v>5.6102363999999998</v>
      </c>
      <c r="C101" s="188">
        <f>'Inputs-Imperial'!$E$10+('Inputs-Imperial'!$E$9-'Inputs-Imperial'!$E$10)*(100-A101)/100</f>
        <v>1.5715223599999999</v>
      </c>
      <c r="D101" s="187">
        <f t="shared" si="69"/>
        <v>9.8425199999999435E-2</v>
      </c>
      <c r="E101" s="188">
        <f t="shared" si="70"/>
        <v>0.1551617785872231</v>
      </c>
      <c r="F101" s="423">
        <f>Sizing!F117</f>
        <v>40.722463548259071</v>
      </c>
      <c r="G101" s="423">
        <f>Sizing!G117</f>
        <v>407.22463548259066</v>
      </c>
      <c r="H101" s="423">
        <f>Sizing!H117</f>
        <v>783.53075902222633</v>
      </c>
      <c r="I101" s="423">
        <f>Sizing!I117</f>
        <v>-296.2922136685151</v>
      </c>
      <c r="J101" s="189">
        <f>Sizing!J117</f>
        <v>78.353075902222628</v>
      </c>
      <c r="K101" s="128">
        <v>57</v>
      </c>
      <c r="L101" s="12">
        <f t="shared" si="11"/>
        <v>67.322836800000005</v>
      </c>
      <c r="M101" s="11">
        <f t="shared" si="11"/>
        <v>18.858268320000001</v>
      </c>
      <c r="N101" s="11">
        <f t="shared" si="11"/>
        <v>1.1811023999999932</v>
      </c>
      <c r="O101" s="152">
        <f t="shared" si="71"/>
        <v>22.343296116560126</v>
      </c>
      <c r="P101" s="170">
        <f t="shared" si="162"/>
        <v>3.3944882976000001</v>
      </c>
      <c r="Q101" s="8">
        <f t="shared" si="163"/>
        <v>1.6972441488000001</v>
      </c>
      <c r="R101" s="170">
        <f>Sizing!X117</f>
        <v>4.7145670800000001</v>
      </c>
      <c r="S101" s="8">
        <f>Sizing!Y117</f>
        <v>14.14370124</v>
      </c>
      <c r="T101" s="8">
        <f>Sizing!Z117</f>
        <v>9.4291341600000003</v>
      </c>
      <c r="U101" s="17">
        <f>Sizing!CN117</f>
        <v>0.25</v>
      </c>
      <c r="V101" s="17">
        <f>Sizing!CO117</f>
        <v>2.3622047244094495E-2</v>
      </c>
      <c r="W101" s="17">
        <f>Sizing!CP117</f>
        <v>1.5748031496062995E-2</v>
      </c>
      <c r="X101" s="170">
        <f>Sizing!DU117</f>
        <v>0.10588389379166488</v>
      </c>
      <c r="Y101" s="170">
        <f>Sizing!DV117</f>
        <v>0.32539805437596714</v>
      </c>
      <c r="Z101" s="170">
        <f>Sizing!DW117</f>
        <v>0.10588389379166488</v>
      </c>
      <c r="AA101" s="272">
        <f>Sizing!DX117</f>
        <v>0.32539805437596714</v>
      </c>
      <c r="AB101" s="272">
        <f t="shared" si="12"/>
        <v>2.4903500857437182</v>
      </c>
      <c r="AC101" s="216">
        <f>Sizing!GJ117</f>
        <v>0.25</v>
      </c>
      <c r="AD101" s="216">
        <f>Sizing!GK117</f>
        <v>1.5748031496062995E-2</v>
      </c>
      <c r="AE101" s="17">
        <f>Sizing!GL117</f>
        <v>1.5748031496062995E-2</v>
      </c>
      <c r="AF101" s="170">
        <f>Sizing!JC117</f>
        <v>1.7308826818777986E-3</v>
      </c>
      <c r="AG101" s="272">
        <f>Sizing!JD117</f>
        <v>4.160387820717918E-2</v>
      </c>
      <c r="AH101" s="170">
        <f>Sizing!JC117</f>
        <v>1.7308826818777986E-3</v>
      </c>
      <c r="AI101" s="272">
        <f>Sizing!JD117</f>
        <v>4.160387820717918E-2</v>
      </c>
      <c r="AJ101" s="216">
        <f>Sizing!IT117</f>
        <v>0.25</v>
      </c>
      <c r="AK101" s="216">
        <f>Sizing!IU117</f>
        <v>1.5748031496062995E-2</v>
      </c>
      <c r="AL101" s="17">
        <f>Sizing!IV117</f>
        <v>1.5748031496062995E-2</v>
      </c>
      <c r="AM101" s="170">
        <f t="shared" si="13"/>
        <v>0</v>
      </c>
      <c r="AN101" s="11">
        <f t="shared" si="14"/>
        <v>0.16416883592863238</v>
      </c>
      <c r="AO101" s="11">
        <f t="shared" si="15"/>
        <v>0.16416883592863238</v>
      </c>
      <c r="AP101" s="11">
        <f t="shared" si="16"/>
        <v>0.32833767185726476</v>
      </c>
      <c r="AQ101" s="555">
        <f t="shared" si="17"/>
        <v>5238358.3175917361</v>
      </c>
      <c r="AR101" s="311">
        <f t="shared" si="18"/>
        <v>4.8662258536132956</v>
      </c>
      <c r="AS101" s="11">
        <f t="shared" si="19"/>
        <v>4.8707403514811048E-3</v>
      </c>
      <c r="AT101" s="11">
        <f t="shared" si="20"/>
        <v>0.29795950901969337</v>
      </c>
      <c r="AU101" s="11">
        <f t="shared" si="21"/>
        <v>0.30283024937117448</v>
      </c>
      <c r="AV101" s="555">
        <f t="shared" si="22"/>
        <v>4831408.307912604</v>
      </c>
      <c r="AW101" s="138">
        <f t="shared" si="23"/>
        <v>3.9370078740157494E-2</v>
      </c>
      <c r="AX101" s="138">
        <f t="shared" si="24"/>
        <v>3.1496062992125991E-2</v>
      </c>
      <c r="AY101" s="554">
        <f t="shared" si="25"/>
        <v>3.1496062992125991E-2</v>
      </c>
      <c r="AZ101" s="12">
        <f t="shared" si="26"/>
        <v>150.8298372995223</v>
      </c>
      <c r="BA101" s="11">
        <f t="shared" si="27"/>
        <v>60.399776908711054</v>
      </c>
      <c r="BB101">
        <f t="shared" si="28"/>
        <v>59.315127098529956</v>
      </c>
      <c r="BC101" s="555">
        <f t="shared" si="29"/>
        <v>223676632.50703132</v>
      </c>
      <c r="BD101">
        <f t="shared" si="30"/>
        <v>57</v>
      </c>
      <c r="BE101" s="207">
        <f t="shared" si="31"/>
        <v>1.5715223599999999</v>
      </c>
      <c r="BF101" s="207">
        <f>'Inputs-Imperial'!$E$15*BE101</f>
        <v>1.17864177</v>
      </c>
      <c r="BG101" s="207">
        <f>'Inputs-Imperial'!$E$12*BE101</f>
        <v>0.39288058999999997</v>
      </c>
      <c r="BH101">
        <f>'Inputs-Imperial'!$E$11*BE101</f>
        <v>0.28287402479999996</v>
      </c>
      <c r="BI101">
        <f t="shared" si="32"/>
        <v>0.30003321173641739</v>
      </c>
      <c r="BJ101">
        <f>'Weight '!U103+'Weight '!V103 /12</f>
        <v>2.4934383202099744E-2</v>
      </c>
      <c r="BK101">
        <f>('Weight '!AK103+'Weight '!AL103)/12</f>
        <v>2.6246719160104991E-3</v>
      </c>
      <c r="BL101">
        <f>'Weight '!AG103/12</f>
        <v>2.7116504531330594E-2</v>
      </c>
      <c r="BM101">
        <f>'Weight '!AI103/12</f>
        <v>2.7116504531330594E-2</v>
      </c>
      <c r="BN101" s="554">
        <f t="shared" si="33"/>
        <v>0.52381494511326132</v>
      </c>
      <c r="BO101" s="554">
        <f t="shared" si="34"/>
        <v>2.0088832388545801</v>
      </c>
      <c r="BP101">
        <f t="shared" si="35"/>
        <v>2.7116504531330594E-2</v>
      </c>
      <c r="BQ101">
        <f t="shared" si="35"/>
        <v>2.7116504531330594E-2</v>
      </c>
      <c r="BR101">
        <f t="shared" si="36"/>
        <v>0.22864101573733878</v>
      </c>
      <c r="BS101">
        <f t="shared" si="37"/>
        <v>8.3351785319323968E-2</v>
      </c>
      <c r="BT101">
        <f t="shared" si="38"/>
        <v>0.19438988332587359</v>
      </c>
      <c r="BU101">
        <f t="shared" si="39"/>
        <v>2.4114858269943043E-2</v>
      </c>
      <c r="BV101">
        <f t="shared" si="40"/>
        <v>619.81757362290716</v>
      </c>
      <c r="BW101" s="207">
        <f t="shared" si="41"/>
        <v>218.17319309055821</v>
      </c>
      <c r="BX101">
        <f t="shared" si="42"/>
        <v>0.60782536456810787</v>
      </c>
      <c r="BY101" s="575">
        <f t="shared" si="43"/>
        <v>19.482841305553364</v>
      </c>
      <c r="BZ101">
        <f t="shared" si="44"/>
        <v>613.3232931877227</v>
      </c>
      <c r="CA101" s="207">
        <f t="shared" si="45"/>
        <v>220.45915263682909</v>
      </c>
      <c r="CB101">
        <f t="shared" si="46"/>
        <v>0.60585401001185946</v>
      </c>
      <c r="CC101">
        <f t="shared" si="47"/>
        <v>277.52812690704593</v>
      </c>
      <c r="CD101">
        <f t="shared" si="48"/>
        <v>520.81391755204072</v>
      </c>
      <c r="CE101" s="207">
        <f t="shared" si="49"/>
        <v>253.02206587479722</v>
      </c>
      <c r="CF101">
        <f t="shared" si="50"/>
        <v>0.57777256496568097</v>
      </c>
      <c r="CG101">
        <f t="shared" si="51"/>
        <v>163.32131621047637</v>
      </c>
      <c r="CH101">
        <f t="shared" si="52"/>
        <v>466.37347881521526</v>
      </c>
      <c r="CI101" s="207">
        <f t="shared" ref="CI101" si="239" xml:space="preserve"> ($BQ$38-CH101*($BP101+$BR101+$BQ101+$BN101))/($BP101+$BR101+$BQ101+$BO101)</f>
        <v>272.18487257457991</v>
      </c>
      <c r="CJ101">
        <f t="shared" si="54"/>
        <v>0.56124703792398356</v>
      </c>
      <c r="CK101">
        <f t="shared" si="55"/>
        <v>100.96909486936121</v>
      </c>
      <c r="CL101">
        <f t="shared" si="56"/>
        <v>432.71711385876154</v>
      </c>
      <c r="CM101" s="207">
        <f t="shared" ref="CM101" si="240" xml:space="preserve"> ($BQ$38-CL101*($BP101+$BR101+$BQ101+$BN101))/($BP101+$BR101+$BQ101+$BO101)</f>
        <v>284.03177224773771</v>
      </c>
      <c r="CN101">
        <f t="shared" si="58"/>
        <v>0.5510305668205483</v>
      </c>
      <c r="CO101">
        <f t="shared" si="59"/>
        <v>64.221555951458981</v>
      </c>
      <c r="CP101">
        <f t="shared" si="60"/>
        <v>411.30992854160854</v>
      </c>
      <c r="CQ101" s="207">
        <f t="shared" ref="CQ101" si="241" xml:space="preserve"> ($BQ$38-CP101*($BP101+$BR101+$BQ101+$BN101))/($BP101+$BR101+$BQ101+$BO101)</f>
        <v>291.56701192870565</v>
      </c>
      <c r="CR101">
        <f t="shared" si="62"/>
        <v>0.54453236386602388</v>
      </c>
      <c r="CS101">
        <f t="shared" si="63"/>
        <v>41.56385269113008</v>
      </c>
      <c r="CT101">
        <f t="shared" si="64"/>
        <v>397.45531097789853</v>
      </c>
      <c r="CU101" s="636">
        <f t="shared" si="65"/>
        <v>296.44377935440974</v>
      </c>
      <c r="CV101" s="575">
        <f t="shared" si="66"/>
        <v>0.54032676114654044</v>
      </c>
      <c r="CW101">
        <f t="shared" si="67"/>
        <v>27.196500770533646</v>
      </c>
      <c r="CX101" s="576">
        <f t="shared" si="68"/>
        <v>0.34382378189422674</v>
      </c>
    </row>
    <row r="102" spans="1:102" x14ac:dyDescent="0.25">
      <c r="A102" s="186">
        <v>58</v>
      </c>
      <c r="B102" s="187">
        <f>A102/100*'Inputs-Imperial'!$E$5</f>
        <v>5.7086616000000001</v>
      </c>
      <c r="C102" s="188">
        <f>'Inputs-Imperial'!$E$10+('Inputs-Imperial'!$E$9-'Inputs-Imperial'!$E$10)*(100-A102)/100</f>
        <v>1.56167984</v>
      </c>
      <c r="D102" s="187">
        <f t="shared" si="69"/>
        <v>9.8425200000000324E-2</v>
      </c>
      <c r="E102" s="188">
        <f t="shared" si="70"/>
        <v>0.15419302658772049</v>
      </c>
      <c r="F102" s="423">
        <f>Sizing!F118</f>
        <v>39.512205424936475</v>
      </c>
      <c r="G102" s="423">
        <f>Sizing!G118</f>
        <v>395.12205424936474</v>
      </c>
      <c r="H102" s="423">
        <f>Sizing!H118</f>
        <v>743.44959282992511</v>
      </c>
      <c r="I102" s="423">
        <f>Sizing!I118</f>
        <v>-285.43184362837536</v>
      </c>
      <c r="J102" s="189">
        <f>Sizing!J118</f>
        <v>74.344959282992505</v>
      </c>
      <c r="K102" s="128">
        <v>58</v>
      </c>
      <c r="L102" s="12">
        <f t="shared" si="11"/>
        <v>68.503939200000005</v>
      </c>
      <c r="M102" s="11">
        <f t="shared" si="11"/>
        <v>18.74015808</v>
      </c>
      <c r="N102" s="11">
        <f t="shared" si="11"/>
        <v>1.1811024000000039</v>
      </c>
      <c r="O102" s="152">
        <f t="shared" si="71"/>
        <v>22.203795828631751</v>
      </c>
      <c r="P102" s="170">
        <f t="shared" si="162"/>
        <v>3.3732284544</v>
      </c>
      <c r="Q102" s="8">
        <f t="shared" si="163"/>
        <v>1.6866142272</v>
      </c>
      <c r="R102" s="170">
        <f>Sizing!X118</f>
        <v>4.6850395200000001</v>
      </c>
      <c r="S102" s="8">
        <f>Sizing!Y118</f>
        <v>14.05511856</v>
      </c>
      <c r="T102" s="8">
        <f>Sizing!Z118</f>
        <v>9.3700790400000002</v>
      </c>
      <c r="U102" s="17">
        <f>Sizing!CN118</f>
        <v>0.25</v>
      </c>
      <c r="V102" s="17">
        <f>Sizing!CO118</f>
        <v>2.3622047244094495E-2</v>
      </c>
      <c r="W102" s="17">
        <f>Sizing!CP118</f>
        <v>1.5748031496062995E-2</v>
      </c>
      <c r="X102" s="170">
        <f>Sizing!DU118</f>
        <v>0.10588389379166488</v>
      </c>
      <c r="Y102" s="170">
        <f>Sizing!DV118</f>
        <v>0.32539805437596714</v>
      </c>
      <c r="Z102" s="170">
        <f>Sizing!DW118</f>
        <v>0.10588389379166488</v>
      </c>
      <c r="AA102" s="272">
        <f>Sizing!DX118</f>
        <v>0.32539805437596714</v>
      </c>
      <c r="AB102" s="272">
        <f t="shared" si="12"/>
        <v>2.469090242543718</v>
      </c>
      <c r="AC102" s="216">
        <f>Sizing!GJ118</f>
        <v>0.25</v>
      </c>
      <c r="AD102" s="216">
        <f>Sizing!GK118</f>
        <v>1.5748031496062995E-2</v>
      </c>
      <c r="AE102" s="17">
        <f>Sizing!GL118</f>
        <v>1.5748031496062995E-2</v>
      </c>
      <c r="AF102" s="170">
        <f>Sizing!JC118</f>
        <v>1.7308826818777986E-3</v>
      </c>
      <c r="AG102" s="272">
        <f>Sizing!JD118</f>
        <v>4.160387820717918E-2</v>
      </c>
      <c r="AH102" s="170">
        <f>Sizing!JC118</f>
        <v>1.7308826818777986E-3</v>
      </c>
      <c r="AI102" s="272">
        <f>Sizing!JD118</f>
        <v>4.160387820717918E-2</v>
      </c>
      <c r="AJ102" s="216">
        <f>Sizing!IT118</f>
        <v>0.25</v>
      </c>
      <c r="AK102" s="216">
        <f>Sizing!IU118</f>
        <v>1.5748031496062995E-2</v>
      </c>
      <c r="AL102" s="17">
        <f>Sizing!IV118</f>
        <v>1.5748031496062995E-2</v>
      </c>
      <c r="AM102" s="170">
        <f t="shared" si="13"/>
        <v>0</v>
      </c>
      <c r="AN102" s="11">
        <f t="shared" si="14"/>
        <v>0.16137781791990341</v>
      </c>
      <c r="AO102" s="11">
        <f t="shared" si="15"/>
        <v>0.16137781791990341</v>
      </c>
      <c r="AP102" s="11">
        <f t="shared" si="16"/>
        <v>0.32275563583980682</v>
      </c>
      <c r="AQ102" s="555">
        <f t="shared" si="17"/>
        <v>5149301.5102027291</v>
      </c>
      <c r="AR102" s="311">
        <f t="shared" si="18"/>
        <v>4.8357484474320014</v>
      </c>
      <c r="AS102" s="11">
        <f t="shared" si="19"/>
        <v>4.8099200486276701E-3</v>
      </c>
      <c r="AT102" s="11">
        <f t="shared" si="20"/>
        <v>0.29423892728695417</v>
      </c>
      <c r="AU102" s="11">
        <f t="shared" si="21"/>
        <v>0.29904884733558185</v>
      </c>
      <c r="AV102" s="555">
        <f t="shared" si="22"/>
        <v>4771079.139184393</v>
      </c>
      <c r="AW102" s="138">
        <f t="shared" si="23"/>
        <v>3.9370078740157494E-2</v>
      </c>
      <c r="AX102" s="138">
        <f t="shared" si="24"/>
        <v>3.1496062992125991E-2</v>
      </c>
      <c r="AY102" s="554">
        <f t="shared" si="25"/>
        <v>3.1496062992125991E-2</v>
      </c>
      <c r="AZ102" s="12">
        <f t="shared" si="26"/>
        <v>148.9464446893823</v>
      </c>
      <c r="BA102" s="11">
        <f t="shared" si="27"/>
        <v>60.02149020573372</v>
      </c>
      <c r="BB102">
        <f t="shared" si="28"/>
        <v>58.207612103688156</v>
      </c>
      <c r="BC102" s="555">
        <f t="shared" si="29"/>
        <v>219500206.75166282</v>
      </c>
      <c r="BD102">
        <f t="shared" si="30"/>
        <v>58</v>
      </c>
      <c r="BE102" s="207">
        <f t="shared" si="31"/>
        <v>1.56167984</v>
      </c>
      <c r="BF102" s="207">
        <f>'Inputs-Imperial'!$E$15*BE102</f>
        <v>1.17125988</v>
      </c>
      <c r="BG102" s="207">
        <f>'Inputs-Imperial'!$E$12*BE102</f>
        <v>0.39041996000000001</v>
      </c>
      <c r="BH102">
        <f>'Inputs-Imperial'!$E$11*BE102</f>
        <v>0.28110237119999998</v>
      </c>
      <c r="BI102">
        <f t="shared" si="32"/>
        <v>0.29815408932470705</v>
      </c>
      <c r="BJ102">
        <f>'Weight '!U104+'Weight '!V104 /12</f>
        <v>2.4934383202099744E-2</v>
      </c>
      <c r="BK102">
        <f>('Weight '!AK104+'Weight '!AL104)/12</f>
        <v>2.6246719160104991E-3</v>
      </c>
      <c r="BL102">
        <f>'Weight '!AG104/12</f>
        <v>2.7116504531330594E-2</v>
      </c>
      <c r="BM102">
        <f>'Weight '!AI104/12</f>
        <v>2.7116504531330594E-2</v>
      </c>
      <c r="BN102" s="554">
        <f t="shared" si="33"/>
        <v>0.51814822824891649</v>
      </c>
      <c r="BO102" s="554">
        <f t="shared" si="34"/>
        <v>1.9986875453809214</v>
      </c>
      <c r="BP102">
        <f t="shared" si="35"/>
        <v>2.7116504531330594E-2</v>
      </c>
      <c r="BQ102">
        <f t="shared" si="35"/>
        <v>2.7116504531330594E-2</v>
      </c>
      <c r="BR102">
        <f t="shared" si="36"/>
        <v>0.2268693621373388</v>
      </c>
      <c r="BS102">
        <f t="shared" si="37"/>
        <v>8.231098238985686E-2</v>
      </c>
      <c r="BT102">
        <f t="shared" si="38"/>
        <v>0.19196256207235474</v>
      </c>
      <c r="BU102">
        <f t="shared" si="39"/>
        <v>2.3516380091909081E-2</v>
      </c>
      <c r="BV102">
        <f t="shared" si="40"/>
        <v>625.58601813342409</v>
      </c>
      <c r="BW102" s="207">
        <f t="shared" si="41"/>
        <v>219.31845402223161</v>
      </c>
      <c r="BX102">
        <f t="shared" si="42"/>
        <v>0.60441327475613094</v>
      </c>
      <c r="BY102" s="575">
        <f t="shared" si="43"/>
        <v>20.117008706437986</v>
      </c>
      <c r="BZ102">
        <f t="shared" si="44"/>
        <v>618.88034856461138</v>
      </c>
      <c r="CA102" s="207">
        <f t="shared" si="45"/>
        <v>221.66933310262414</v>
      </c>
      <c r="CB102">
        <f t="shared" si="46"/>
        <v>0.60240681271376051</v>
      </c>
      <c r="CC102">
        <f t="shared" si="47"/>
        <v>279.2309349462131</v>
      </c>
      <c r="CD102">
        <f t="shared" si="48"/>
        <v>525.80337024920698</v>
      </c>
      <c r="CE102" s="207">
        <f t="shared" si="49"/>
        <v>254.30033571055247</v>
      </c>
      <c r="CF102">
        <f t="shared" si="50"/>
        <v>0.57455643594050465</v>
      </c>
      <c r="CG102">
        <f t="shared" si="51"/>
        <v>165.0220349641983</v>
      </c>
      <c r="CH102">
        <f t="shared" si="52"/>
        <v>470.79602526114087</v>
      </c>
      <c r="CI102" s="207">
        <f t="shared" ref="CI102" si="242" xml:space="preserve"> ($BQ$38-CH102*($BP102+$BR102+$BQ102+$BN102))/($BP102+$BR102+$BQ102+$BO102)</f>
        <v>273.58485536565314</v>
      </c>
      <c r="CJ102">
        <f t="shared" si="54"/>
        <v>0.55809720712859801</v>
      </c>
      <c r="CK102">
        <f t="shared" si="55"/>
        <v>102.4006927027169</v>
      </c>
      <c r="CL102">
        <f t="shared" si="56"/>
        <v>436.66246102690189</v>
      </c>
      <c r="CM102" s="207">
        <f t="shared" ref="CM102" si="243" xml:space="preserve"> ($BQ$38-CL102*($BP102+$BR102+$BQ102+$BN102))/($BP102+$BR102+$BQ102+$BO102)</f>
        <v>285.55142802093462</v>
      </c>
      <c r="CN102">
        <f t="shared" si="58"/>
        <v>0.54788380482715737</v>
      </c>
      <c r="CO102">
        <f t="shared" si="59"/>
        <v>65.363298545258885</v>
      </c>
      <c r="CP102">
        <f t="shared" si="60"/>
        <v>414.87469484514895</v>
      </c>
      <c r="CQ102" s="207">
        <f t="shared" ref="CQ102" si="244" xml:space="preserve"> ($BQ$38-CP102*($BP102+$BR102+$BQ102+$BN102))/($BP102+$BR102+$BQ102+$BO102)</f>
        <v>293.18980077395349</v>
      </c>
      <c r="CR102">
        <f t="shared" si="62"/>
        <v>0.54136449674268983</v>
      </c>
      <c r="CS102">
        <f t="shared" si="63"/>
        <v>42.451127932676961</v>
      </c>
      <c r="CT102">
        <f t="shared" si="64"/>
        <v>400.72431886758994</v>
      </c>
      <c r="CU102" s="636">
        <f t="shared" si="65"/>
        <v>298.1506510699549</v>
      </c>
      <c r="CV102" s="575">
        <f t="shared" si="66"/>
        <v>0.53713043898113677</v>
      </c>
      <c r="CW102">
        <f t="shared" si="67"/>
        <v>27.874819775272677</v>
      </c>
      <c r="CX102" s="576">
        <f t="shared" si="68"/>
        <v>0.34394401798843532</v>
      </c>
    </row>
    <row r="103" spans="1:102" x14ac:dyDescent="0.25">
      <c r="A103" s="186">
        <v>59</v>
      </c>
      <c r="B103" s="187">
        <f>A103/100*'Inputs-Imperial'!$E$5</f>
        <v>5.8070867999999995</v>
      </c>
      <c r="C103" s="188">
        <f>'Inputs-Imperial'!$E$10+('Inputs-Imperial'!$E$9-'Inputs-Imperial'!$E$10)*(100-A103)/100</f>
        <v>1.55183732</v>
      </c>
      <c r="D103" s="187">
        <f t="shared" si="69"/>
        <v>9.8425199999999435E-2</v>
      </c>
      <c r="E103" s="188">
        <f t="shared" si="70"/>
        <v>0.15322427458821511</v>
      </c>
      <c r="F103" s="423">
        <f>Sizing!F119</f>
        <v>38.311079587017041</v>
      </c>
      <c r="G103" s="423">
        <f>Sizing!G119</f>
        <v>383.11079587017042</v>
      </c>
      <c r="H103" s="423">
        <f>Sizing!H119</f>
        <v>704.55962561602075</v>
      </c>
      <c r="I103" s="423">
        <f>Sizing!I119</f>
        <v>-274.73569793136824</v>
      </c>
      <c r="J103" s="189">
        <f>Sizing!J119</f>
        <v>70.455962561602064</v>
      </c>
      <c r="K103" s="128">
        <v>59</v>
      </c>
      <c r="L103" s="12">
        <f t="shared" si="11"/>
        <v>69.685041599999991</v>
      </c>
      <c r="M103" s="11">
        <f t="shared" si="11"/>
        <v>18.62204784</v>
      </c>
      <c r="N103" s="11">
        <f t="shared" si="11"/>
        <v>1.1811023999999932</v>
      </c>
      <c r="O103" s="152">
        <f t="shared" si="71"/>
        <v>22.064295540702979</v>
      </c>
      <c r="P103" s="170">
        <f t="shared" si="162"/>
        <v>3.3519686111999998</v>
      </c>
      <c r="Q103" s="8">
        <f t="shared" si="163"/>
        <v>1.6759843055999999</v>
      </c>
      <c r="R103" s="170">
        <f>Sizing!X119</f>
        <v>4.6555119600000001</v>
      </c>
      <c r="S103" s="8">
        <f>Sizing!Y119</f>
        <v>13.96653588</v>
      </c>
      <c r="T103" s="8">
        <f>Sizing!Z119</f>
        <v>9.3110239200000002</v>
      </c>
      <c r="U103" s="17">
        <f>Sizing!CN119</f>
        <v>0.25</v>
      </c>
      <c r="V103" s="17">
        <f>Sizing!CO119</f>
        <v>2.3622047244094495E-2</v>
      </c>
      <c r="W103" s="17">
        <f>Sizing!CP119</f>
        <v>1.5748031496062995E-2</v>
      </c>
      <c r="X103" s="170">
        <f>Sizing!DU119</f>
        <v>0.10588389379166488</v>
      </c>
      <c r="Y103" s="170">
        <f>Sizing!DV119</f>
        <v>0.32539805437596714</v>
      </c>
      <c r="Z103" s="170">
        <f>Sizing!DW119</f>
        <v>0.10588389379166488</v>
      </c>
      <c r="AA103" s="272">
        <f>Sizing!DX119</f>
        <v>0.32539805437596714</v>
      </c>
      <c r="AB103" s="272">
        <f t="shared" si="12"/>
        <v>2.4478303993437178</v>
      </c>
      <c r="AC103" s="216">
        <f>Sizing!GJ119</f>
        <v>0.25</v>
      </c>
      <c r="AD103" s="216">
        <f>Sizing!GK119</f>
        <v>1.5748031496062995E-2</v>
      </c>
      <c r="AE103" s="17">
        <f>Sizing!GL119</f>
        <v>1.5748031496062995E-2</v>
      </c>
      <c r="AF103" s="170">
        <f>Sizing!JC119</f>
        <v>1.7308826818777986E-3</v>
      </c>
      <c r="AG103" s="272">
        <f>Sizing!JD119</f>
        <v>4.160387820717918E-2</v>
      </c>
      <c r="AH103" s="170">
        <f>Sizing!JC119</f>
        <v>1.7308826818777986E-3</v>
      </c>
      <c r="AI103" s="272">
        <f>Sizing!JD119</f>
        <v>4.160387820717918E-2</v>
      </c>
      <c r="AJ103" s="216">
        <f>Sizing!IT119</f>
        <v>0.25</v>
      </c>
      <c r="AK103" s="216">
        <f>Sizing!IU119</f>
        <v>1.5748031496062995E-2</v>
      </c>
      <c r="AL103" s="17">
        <f>Sizing!IV119</f>
        <v>1.5748031496062995E-2</v>
      </c>
      <c r="AM103" s="170">
        <f t="shared" si="13"/>
        <v>0</v>
      </c>
      <c r="AN103" s="11">
        <f t="shared" si="14"/>
        <v>0.15861072866172135</v>
      </c>
      <c r="AO103" s="11">
        <f t="shared" si="15"/>
        <v>0.15861072866172135</v>
      </c>
      <c r="AP103" s="11">
        <f t="shared" si="16"/>
        <v>0.3172214573234427</v>
      </c>
      <c r="AQ103" s="555">
        <f t="shared" si="17"/>
        <v>5061008.2300005229</v>
      </c>
      <c r="AR103" s="311">
        <f t="shared" si="18"/>
        <v>4.805271041250708</v>
      </c>
      <c r="AS103" s="11">
        <f t="shared" si="19"/>
        <v>4.7494818628602822E-3</v>
      </c>
      <c r="AT103" s="11">
        <f t="shared" si="20"/>
        <v>0.29054172093682901</v>
      </c>
      <c r="AU103" s="11">
        <f t="shared" si="21"/>
        <v>0.29529120279968929</v>
      </c>
      <c r="AV103" s="555">
        <f t="shared" si="22"/>
        <v>4711129.0018827468</v>
      </c>
      <c r="AW103" s="138">
        <f t="shared" si="23"/>
        <v>3.9370078740157494E-2</v>
      </c>
      <c r="AX103" s="138">
        <f t="shared" si="24"/>
        <v>3.1496062992125991E-2</v>
      </c>
      <c r="AY103" s="554">
        <f t="shared" si="25"/>
        <v>3.1496062992125991E-2</v>
      </c>
      <c r="AZ103" s="12">
        <f t="shared" si="26"/>
        <v>147.07488491239502</v>
      </c>
      <c r="BA103" s="11">
        <f t="shared" si="27"/>
        <v>59.643203502756414</v>
      </c>
      <c r="BB103">
        <f t="shared" si="28"/>
        <v>57.113969765498389</v>
      </c>
      <c r="BC103" s="555">
        <f t="shared" si="29"/>
        <v>215376094.61805728</v>
      </c>
      <c r="BD103">
        <f t="shared" si="30"/>
        <v>59</v>
      </c>
      <c r="BE103" s="207">
        <f t="shared" si="31"/>
        <v>1.55183732</v>
      </c>
      <c r="BF103" s="207">
        <f>'Inputs-Imperial'!$E$15*BE103</f>
        <v>1.16387799</v>
      </c>
      <c r="BG103" s="207">
        <f>'Inputs-Imperial'!$E$12*BE103</f>
        <v>0.38795932999999999</v>
      </c>
      <c r="BH103">
        <f>'Inputs-Imperial'!$E$11*BE103</f>
        <v>0.2793307176</v>
      </c>
      <c r="BI103">
        <f t="shared" si="32"/>
        <v>0.29627496691299676</v>
      </c>
      <c r="BJ103">
        <f>'Weight '!U105+'Weight '!V105 /12</f>
        <v>2.4934383202099744E-2</v>
      </c>
      <c r="BK103">
        <f>('Weight '!AK105+'Weight '!AL105)/12</f>
        <v>2.6246719160104991E-3</v>
      </c>
      <c r="BL103">
        <f>'Weight '!AG105/12</f>
        <v>2.7116504531330594E-2</v>
      </c>
      <c r="BM103">
        <f>'Weight '!AI105/12</f>
        <v>2.7116504531330594E-2</v>
      </c>
      <c r="BN103" s="554">
        <f t="shared" si="33"/>
        <v>0.51249956522991125</v>
      </c>
      <c r="BO103" s="554">
        <f t="shared" si="34"/>
        <v>1.9884737980619236</v>
      </c>
      <c r="BP103">
        <f t="shared" si="35"/>
        <v>2.7116504531330594E-2</v>
      </c>
      <c r="BQ103">
        <f t="shared" si="35"/>
        <v>2.7116504531330594E-2</v>
      </c>
      <c r="BR103">
        <f t="shared" si="36"/>
        <v>0.22509770853733882</v>
      </c>
      <c r="BS103">
        <f t="shared" si="37"/>
        <v>8.1276718536386405E-2</v>
      </c>
      <c r="BT103">
        <f t="shared" si="38"/>
        <v>0.18955049100472182</v>
      </c>
      <c r="BU103">
        <f t="shared" si="39"/>
        <v>2.2929111335278748E-2</v>
      </c>
      <c r="BV103">
        <f t="shared" si="40"/>
        <v>631.44844399365093</v>
      </c>
      <c r="BW103" s="207">
        <f t="shared" si="41"/>
        <v>220.47755727925284</v>
      </c>
      <c r="BX103">
        <f t="shared" si="42"/>
        <v>0.60099985142981416</v>
      </c>
      <c r="BY103" s="575">
        <f t="shared" si="43"/>
        <v>20.757001170720343</v>
      </c>
      <c r="BZ103">
        <f t="shared" si="44"/>
        <v>624.52944360341075</v>
      </c>
      <c r="CA103" s="207">
        <f t="shared" si="45"/>
        <v>222.89340661638363</v>
      </c>
      <c r="CB103">
        <f t="shared" si="46"/>
        <v>0.59895929327917963</v>
      </c>
      <c r="CC103">
        <f t="shared" si="47"/>
        <v>280.95676785075739</v>
      </c>
      <c r="CD103">
        <f t="shared" si="48"/>
        <v>530.87718765315833</v>
      </c>
      <c r="CE103" s="207">
        <f t="shared" si="49"/>
        <v>255.59317937219495</v>
      </c>
      <c r="CF103">
        <f t="shared" si="50"/>
        <v>0.57133928122163335</v>
      </c>
      <c r="CG103">
        <f t="shared" si="51"/>
        <v>166.74403987281954</v>
      </c>
      <c r="CH103">
        <f t="shared" si="52"/>
        <v>475.29584102888515</v>
      </c>
      <c r="CI103" s="207">
        <f t="shared" ref="CI103" si="245" xml:space="preserve"> ($BQ$38-CH103*($BP103+$BR103+$BQ103+$BN103))/($BP103+$BR103+$BQ103+$BO103)</f>
        <v>275.00005201647116</v>
      </c>
      <c r="CJ103">
        <f t="shared" si="54"/>
        <v>0.55494717781354719</v>
      </c>
      <c r="CK103">
        <f t="shared" si="55"/>
        <v>103.85283661072982</v>
      </c>
      <c r="CL103">
        <f t="shared" si="56"/>
        <v>440.67822882530857</v>
      </c>
      <c r="CM103" s="207">
        <f t="shared" ref="CM103" si="246" xml:space="preserve"> ($BQ$38-CL103*($BP103+$BR103+$BQ103+$BN103))/($BP103+$BR103+$BQ103+$BO103)</f>
        <v>287.08719333431691</v>
      </c>
      <c r="CN103">
        <f t="shared" si="58"/>
        <v>0.54473771882332123</v>
      </c>
      <c r="CO103">
        <f t="shared" si="59"/>
        <v>66.524207047325689</v>
      </c>
      <c r="CP103">
        <f t="shared" si="60"/>
        <v>418.50349314286666</v>
      </c>
      <c r="CQ103" s="207">
        <f t="shared" ref="CQ103" si="247" xml:space="preserve"> ($BQ$38-CP103*($BP103+$BR103+$BQ103+$BN103))/($BP103+$BR103+$BQ103+$BO103)</f>
        <v>294.82975981473567</v>
      </c>
      <c r="CR103">
        <f t="shared" si="62"/>
        <v>0.53819792476595996</v>
      </c>
      <c r="CS103">
        <f t="shared" si="63"/>
        <v>43.355716494127478</v>
      </c>
      <c r="CT103">
        <f t="shared" si="64"/>
        <v>404.05158764482417</v>
      </c>
      <c r="CU103" s="636">
        <f t="shared" si="65"/>
        <v>299.87581045045641</v>
      </c>
      <c r="CV103" s="575">
        <f t="shared" si="66"/>
        <v>0.53393575510373115</v>
      </c>
      <c r="CW103">
        <f t="shared" si="67"/>
        <v>28.568370619894761</v>
      </c>
      <c r="CX103" s="576">
        <f t="shared" si="68"/>
        <v>0.34406683498482377</v>
      </c>
    </row>
    <row r="104" spans="1:102" x14ac:dyDescent="0.25">
      <c r="A104" s="186">
        <v>60</v>
      </c>
      <c r="B104" s="187">
        <f>A104/100*'Inputs-Imperial'!$E$5</f>
        <v>5.9055119999999999</v>
      </c>
      <c r="C104" s="188">
        <f>'Inputs-Imperial'!$E$10+('Inputs-Imperial'!$E$9-'Inputs-Imperial'!$E$10)*(100-A104)/100</f>
        <v>1.5419947999999999</v>
      </c>
      <c r="D104" s="187">
        <f t="shared" si="69"/>
        <v>9.8425200000000324E-2</v>
      </c>
      <c r="E104" s="188">
        <f t="shared" si="70"/>
        <v>0.1522555225887125</v>
      </c>
      <c r="F104" s="423">
        <f>Sizing!F120</f>
        <v>37.119230749358991</v>
      </c>
      <c r="G104" s="423">
        <f>Sizing!G120</f>
        <v>371.19230749358991</v>
      </c>
      <c r="H104" s="423">
        <f>Sizing!H120</f>
        <v>666.85186891033993</v>
      </c>
      <c r="I104" s="423">
        <f>Sizing!I120</f>
        <v>-264.20510507053365</v>
      </c>
      <c r="J104" s="189">
        <f>Sizing!J120</f>
        <v>66.685186891033979</v>
      </c>
      <c r="K104" s="128">
        <v>60</v>
      </c>
      <c r="L104" s="12">
        <f t="shared" si="11"/>
        <v>70.866143999999991</v>
      </c>
      <c r="M104" s="11">
        <f t="shared" si="11"/>
        <v>18.5039376</v>
      </c>
      <c r="N104" s="11">
        <f t="shared" si="11"/>
        <v>1.1811024000000039</v>
      </c>
      <c r="O104" s="152">
        <f t="shared" si="71"/>
        <v>21.924795252774601</v>
      </c>
      <c r="P104" s="170">
        <f t="shared" si="162"/>
        <v>3.330708768</v>
      </c>
      <c r="Q104" s="8">
        <f t="shared" si="163"/>
        <v>1.665354384</v>
      </c>
      <c r="R104" s="170">
        <f>Sizing!X120</f>
        <v>4.6259844000000001</v>
      </c>
      <c r="S104" s="8">
        <f>Sizing!Y120</f>
        <v>13.8779532</v>
      </c>
      <c r="T104" s="8">
        <f>Sizing!Z120</f>
        <v>9.2519688000000002</v>
      </c>
      <c r="U104" s="17">
        <f>Sizing!CN120</f>
        <v>0.25</v>
      </c>
      <c r="V104" s="17">
        <f>Sizing!CO120</f>
        <v>2.3622047244094495E-2</v>
      </c>
      <c r="W104" s="17">
        <f>Sizing!CP120</f>
        <v>1.5748031496062995E-2</v>
      </c>
      <c r="X104" s="170">
        <f>Sizing!DU120</f>
        <v>6.7368736237725546E-2</v>
      </c>
      <c r="Y104" s="170">
        <f>Sizing!DV120</f>
        <v>0.25955488097457452</v>
      </c>
      <c r="Z104" s="170">
        <f>Sizing!DW120</f>
        <v>6.7368736237725546E-2</v>
      </c>
      <c r="AA104" s="272">
        <f>Sizing!DX120</f>
        <v>0.25955488097457452</v>
      </c>
      <c r="AB104" s="272">
        <f t="shared" si="12"/>
        <v>2.4924137295451105</v>
      </c>
      <c r="AC104" s="216">
        <f>Sizing!GJ120</f>
        <v>0.25</v>
      </c>
      <c r="AD104" s="216">
        <f>Sizing!GK120</f>
        <v>1.5748031496062995E-2</v>
      </c>
      <c r="AE104" s="17">
        <f>Sizing!GL120</f>
        <v>1.5748031496062995E-2</v>
      </c>
      <c r="AF104" s="170">
        <f>Sizing!JC120</f>
        <v>1.118139342754408E-3</v>
      </c>
      <c r="AG104" s="272">
        <f>Sizing!JD120</f>
        <v>3.3438590621532004E-2</v>
      </c>
      <c r="AH104" s="170">
        <f>Sizing!JC120</f>
        <v>1.118139342754408E-3</v>
      </c>
      <c r="AI104" s="272">
        <f>Sizing!JD120</f>
        <v>3.3438590621532004E-2</v>
      </c>
      <c r="AJ104" s="216">
        <f>Sizing!IT120</f>
        <v>0.25</v>
      </c>
      <c r="AK104" s="216">
        <f>Sizing!IU120</f>
        <v>1.5748031496062995E-2</v>
      </c>
      <c r="AL104" s="17">
        <f>Sizing!IV120</f>
        <v>1.5748031496062995E-2</v>
      </c>
      <c r="AM104" s="170">
        <f t="shared" si="13"/>
        <v>0</v>
      </c>
      <c r="AN104" s="11">
        <f t="shared" si="14"/>
        <v>0.10462577284776284</v>
      </c>
      <c r="AO104" s="11">
        <f t="shared" si="15"/>
        <v>0.10462577284776284</v>
      </c>
      <c r="AP104" s="11">
        <f t="shared" si="16"/>
        <v>0.20925154569552568</v>
      </c>
      <c r="AQ104" s="555">
        <f t="shared" si="17"/>
        <v>3338436.8253046419</v>
      </c>
      <c r="AR104" s="311">
        <f t="shared" si="18"/>
        <v>4.777035097312945</v>
      </c>
      <c r="AS104" s="11">
        <f t="shared" si="19"/>
        <v>3.0742123662152359E-3</v>
      </c>
      <c r="AT104" s="11">
        <f t="shared" si="20"/>
        <v>0.18522360686112951</v>
      </c>
      <c r="AU104" s="11">
        <f t="shared" si="21"/>
        <v>0.18829781922734476</v>
      </c>
      <c r="AV104" s="555">
        <f t="shared" si="22"/>
        <v>3004137.3015605193</v>
      </c>
      <c r="AW104" s="138">
        <f t="shared" si="23"/>
        <v>3.9370078740157494E-2</v>
      </c>
      <c r="AX104" s="138">
        <f t="shared" si="24"/>
        <v>3.1496062992125991E-2</v>
      </c>
      <c r="AY104" s="554">
        <f t="shared" si="25"/>
        <v>3.1496062992125991E-2</v>
      </c>
      <c r="AZ104" s="12">
        <f t="shared" si="26"/>
        <v>145.21515796856045</v>
      </c>
      <c r="BA104" s="11">
        <f t="shared" si="27"/>
        <v>59.264916799779151</v>
      </c>
      <c r="BB104">
        <f t="shared" si="28"/>
        <v>56.034112651250659</v>
      </c>
      <c r="BC104" s="555">
        <f t="shared" si="29"/>
        <v>211303966.39851445</v>
      </c>
      <c r="BD104">
        <f t="shared" si="30"/>
        <v>60</v>
      </c>
      <c r="BE104" s="207">
        <f t="shared" si="31"/>
        <v>1.5419947999999999</v>
      </c>
      <c r="BF104" s="207">
        <f>'Inputs-Imperial'!$E$15*BE104</f>
        <v>1.1564961</v>
      </c>
      <c r="BG104" s="207">
        <f>'Inputs-Imperial'!$E$12*BE104</f>
        <v>0.38549869999999997</v>
      </c>
      <c r="BH104">
        <f>'Inputs-Imperial'!$E$11*BE104</f>
        <v>0.27755906399999997</v>
      </c>
      <c r="BI104">
        <f t="shared" si="32"/>
        <v>0.29439584450128636</v>
      </c>
      <c r="BJ104">
        <f>'Weight '!U106+'Weight '!V106 /12</f>
        <v>2.4934383202099744E-2</v>
      </c>
      <c r="BK104">
        <f>('Weight '!AK106+'Weight '!AL106)/12</f>
        <v>2.6246719160104991E-3</v>
      </c>
      <c r="BL104">
        <f>'Weight '!AG106/12</f>
        <v>2.1629573414547878E-2</v>
      </c>
      <c r="BM104">
        <f>'Weight '!AI106/12</f>
        <v>2.1629573414547878E-2</v>
      </c>
      <c r="BN104" s="554">
        <f t="shared" si="33"/>
        <v>0.50686915976113023</v>
      </c>
      <c r="BO104" s="554">
        <f t="shared" si="34"/>
        <v>1.978241793192701</v>
      </c>
      <c r="BP104">
        <f t="shared" si="35"/>
        <v>2.1629573414547878E-2</v>
      </c>
      <c r="BQ104">
        <f t="shared" si="35"/>
        <v>2.1629573414547878E-2</v>
      </c>
      <c r="BR104">
        <f t="shared" si="36"/>
        <v>0.23429991717090423</v>
      </c>
      <c r="BS104">
        <f t="shared" si="37"/>
        <v>8.024899375891259E-2</v>
      </c>
      <c r="BT104">
        <f t="shared" si="38"/>
        <v>0.18715367012297485</v>
      </c>
      <c r="BU104">
        <f t="shared" si="39"/>
        <v>2.2352911151014784E-2</v>
      </c>
      <c r="BV104">
        <f t="shared" si="40"/>
        <v>637.40694795838613</v>
      </c>
      <c r="BW104" s="207">
        <f t="shared" si="41"/>
        <v>221.6507713461196</v>
      </c>
      <c r="BX104">
        <f t="shared" si="42"/>
        <v>0.59758507169117092</v>
      </c>
      <c r="BY104" s="575">
        <f t="shared" si="43"/>
        <v>21.402892859406393</v>
      </c>
      <c r="BZ104">
        <f t="shared" si="44"/>
        <v>630.27265033858396</v>
      </c>
      <c r="CA104" s="207">
        <f t="shared" si="45"/>
        <v>224.13163945636992</v>
      </c>
      <c r="CB104">
        <f t="shared" si="46"/>
        <v>0.59551142413699065</v>
      </c>
      <c r="CC104">
        <f t="shared" si="47"/>
        <v>282.70598466184759</v>
      </c>
      <c r="CD104">
        <f t="shared" si="48"/>
        <v>536.03732211796807</v>
      </c>
      <c r="CE104" s="207">
        <f t="shared" si="49"/>
        <v>256.90086680015145</v>
      </c>
      <c r="CF104">
        <f t="shared" si="50"/>
        <v>0.5681210812755344</v>
      </c>
      <c r="CG104">
        <f t="shared" si="51"/>
        <v>168.4877013535741</v>
      </c>
      <c r="CH104">
        <f t="shared" si="52"/>
        <v>479.87475500011004</v>
      </c>
      <c r="CI104" s="207">
        <f t="shared" ref="CI104" si="248" xml:space="preserve"> ($BQ$38-CH104*($BP104+$BR104+$BQ104+$BN104))/($BP104+$BR104+$BQ104+$BO104)</f>
        <v>276.4307391404576</v>
      </c>
      <c r="CJ104">
        <f t="shared" si="54"/>
        <v>0.55179692770824051</v>
      </c>
      <c r="CK104">
        <f t="shared" si="55"/>
        <v>105.32588773598692</v>
      </c>
      <c r="CL104">
        <f t="shared" si="56"/>
        <v>444.76612575478106</v>
      </c>
      <c r="CM104" s="207">
        <f t="shared" ref="CM104" si="249" xml:space="preserve"> ($BQ$38-CL104*($BP104+$BR104+$BQ104+$BN104))/($BP104+$BR104+$BQ104+$BO104)</f>
        <v>288.63935214359066</v>
      </c>
      <c r="CN104">
        <f t="shared" si="58"/>
        <v>0.5415922899085609</v>
      </c>
      <c r="CO104">
        <f t="shared" si="59"/>
        <v>67.70463296558151</v>
      </c>
      <c r="CP104">
        <f t="shared" si="60"/>
        <v>422.19791476625392</v>
      </c>
      <c r="CQ104" s="207">
        <f t="shared" ref="CQ104" si="250" xml:space="preserve"> ($BQ$38-CP104*($BP104+$BR104+$BQ104+$BN104))/($BP104+$BR104+$BQ104+$BO104)</f>
        <v>296.48718215161176</v>
      </c>
      <c r="CR104">
        <f t="shared" si="62"/>
        <v>0.53503263708601989</v>
      </c>
      <c r="CS104">
        <f t="shared" si="63"/>
        <v>44.277958895563486</v>
      </c>
      <c r="CT104">
        <f t="shared" si="64"/>
        <v>407.43859513439941</v>
      </c>
      <c r="CU104" s="636">
        <f t="shared" si="65"/>
        <v>301.61956200944485</v>
      </c>
      <c r="CV104" s="575">
        <f t="shared" si="66"/>
        <v>0.53074270853425753</v>
      </c>
      <c r="CW104">
        <f t="shared" si="67"/>
        <v>29.277480331847435</v>
      </c>
      <c r="CX104" s="576">
        <f t="shared" si="68"/>
        <v>0.34419228166933996</v>
      </c>
    </row>
    <row r="105" spans="1:102" x14ac:dyDescent="0.25">
      <c r="A105" s="186">
        <v>61</v>
      </c>
      <c r="B105" s="187">
        <f>A105/100*'Inputs-Imperial'!$E$5</f>
        <v>6.0039372000000002</v>
      </c>
      <c r="C105" s="188">
        <f>'Inputs-Imperial'!$E$10+('Inputs-Imperial'!$E$9-'Inputs-Imperial'!$E$10)*(100-A105)/100</f>
        <v>1.53215228</v>
      </c>
      <c r="D105" s="187">
        <f t="shared" si="69"/>
        <v>9.8425200000000324E-2</v>
      </c>
      <c r="E105" s="188">
        <f t="shared" si="70"/>
        <v>0.1512867705892085</v>
      </c>
      <c r="F105" s="423">
        <f>Sizing!F121</f>
        <v>35.936807613055052</v>
      </c>
      <c r="G105" s="423">
        <f>Sizing!G121</f>
        <v>359.36807613055049</v>
      </c>
      <c r="H105" s="423">
        <f>Sizing!H121</f>
        <v>630.31719180682171</v>
      </c>
      <c r="I105" s="423">
        <f>Sizing!I121</f>
        <v>-253.84140406136569</v>
      </c>
      <c r="J105" s="189">
        <f>Sizing!J121</f>
        <v>63.031719180682153</v>
      </c>
      <c r="K105" s="128">
        <v>61</v>
      </c>
      <c r="L105" s="12">
        <f t="shared" si="11"/>
        <v>72.047246400000006</v>
      </c>
      <c r="M105" s="11">
        <f t="shared" si="11"/>
        <v>18.38582736</v>
      </c>
      <c r="N105" s="11">
        <f t="shared" si="11"/>
        <v>1.1811024000000039</v>
      </c>
      <c r="O105" s="152">
        <f t="shared" si="71"/>
        <v>21.785294964846024</v>
      </c>
      <c r="P105" s="170">
        <f t="shared" si="162"/>
        <v>3.3094489247999999</v>
      </c>
      <c r="Q105" s="8">
        <f t="shared" si="163"/>
        <v>1.6547244623999999</v>
      </c>
      <c r="R105" s="170">
        <f>Sizing!X121</f>
        <v>4.5964568400000001</v>
      </c>
      <c r="S105" s="8">
        <f>Sizing!Y121</f>
        <v>13.78937052</v>
      </c>
      <c r="T105" s="8">
        <f>Sizing!Z121</f>
        <v>9.1929136800000002</v>
      </c>
      <c r="U105" s="17">
        <f>Sizing!CN121</f>
        <v>0.25</v>
      </c>
      <c r="V105" s="17">
        <f>Sizing!CO121</f>
        <v>2.3622047244094495E-2</v>
      </c>
      <c r="W105" s="17">
        <f>Sizing!CP121</f>
        <v>1.5748031496062995E-2</v>
      </c>
      <c r="X105" s="170">
        <f>Sizing!DU121</f>
        <v>6.7368736237725546E-2</v>
      </c>
      <c r="Y105" s="170">
        <f>Sizing!DV121</f>
        <v>0.25955488097457452</v>
      </c>
      <c r="Z105" s="170">
        <f>Sizing!DW121</f>
        <v>6.7368736237725546E-2</v>
      </c>
      <c r="AA105" s="272">
        <f>Sizing!DX121</f>
        <v>0.25955488097457452</v>
      </c>
      <c r="AB105" s="272">
        <f t="shared" si="12"/>
        <v>2.4711538863451104</v>
      </c>
      <c r="AC105" s="216">
        <f>Sizing!GJ121</f>
        <v>0.25</v>
      </c>
      <c r="AD105" s="216">
        <f>Sizing!GK121</f>
        <v>1.5748031496062995E-2</v>
      </c>
      <c r="AE105" s="17">
        <f>Sizing!GL121</f>
        <v>1.5748031496062995E-2</v>
      </c>
      <c r="AF105" s="170">
        <f>Sizing!JC121</f>
        <v>1.118139342754408E-3</v>
      </c>
      <c r="AG105" s="272">
        <f>Sizing!JD121</f>
        <v>3.3438590621532004E-2</v>
      </c>
      <c r="AH105" s="170">
        <f>Sizing!JC121</f>
        <v>1.118139342754408E-3</v>
      </c>
      <c r="AI105" s="272">
        <f>Sizing!JD121</f>
        <v>3.3438590621532004E-2</v>
      </c>
      <c r="AJ105" s="216">
        <f>Sizing!IT121</f>
        <v>0.25</v>
      </c>
      <c r="AK105" s="216">
        <f>Sizing!IU121</f>
        <v>1.5748031496062995E-2</v>
      </c>
      <c r="AL105" s="17">
        <f>Sizing!IV121</f>
        <v>1.5748031496062995E-2</v>
      </c>
      <c r="AM105" s="170">
        <f t="shared" si="13"/>
        <v>0</v>
      </c>
      <c r="AN105" s="11">
        <f t="shared" si="14"/>
        <v>0.10284850694584076</v>
      </c>
      <c r="AO105" s="11">
        <f t="shared" si="15"/>
        <v>0.10284850694584076</v>
      </c>
      <c r="AP105" s="11">
        <f t="shared" si="16"/>
        <v>0.20569701389168152</v>
      </c>
      <c r="AQ105" s="555">
        <f t="shared" si="17"/>
        <v>3281727.1850903872</v>
      </c>
      <c r="AR105" s="311">
        <f t="shared" si="18"/>
        <v>4.7465433839258404</v>
      </c>
      <c r="AS105" s="11">
        <f t="shared" si="19"/>
        <v>3.0350923528090039E-3</v>
      </c>
      <c r="AT105" s="11">
        <f t="shared" si="20"/>
        <v>0.18286659663529595</v>
      </c>
      <c r="AU105" s="11">
        <f t="shared" si="21"/>
        <v>0.18590168898810494</v>
      </c>
      <c r="AV105" s="555">
        <f t="shared" si="22"/>
        <v>2965909.0084202439</v>
      </c>
      <c r="AW105" s="138">
        <f t="shared" si="23"/>
        <v>3.9370078740157494E-2</v>
      </c>
      <c r="AX105" s="138">
        <f t="shared" si="24"/>
        <v>3.1496062992125991E-2</v>
      </c>
      <c r="AY105" s="554">
        <f t="shared" si="25"/>
        <v>3.1496062992125991E-2</v>
      </c>
      <c r="AZ105" s="12">
        <f t="shared" si="26"/>
        <v>143.36726385787858</v>
      </c>
      <c r="BA105" s="11">
        <f t="shared" si="27"/>
        <v>58.886630096801817</v>
      </c>
      <c r="BB105">
        <f t="shared" si="28"/>
        <v>54.967953328235076</v>
      </c>
      <c r="BC105" s="555">
        <f t="shared" si="29"/>
        <v>207283492.38533455</v>
      </c>
      <c r="BD105">
        <f t="shared" si="30"/>
        <v>61</v>
      </c>
      <c r="BE105" s="207">
        <f t="shared" si="31"/>
        <v>1.53215228</v>
      </c>
      <c r="BF105" s="207">
        <f>'Inputs-Imperial'!$E$15*BE105</f>
        <v>1.14911421</v>
      </c>
      <c r="BG105" s="207">
        <f>'Inputs-Imperial'!$E$12*BE105</f>
        <v>0.38303807000000001</v>
      </c>
      <c r="BH105">
        <f>'Inputs-Imperial'!$E$11*BE105</f>
        <v>0.27578741039999999</v>
      </c>
      <c r="BI105">
        <f t="shared" si="32"/>
        <v>0.29251672208957608</v>
      </c>
      <c r="BJ105">
        <f>'Weight '!U107+'Weight '!V107 /12</f>
        <v>2.4934383202099744E-2</v>
      </c>
      <c r="BK105">
        <f>('Weight '!AK107+'Weight '!AL107)/12</f>
        <v>2.6246719160104991E-3</v>
      </c>
      <c r="BL105">
        <f>'Weight '!AG107/12</f>
        <v>2.1629573414547878E-2</v>
      </c>
      <c r="BM105">
        <f>'Weight '!AI107/12</f>
        <v>2.1629573414547878E-2</v>
      </c>
      <c r="BN105" s="554">
        <f t="shared" si="33"/>
        <v>0.50125721691289704</v>
      </c>
      <c r="BO105" s="554">
        <f t="shared" si="34"/>
        <v>1.9679913257029311</v>
      </c>
      <c r="BP105">
        <f t="shared" si="35"/>
        <v>2.1629573414547878E-2</v>
      </c>
      <c r="BQ105">
        <f t="shared" si="35"/>
        <v>2.1629573414547878E-2</v>
      </c>
      <c r="BR105">
        <f t="shared" si="36"/>
        <v>0.23252826357090425</v>
      </c>
      <c r="BS105">
        <f t="shared" si="37"/>
        <v>7.9227808057435442E-2</v>
      </c>
      <c r="BT105">
        <f t="shared" si="38"/>
        <v>0.18477209942711398</v>
      </c>
      <c r="BU105">
        <f t="shared" si="39"/>
        <v>2.1787639580590209E-2</v>
      </c>
      <c r="BV105">
        <f t="shared" si="40"/>
        <v>643.46368590058103</v>
      </c>
      <c r="BW105" s="207">
        <f t="shared" si="41"/>
        <v>222.83837169631818</v>
      </c>
      <c r="BX105">
        <f t="shared" si="42"/>
        <v>0.59416891225442581</v>
      </c>
      <c r="BY105" s="575">
        <f t="shared" si="43"/>
        <v>22.054759214129263</v>
      </c>
      <c r="BZ105">
        <f t="shared" si="44"/>
        <v>636.11209949587123</v>
      </c>
      <c r="CA105" s="207">
        <f t="shared" si="45"/>
        <v>225.38430486971473</v>
      </c>
      <c r="CB105">
        <f t="shared" si="46"/>
        <v>0.5920631772663465</v>
      </c>
      <c r="CC105">
        <f t="shared" si="47"/>
        <v>284.47895168147653</v>
      </c>
      <c r="CD105">
        <f t="shared" si="48"/>
        <v>541.28578226871241</v>
      </c>
      <c r="CE105" s="207">
        <f t="shared" si="49"/>
        <v>258.223674966077</v>
      </c>
      <c r="CF105">
        <f t="shared" si="50"/>
        <v>0.56490181603307521</v>
      </c>
      <c r="CG105">
        <f t="shared" si="51"/>
        <v>170.25339750257257</v>
      </c>
      <c r="CH105">
        <f t="shared" si="52"/>
        <v>484.53464976785489</v>
      </c>
      <c r="CI105" s="207">
        <f t="shared" ref="CI105" si="251" xml:space="preserve"> ($BQ$38-CH105*($BP105+$BR105+$BQ105+$BN105))/($BP105+$BR105+$BQ105+$BO105)</f>
        <v>277.87720046489903</v>
      </c>
      <c r="CJ105">
        <f t="shared" si="54"/>
        <v>0.54864643403231184</v>
      </c>
      <c r="CK105">
        <f t="shared" si="55"/>
        <v>106.82021512172059</v>
      </c>
      <c r="CL105">
        <f t="shared" si="56"/>
        <v>448.92791139394802</v>
      </c>
      <c r="CM105" s="207">
        <f t="shared" ref="CM105" si="252" xml:space="preserve"> ($BQ$38-CL105*($BP105+$BR105+$BQ105+$BN105))/($BP105+$BR105+$BQ105+$BO105)</f>
        <v>290.20819563139889</v>
      </c>
      <c r="CN105">
        <f t="shared" si="58"/>
        <v>0.53844749863555386</v>
      </c>
      <c r="CO105">
        <f t="shared" si="59"/>
        <v>68.904935661495486</v>
      </c>
      <c r="CP105">
        <f t="shared" si="60"/>
        <v>425.95959950678287</v>
      </c>
      <c r="CQ105" s="207">
        <f t="shared" ref="CQ105" si="253" xml:space="preserve"> ($BQ$38-CP105*($BP105+$BR105+$BQ105+$BN105))/($BP105+$BR105+$BQ105+$BO105)</f>
        <v>298.16236823460599</v>
      </c>
      <c r="CR105">
        <f t="shared" si="62"/>
        <v>0.53186862228215415</v>
      </c>
      <c r="CS105">
        <f t="shared" si="63"/>
        <v>45.218203358972126</v>
      </c>
      <c r="CT105">
        <f t="shared" si="64"/>
        <v>410.88686505379218</v>
      </c>
      <c r="CU105" s="636">
        <f t="shared" si="65"/>
        <v>303.38221773988857</v>
      </c>
      <c r="CV105" s="575">
        <f t="shared" si="66"/>
        <v>0.52755129775430043</v>
      </c>
      <c r="CW105">
        <f t="shared" si="67"/>
        <v>30.002483481563871</v>
      </c>
      <c r="CX105" s="576">
        <f t="shared" si="68"/>
        <v>0.34432040773016404</v>
      </c>
    </row>
    <row r="106" spans="1:102" x14ac:dyDescent="0.25">
      <c r="A106" s="186">
        <v>62</v>
      </c>
      <c r="B106" s="187">
        <f>A106/100*'Inputs-Imperial'!$E$5</f>
        <v>6.1023624000000005</v>
      </c>
      <c r="C106" s="188">
        <f>'Inputs-Imperial'!$E$10+('Inputs-Imperial'!$E$9-'Inputs-Imperial'!$E$10)*(100-A106)/100</f>
        <v>1.52230976</v>
      </c>
      <c r="D106" s="187">
        <f t="shared" si="69"/>
        <v>9.8425200000000324E-2</v>
      </c>
      <c r="E106" s="188">
        <f t="shared" si="70"/>
        <v>0.15031801858970448</v>
      </c>
      <c r="F106" s="423">
        <f>Sizing!F122</f>
        <v>34.763963124337913</v>
      </c>
      <c r="G106" s="423">
        <f>Sizing!G122</f>
        <v>347.63963124337909</v>
      </c>
      <c r="H106" s="423">
        <f>Sizing!H122</f>
        <v>594.9463170400569</v>
      </c>
      <c r="I106" s="423">
        <f>Sizing!I122</f>
        <v>-243.64594578347888</v>
      </c>
      <c r="J106" s="189">
        <f>Sizing!J122</f>
        <v>59.494631704005677</v>
      </c>
      <c r="K106" s="128">
        <v>62</v>
      </c>
      <c r="L106" s="12">
        <f t="shared" si="11"/>
        <v>73.228348800000006</v>
      </c>
      <c r="M106" s="11">
        <f t="shared" si="11"/>
        <v>18.26771712</v>
      </c>
      <c r="N106" s="11">
        <f t="shared" si="11"/>
        <v>1.1811024000000039</v>
      </c>
      <c r="O106" s="152">
        <f t="shared" si="71"/>
        <v>21.645794676917443</v>
      </c>
      <c r="P106" s="170">
        <f t="shared" si="162"/>
        <v>3.2881890816000001</v>
      </c>
      <c r="Q106" s="8">
        <f t="shared" si="163"/>
        <v>1.6440945408000001</v>
      </c>
      <c r="R106" s="170">
        <f>Sizing!X122</f>
        <v>4.5669292800000001</v>
      </c>
      <c r="S106" s="8">
        <f>Sizing!Y122</f>
        <v>13.70078784</v>
      </c>
      <c r="T106" s="8">
        <f>Sizing!Z122</f>
        <v>9.1338585600000002</v>
      </c>
      <c r="U106" s="17">
        <f>Sizing!CN122</f>
        <v>0.25</v>
      </c>
      <c r="V106" s="17">
        <f>Sizing!CO122</f>
        <v>2.3622047244094495E-2</v>
      </c>
      <c r="W106" s="17">
        <f>Sizing!CP122</f>
        <v>1.5748031496062995E-2</v>
      </c>
      <c r="X106" s="170">
        <f>Sizing!DU122</f>
        <v>6.7368736237725546E-2</v>
      </c>
      <c r="Y106" s="170">
        <f>Sizing!DV122</f>
        <v>0.25955488097457452</v>
      </c>
      <c r="Z106" s="170">
        <f>Sizing!DW122</f>
        <v>6.7368736237725546E-2</v>
      </c>
      <c r="AA106" s="272">
        <f>Sizing!DX122</f>
        <v>0.25955488097457452</v>
      </c>
      <c r="AB106" s="272">
        <f t="shared" si="12"/>
        <v>2.4498940431451102</v>
      </c>
      <c r="AC106" s="216">
        <f>Sizing!GJ122</f>
        <v>0.25</v>
      </c>
      <c r="AD106" s="216">
        <f>Sizing!GK122</f>
        <v>1.5748031496062995E-2</v>
      </c>
      <c r="AE106" s="17">
        <f>Sizing!GL122</f>
        <v>1.5748031496062995E-2</v>
      </c>
      <c r="AF106" s="170">
        <f>Sizing!JC122</f>
        <v>1.118139342754408E-3</v>
      </c>
      <c r="AG106" s="272">
        <f>Sizing!JD122</f>
        <v>3.3438590621532004E-2</v>
      </c>
      <c r="AH106" s="170">
        <f>Sizing!JC122</f>
        <v>1.118139342754408E-3</v>
      </c>
      <c r="AI106" s="272">
        <f>Sizing!JD122</f>
        <v>3.3438590621532004E-2</v>
      </c>
      <c r="AJ106" s="216">
        <f>Sizing!IT122</f>
        <v>0.25</v>
      </c>
      <c r="AK106" s="216">
        <f>Sizing!IU122</f>
        <v>1.5748031496062995E-2</v>
      </c>
      <c r="AL106" s="17">
        <f>Sizing!IV122</f>
        <v>1.5748031496062995E-2</v>
      </c>
      <c r="AM106" s="170">
        <f t="shared" si="13"/>
        <v>0</v>
      </c>
      <c r="AN106" s="11">
        <f t="shared" si="14"/>
        <v>0.10108646573604484</v>
      </c>
      <c r="AO106" s="11">
        <f t="shared" si="15"/>
        <v>0.10108646573604484</v>
      </c>
      <c r="AP106" s="11">
        <f t="shared" si="16"/>
        <v>0.20217293147208967</v>
      </c>
      <c r="AQ106" s="555">
        <f t="shared" si="17"/>
        <v>3225503.3398333834</v>
      </c>
      <c r="AR106" s="311">
        <f t="shared" si="18"/>
        <v>4.7160516705387368</v>
      </c>
      <c r="AS106" s="11">
        <f t="shared" si="19"/>
        <v>2.9962228410895073E-3</v>
      </c>
      <c r="AT106" s="11">
        <f t="shared" si="20"/>
        <v>0.18052467932446239</v>
      </c>
      <c r="AU106" s="11">
        <f t="shared" si="21"/>
        <v>0.18352090216555189</v>
      </c>
      <c r="AV106" s="555">
        <f t="shared" si="22"/>
        <v>2927925.5069116047</v>
      </c>
      <c r="AW106" s="138">
        <f t="shared" si="23"/>
        <v>3.9370078740157494E-2</v>
      </c>
      <c r="AX106" s="138">
        <f t="shared" si="24"/>
        <v>3.1496062992125991E-2</v>
      </c>
      <c r="AY106" s="554">
        <f t="shared" si="25"/>
        <v>3.1496062992125991E-2</v>
      </c>
      <c r="AZ106" s="12">
        <f t="shared" si="26"/>
        <v>141.53120258034943</v>
      </c>
      <c r="BA106" s="11">
        <f t="shared" si="27"/>
        <v>58.508343393824482</v>
      </c>
      <c r="BB106">
        <f t="shared" si="28"/>
        <v>53.915404363741587</v>
      </c>
      <c r="BC106" s="555">
        <f t="shared" si="29"/>
        <v>203314342.87081718</v>
      </c>
      <c r="BD106">
        <f t="shared" si="30"/>
        <v>62</v>
      </c>
      <c r="BE106" s="207">
        <f t="shared" si="31"/>
        <v>1.52230976</v>
      </c>
      <c r="BF106" s="207">
        <f>'Inputs-Imperial'!$E$15*BE106</f>
        <v>1.14173232</v>
      </c>
      <c r="BG106" s="207">
        <f>'Inputs-Imperial'!$E$12*BE106</f>
        <v>0.38057743999999999</v>
      </c>
      <c r="BH106">
        <f>'Inputs-Imperial'!$E$11*BE106</f>
        <v>0.27401575679999995</v>
      </c>
      <c r="BI106">
        <f t="shared" si="32"/>
        <v>0.29063759967786568</v>
      </c>
      <c r="BJ106">
        <f>'Weight '!U108+'Weight '!V108 /12</f>
        <v>2.4934383202099744E-2</v>
      </c>
      <c r="BK106">
        <f>('Weight '!AK108+'Weight '!AL108)/12</f>
        <v>2.6246719160104991E-3</v>
      </c>
      <c r="BL106">
        <f>'Weight '!AG108/12</f>
        <v>2.1629573414547878E-2</v>
      </c>
      <c r="BM106">
        <f>'Weight '!AI108/12</f>
        <v>2.1629573414547878E-2</v>
      </c>
      <c r="BN106" s="554">
        <f t="shared" si="33"/>
        <v>0.49566394311251089</v>
      </c>
      <c r="BO106" s="554">
        <f t="shared" si="34"/>
        <v>1.9577221891653143</v>
      </c>
      <c r="BP106">
        <f t="shared" si="35"/>
        <v>2.1629573414547878E-2</v>
      </c>
      <c r="BQ106">
        <f t="shared" si="35"/>
        <v>2.1629573414547878E-2</v>
      </c>
      <c r="BR106">
        <f t="shared" si="36"/>
        <v>0.23075660997090422</v>
      </c>
      <c r="BS106">
        <f t="shared" si="37"/>
        <v>7.8213161431954933E-2</v>
      </c>
      <c r="BT106">
        <f t="shared" si="38"/>
        <v>0.18240577891713894</v>
      </c>
      <c r="BU106">
        <f t="shared" si="39"/>
        <v>2.1233157555988251E-2</v>
      </c>
      <c r="BV106">
        <f t="shared" si="40"/>
        <v>649.62087483512266</v>
      </c>
      <c r="BW106" s="207">
        <f t="shared" si="41"/>
        <v>224.04064101877802</v>
      </c>
      <c r="BX106">
        <f t="shared" si="42"/>
        <v>0.59075134943784391</v>
      </c>
      <c r="BY106" s="575">
        <f t="shared" si="43"/>
        <v>22.712676985398332</v>
      </c>
      <c r="BZ106">
        <f t="shared" si="44"/>
        <v>642.04998250665653</v>
      </c>
      <c r="CA106" s="207">
        <f t="shared" si="45"/>
        <v>226.65168329906837</v>
      </c>
      <c r="CB106">
        <f t="shared" si="46"/>
        <v>0.58861452418825944</v>
      </c>
      <c r="CC106">
        <f t="shared" si="47"/>
        <v>286.276042654484</v>
      </c>
      <c r="CD106">
        <f t="shared" si="48"/>
        <v>546.62463495516181</v>
      </c>
      <c r="CE106" s="207">
        <f t="shared" si="49"/>
        <v>259.56188810168146</v>
      </c>
      <c r="CF106">
        <f t="shared" si="50"/>
        <v>0.56168146488008208</v>
      </c>
      <c r="CG106">
        <f t="shared" si="51"/>
        <v>172.04151429391018</v>
      </c>
      <c r="CH106">
        <f t="shared" si="52"/>
        <v>489.27746352385839</v>
      </c>
      <c r="CI106" s="207">
        <f t="shared" ref="CI106" si="254" xml:space="preserve"> ($BQ$38-CH106*($BP106+$BR106+$BQ106+$BN106))/($BP106+$BR106+$BQ106+$BO106)</f>
        <v>279.33972706251205</v>
      </c>
      <c r="CJ106">
        <f t="shared" si="54"/>
        <v>0.54549567348454098</v>
      </c>
      <c r="CK106">
        <f t="shared" si="55"/>
        <v>108.33619592178965</v>
      </c>
      <c r="CL106">
        <f t="shared" si="56"/>
        <v>453.16539821659518</v>
      </c>
      <c r="CM106" s="207">
        <f t="shared" ref="CM106" si="255" xml:space="preserve"> ($BQ$38-CL106*($BP106+$BR106+$BQ106+$BN106))/($BP106+$BR106+$BQ106+$BO106)</f>
        <v>291.79402244211275</v>
      </c>
      <c r="CN106">
        <f t="shared" si="58"/>
        <v>0.53530332499834399</v>
      </c>
      <c r="CO106">
        <f t="shared" si="59"/>
        <v>70.12548256541119</v>
      </c>
      <c r="CP106">
        <f t="shared" si="60"/>
        <v>429.79023736145814</v>
      </c>
      <c r="CQ106" s="207">
        <f t="shared" ref="CQ106" si="256" xml:space="preserve"> ($BQ$38-CP106*($BP106+$BR106+$BQ106+$BN106))/($BP106+$BR106+$BQ106+$BO106)</f>
        <v>299.85562610167972</v>
      </c>
      <c r="CR106">
        <f t="shared" si="62"/>
        <v>0.52870586834973343</v>
      </c>
      <c r="CS106">
        <f t="shared" si="63"/>
        <v>46.176806023209991</v>
      </c>
      <c r="CT106">
        <f t="shared" si="64"/>
        <v>414.3979686870548</v>
      </c>
      <c r="CU106" s="636">
        <f t="shared" si="65"/>
        <v>305.16409735642787</v>
      </c>
      <c r="CV106" s="575">
        <f t="shared" si="66"/>
        <v>0.52436152069230002</v>
      </c>
      <c r="CW106">
        <f t="shared" si="67"/>
        <v>30.743722393228907</v>
      </c>
      <c r="CX106" s="576">
        <f t="shared" si="68"/>
        <v>0.34445126377715662</v>
      </c>
    </row>
    <row r="107" spans="1:102" x14ac:dyDescent="0.25">
      <c r="A107" s="186">
        <v>63</v>
      </c>
      <c r="B107" s="187">
        <f>A107/100*'Inputs-Imperial'!$E$5</f>
        <v>6.2007876</v>
      </c>
      <c r="C107" s="188">
        <f>'Inputs-Imperial'!$E$10+('Inputs-Imperial'!$E$9-'Inputs-Imperial'!$E$10)*(100-A107)/100</f>
        <v>1.5124672399999999</v>
      </c>
      <c r="D107" s="187">
        <f t="shared" si="69"/>
        <v>9.8425199999999435E-2</v>
      </c>
      <c r="E107" s="188">
        <f t="shared" si="70"/>
        <v>0.14934926659019915</v>
      </c>
      <c r="F107" s="423">
        <f>Sizing!F123</f>
        <v>33.600854756580439</v>
      </c>
      <c r="G107" s="423">
        <f>Sizing!G123</f>
        <v>336.00854756580435</v>
      </c>
      <c r="H107" s="423">
        <f>Sizing!H123</f>
        <v>560.72981680700127</v>
      </c>
      <c r="I107" s="423">
        <f>Sizing!I123</f>
        <v>-233.62009444870466</v>
      </c>
      <c r="J107" s="189">
        <f>Sizing!J123</f>
        <v>56.07298168070011</v>
      </c>
      <c r="K107" s="128">
        <v>63</v>
      </c>
      <c r="L107" s="12">
        <f t="shared" si="11"/>
        <v>74.409451200000007</v>
      </c>
      <c r="M107" s="11">
        <f t="shared" si="11"/>
        <v>18.14960688</v>
      </c>
      <c r="N107" s="11">
        <f t="shared" si="11"/>
        <v>1.1811023999999932</v>
      </c>
      <c r="O107" s="152">
        <f t="shared" si="71"/>
        <v>21.506294388988678</v>
      </c>
      <c r="P107" s="170">
        <f t="shared" si="162"/>
        <v>3.2669292383999999</v>
      </c>
      <c r="Q107" s="8">
        <f t="shared" si="163"/>
        <v>1.6334646192</v>
      </c>
      <c r="R107" s="170">
        <f>Sizing!X123</f>
        <v>4.5374017200000001</v>
      </c>
      <c r="S107" s="8">
        <f>Sizing!Y123</f>
        <v>13.61220516</v>
      </c>
      <c r="T107" s="8">
        <f>Sizing!Z123</f>
        <v>9.0748034400000002</v>
      </c>
      <c r="U107" s="17">
        <f>Sizing!CN123</f>
        <v>0.25</v>
      </c>
      <c r="V107" s="17">
        <f>Sizing!CO123</f>
        <v>2.3622047244094495E-2</v>
      </c>
      <c r="W107" s="17">
        <f>Sizing!CP123</f>
        <v>1.5748031496062995E-2</v>
      </c>
      <c r="X107" s="170">
        <f>Sizing!DU123</f>
        <v>6.7368736237725546E-2</v>
      </c>
      <c r="Y107" s="170">
        <f>Sizing!DV123</f>
        <v>0.25955488097457452</v>
      </c>
      <c r="Z107" s="170">
        <f>Sizing!DW123</f>
        <v>6.7368736237725546E-2</v>
      </c>
      <c r="AA107" s="272">
        <f>Sizing!DX123</f>
        <v>0.25955488097457452</v>
      </c>
      <c r="AB107" s="272">
        <f t="shared" si="12"/>
        <v>2.42863419994511</v>
      </c>
      <c r="AC107" s="216">
        <f>Sizing!GJ123</f>
        <v>0.25</v>
      </c>
      <c r="AD107" s="216">
        <f>Sizing!GK123</f>
        <v>1.5748031496062995E-2</v>
      </c>
      <c r="AE107" s="17">
        <f>Sizing!GL123</f>
        <v>1.5748031496062995E-2</v>
      </c>
      <c r="AF107" s="170">
        <f>Sizing!JC123</f>
        <v>1.118139342754408E-3</v>
      </c>
      <c r="AG107" s="272">
        <f>Sizing!JD123</f>
        <v>3.3438590621532004E-2</v>
      </c>
      <c r="AH107" s="170">
        <f>Sizing!JC123</f>
        <v>1.118139342754408E-3</v>
      </c>
      <c r="AI107" s="272">
        <f>Sizing!JD123</f>
        <v>3.3438590621532004E-2</v>
      </c>
      <c r="AJ107" s="216">
        <f>Sizing!IT123</f>
        <v>0.25</v>
      </c>
      <c r="AK107" s="216">
        <f>Sizing!IU123</f>
        <v>1.5748031496062995E-2</v>
      </c>
      <c r="AL107" s="17">
        <f>Sizing!IV123</f>
        <v>1.5748031496062995E-2</v>
      </c>
      <c r="AM107" s="170">
        <f t="shared" si="13"/>
        <v>0</v>
      </c>
      <c r="AN107" s="11">
        <f t="shared" si="14"/>
        <v>9.9339649218375028E-2</v>
      </c>
      <c r="AO107" s="11">
        <f t="shared" si="15"/>
        <v>9.9339649218375028E-2</v>
      </c>
      <c r="AP107" s="11">
        <f t="shared" si="16"/>
        <v>0.19867929843675006</v>
      </c>
      <c r="AQ107" s="555">
        <f t="shared" si="17"/>
        <v>3169765.2895336291</v>
      </c>
      <c r="AR107" s="311">
        <f t="shared" si="18"/>
        <v>4.6855599571516322</v>
      </c>
      <c r="AS107" s="11">
        <f t="shared" si="19"/>
        <v>2.9576038310566736E-3</v>
      </c>
      <c r="AT107" s="11">
        <f t="shared" si="20"/>
        <v>0.17819785492862883</v>
      </c>
      <c r="AU107" s="11">
        <f t="shared" si="21"/>
        <v>0.1811554587596855</v>
      </c>
      <c r="AV107" s="555">
        <f t="shared" si="22"/>
        <v>2890186.7970345994</v>
      </c>
      <c r="AW107" s="138">
        <f t="shared" si="23"/>
        <v>3.9370078740157494E-2</v>
      </c>
      <c r="AX107" s="138">
        <f t="shared" si="24"/>
        <v>3.1496062992125991E-2</v>
      </c>
      <c r="AY107" s="554">
        <f t="shared" si="25"/>
        <v>3.1496062992125991E-2</v>
      </c>
      <c r="AZ107" s="12">
        <f t="shared" si="26"/>
        <v>139.70697413597298</v>
      </c>
      <c r="BA107" s="11">
        <f t="shared" si="27"/>
        <v>58.130056690847198</v>
      </c>
      <c r="BB107">
        <f t="shared" si="28"/>
        <v>52.876378325060145</v>
      </c>
      <c r="BC107" s="555">
        <f t="shared" si="29"/>
        <v>199396188.14726192</v>
      </c>
      <c r="BD107">
        <f t="shared" si="30"/>
        <v>63</v>
      </c>
      <c r="BE107" s="207">
        <f t="shared" si="31"/>
        <v>1.5124672399999999</v>
      </c>
      <c r="BF107" s="207">
        <f>'Inputs-Imperial'!$E$15*BE107</f>
        <v>1.13435043</v>
      </c>
      <c r="BG107" s="207">
        <f>'Inputs-Imperial'!$E$12*BE107</f>
        <v>0.37811680999999997</v>
      </c>
      <c r="BH107">
        <f>'Inputs-Imperial'!$E$11*BE107</f>
        <v>0.27224410319999998</v>
      </c>
      <c r="BI107">
        <f t="shared" si="32"/>
        <v>0.28875847726615539</v>
      </c>
      <c r="BJ107">
        <f>'Weight '!U109+'Weight '!V109 /12</f>
        <v>2.4934383202099744E-2</v>
      </c>
      <c r="BK107">
        <f>('Weight '!AK109+'Weight '!AL109)/12</f>
        <v>2.6246719160104991E-3</v>
      </c>
      <c r="BL107">
        <f>'Weight '!AG109/12</f>
        <v>2.1629573414547878E-2</v>
      </c>
      <c r="BM107">
        <f>'Weight '!AI109/12</f>
        <v>2.1629573414547878E-2</v>
      </c>
      <c r="BN107" s="554">
        <f t="shared" si="33"/>
        <v>0.4900895461352921</v>
      </c>
      <c r="BO107" s="554">
        <f t="shared" si="34"/>
        <v>1.9474341758045293</v>
      </c>
      <c r="BP107">
        <f t="shared" si="35"/>
        <v>2.1629573414547878E-2</v>
      </c>
      <c r="BQ107">
        <f t="shared" si="35"/>
        <v>2.1629573414547878E-2</v>
      </c>
      <c r="BR107">
        <f t="shared" si="36"/>
        <v>0.22898495637090424</v>
      </c>
      <c r="BS107">
        <f t="shared" si="37"/>
        <v>7.7205053882471078E-2</v>
      </c>
      <c r="BT107">
        <f t="shared" si="38"/>
        <v>0.18005470859305001</v>
      </c>
      <c r="BU107">
        <f t="shared" si="39"/>
        <v>2.0689326899702421E-2</v>
      </c>
      <c r="BV107">
        <f t="shared" si="40"/>
        <v>655.88079502455275</v>
      </c>
      <c r="BW107" s="207">
        <f t="shared" si="41"/>
        <v>225.2578694531523</v>
      </c>
      <c r="BX107">
        <f t="shared" si="42"/>
        <v>0.58733235915533988</v>
      </c>
      <c r="BY107" s="575">
        <f t="shared" si="43"/>
        <v>23.376724261594489</v>
      </c>
      <c r="BZ107">
        <f t="shared" si="44"/>
        <v>648.08855360402129</v>
      </c>
      <c r="CA107" s="207">
        <f t="shared" si="45"/>
        <v>227.93406261808221</v>
      </c>
      <c r="CB107">
        <f t="shared" si="46"/>
        <v>0.5851654359569648</v>
      </c>
      <c r="CC107">
        <f t="shared" si="47"/>
        <v>288.09763895599389</v>
      </c>
      <c r="CD107">
        <f t="shared" si="48"/>
        <v>552.0560072853566</v>
      </c>
      <c r="CE107" s="207">
        <f t="shared" si="49"/>
        <v>260.91579793645479</v>
      </c>
      <c r="CF107">
        <f t="shared" si="50"/>
        <v>0.55846000664767259</v>
      </c>
      <c r="CG107">
        <f t="shared" si="51"/>
        <v>173.85244578493982</v>
      </c>
      <c r="CH107">
        <f t="shared" si="52"/>
        <v>494.10519202371</v>
      </c>
      <c r="CI107" s="207">
        <f t="shared" ref="CI107" si="257" xml:space="preserve"> ($BQ$38-CH107*($BP107+$BR107+$BQ107+$BN107))/($BP107+$BR107+$BQ107+$BO107)</f>
        <v>280.8186175920037</v>
      </c>
      <c r="CJ107">
        <f t="shared" si="54"/>
        <v>0.54234462223153579</v>
      </c>
      <c r="CK107">
        <f t="shared" si="55"/>
        <v>109.87421561739149</v>
      </c>
      <c r="CL107">
        <f t="shared" si="56"/>
        <v>457.48045348457953</v>
      </c>
      <c r="CM107" s="207">
        <f t="shared" ref="CM107" si="258" xml:space="preserve"> ($BQ$38-CL107*($BP107+$BR107+$BQ107+$BN107))/($BP107+$BR107+$BQ107+$BO107)</f>
        <v>293.39713892573855</v>
      </c>
      <c r="CN107">
        <f t="shared" si="58"/>
        <v>0.53215974842029157</v>
      </c>
      <c r="CO107">
        <f t="shared" si="59"/>
        <v>71.366649398974189</v>
      </c>
      <c r="CP107">
        <f t="shared" si="60"/>
        <v>433.69157035158815</v>
      </c>
      <c r="CQ107" s="207">
        <f t="shared" ref="CQ107" si="259" xml:space="preserve"> ($BQ$38-CP107*($BP107+$BR107+$BQ107+$BN107))/($BP107+$BR107+$BQ107+$BO107)</f>
        <v>301.56727162646359</v>
      </c>
      <c r="CR107">
        <f t="shared" si="62"/>
        <v>0.52554436268692761</v>
      </c>
      <c r="CS107">
        <f t="shared" si="63"/>
        <v>47.15413116625578</v>
      </c>
      <c r="CT107">
        <f t="shared" si="64"/>
        <v>417.97352662950289</v>
      </c>
      <c r="CU107" s="636">
        <f t="shared" si="65"/>
        <v>306.96552854703089</v>
      </c>
      <c r="CV107" s="575">
        <f t="shared" si="66"/>
        <v>0.52117337470846004</v>
      </c>
      <c r="CW107">
        <f t="shared" si="67"/>
        <v>31.501547362846473</v>
      </c>
      <c r="CX107" s="576">
        <f t="shared" si="68"/>
        <v>0.3445849013618702</v>
      </c>
    </row>
    <row r="108" spans="1:102" x14ac:dyDescent="0.25">
      <c r="A108" s="186">
        <v>64</v>
      </c>
      <c r="B108" s="187">
        <f>A108/100*'Inputs-Imperial'!$E$5</f>
        <v>6.2992128000000003</v>
      </c>
      <c r="C108" s="188">
        <f>'Inputs-Imperial'!$E$10+('Inputs-Imperial'!$E$9-'Inputs-Imperial'!$E$10)*(100-A108)/100</f>
        <v>1.50262472</v>
      </c>
      <c r="D108" s="187">
        <f t="shared" si="69"/>
        <v>9.8425200000000324E-2</v>
      </c>
      <c r="E108" s="188">
        <f t="shared" si="70"/>
        <v>0.14838051459069648</v>
      </c>
      <c r="F108" s="423">
        <f>Sizing!F124</f>
        <v>32.447644818167149</v>
      </c>
      <c r="G108" s="423">
        <f>Sizing!G124</f>
        <v>324.47644818167146</v>
      </c>
      <c r="H108" s="423">
        <f>Sizing!H124</f>
        <v>527.65810831112731</v>
      </c>
      <c r="I108" s="423">
        <f>Sizing!I124</f>
        <v>-223.76522921171465</v>
      </c>
      <c r="J108" s="189">
        <f>Sizing!J124</f>
        <v>52.765810831112717</v>
      </c>
      <c r="K108" s="128">
        <v>64</v>
      </c>
      <c r="L108" s="12">
        <f t="shared" si="11"/>
        <v>75.590553600000007</v>
      </c>
      <c r="M108" s="11">
        <f t="shared" si="11"/>
        <v>18.03149664</v>
      </c>
      <c r="N108" s="11">
        <f t="shared" si="11"/>
        <v>1.1811024000000039</v>
      </c>
      <c r="O108" s="152">
        <f t="shared" si="71"/>
        <v>21.366794101060293</v>
      </c>
      <c r="P108" s="170">
        <f t="shared" ref="P108:P144" si="260">M108*$E$17</f>
        <v>3.2456693951999998</v>
      </c>
      <c r="Q108" s="8">
        <f t="shared" ref="Q108:Q144" si="261">M108*$E$19</f>
        <v>1.6228346975999999</v>
      </c>
      <c r="R108" s="170">
        <f>Sizing!X124</f>
        <v>4.5078741600000001</v>
      </c>
      <c r="S108" s="8">
        <f>Sizing!Y124</f>
        <v>13.52362248</v>
      </c>
      <c r="T108" s="8">
        <f>Sizing!Z124</f>
        <v>9.0157483200000001</v>
      </c>
      <c r="U108" s="17">
        <f>Sizing!CN124</f>
        <v>0.25</v>
      </c>
      <c r="V108" s="17">
        <f>Sizing!CO124</f>
        <v>2.3622047244094495E-2</v>
      </c>
      <c r="W108" s="17">
        <f>Sizing!CP124</f>
        <v>1.5748031496062995E-2</v>
      </c>
      <c r="X108" s="170">
        <f>Sizing!DU124</f>
        <v>6.7368736237725546E-2</v>
      </c>
      <c r="Y108" s="170">
        <f>Sizing!DV124</f>
        <v>0.25955488097457452</v>
      </c>
      <c r="Z108" s="170">
        <f>Sizing!DW124</f>
        <v>6.7368736237725546E-2</v>
      </c>
      <c r="AA108" s="272">
        <f>Sizing!DX124</f>
        <v>0.25955488097457452</v>
      </c>
      <c r="AB108" s="272">
        <f t="shared" si="12"/>
        <v>2.4073743567451098</v>
      </c>
      <c r="AC108" s="216">
        <f>Sizing!GJ124</f>
        <v>0.25</v>
      </c>
      <c r="AD108" s="216">
        <f>Sizing!GK124</f>
        <v>1.5748031496062995E-2</v>
      </c>
      <c r="AE108" s="17">
        <f>Sizing!GL124</f>
        <v>1.5748031496062995E-2</v>
      </c>
      <c r="AF108" s="170">
        <f>Sizing!JC124</f>
        <v>1.118139342754408E-3</v>
      </c>
      <c r="AG108" s="272">
        <f>Sizing!JD124</f>
        <v>3.3438590621532004E-2</v>
      </c>
      <c r="AH108" s="170">
        <f>Sizing!JC124</f>
        <v>1.118139342754408E-3</v>
      </c>
      <c r="AI108" s="272">
        <f>Sizing!JD124</f>
        <v>3.3438590621532004E-2</v>
      </c>
      <c r="AJ108" s="216">
        <f>Sizing!IT124</f>
        <v>0.25</v>
      </c>
      <c r="AK108" s="216">
        <f>Sizing!IU124</f>
        <v>1.5748031496062995E-2</v>
      </c>
      <c r="AL108" s="17">
        <f>Sizing!IV124</f>
        <v>1.5748031496062995E-2</v>
      </c>
      <c r="AM108" s="170">
        <f t="shared" si="13"/>
        <v>0</v>
      </c>
      <c r="AN108" s="11">
        <f t="shared" si="14"/>
        <v>9.7608057392831349E-2</v>
      </c>
      <c r="AO108" s="11">
        <f t="shared" si="15"/>
        <v>9.7608057392831349E-2</v>
      </c>
      <c r="AP108" s="11">
        <f t="shared" si="16"/>
        <v>0.1952161147856627</v>
      </c>
      <c r="AQ108" s="555">
        <f t="shared" si="17"/>
        <v>3114513.0341911241</v>
      </c>
      <c r="AR108" s="311">
        <f t="shared" si="18"/>
        <v>4.6550682437645285</v>
      </c>
      <c r="AS108" s="11">
        <f t="shared" si="19"/>
        <v>2.9192353227105753E-3</v>
      </c>
      <c r="AT108" s="11">
        <f t="shared" si="20"/>
        <v>0.17588612344779525</v>
      </c>
      <c r="AU108" s="11">
        <f t="shared" si="21"/>
        <v>0.17880535877050582</v>
      </c>
      <c r="AV108" s="555">
        <f t="shared" si="22"/>
        <v>2852692.8787892284</v>
      </c>
      <c r="AW108" s="138">
        <f t="shared" si="23"/>
        <v>3.9370078740157494E-2</v>
      </c>
      <c r="AX108" s="138">
        <f t="shared" si="24"/>
        <v>3.1496062992125991E-2</v>
      </c>
      <c r="AY108" s="554">
        <f t="shared" si="25"/>
        <v>3.1496062992125991E-2</v>
      </c>
      <c r="AZ108" s="12">
        <f t="shared" si="26"/>
        <v>137.89457852474925</v>
      </c>
      <c r="BA108" s="11">
        <f t="shared" si="27"/>
        <v>57.751769987869899</v>
      </c>
      <c r="BB108">
        <f t="shared" si="28"/>
        <v>51.850787779480825</v>
      </c>
      <c r="BC108" s="555">
        <f t="shared" si="29"/>
        <v>195528698.50696886</v>
      </c>
      <c r="BD108">
        <f t="shared" si="30"/>
        <v>64</v>
      </c>
      <c r="BE108" s="207">
        <f t="shared" si="31"/>
        <v>1.50262472</v>
      </c>
      <c r="BF108" s="207">
        <f>'Inputs-Imperial'!$E$15*BE108</f>
        <v>1.12696854</v>
      </c>
      <c r="BG108" s="207">
        <f>'Inputs-Imperial'!$E$12*BE108</f>
        <v>0.37565618000000001</v>
      </c>
      <c r="BH108">
        <f>'Inputs-Imperial'!$E$11*BE108</f>
        <v>0.2704724496</v>
      </c>
      <c r="BI108">
        <f t="shared" si="32"/>
        <v>0.28687935485444505</v>
      </c>
      <c r="BJ108">
        <f>'Weight '!U110+'Weight '!V110 /12</f>
        <v>2.4934383202099744E-2</v>
      </c>
      <c r="BK108">
        <f>('Weight '!AK110+'Weight '!AL110)/12</f>
        <v>2.6246719160104991E-3</v>
      </c>
      <c r="BL108">
        <f>'Weight '!AG110/12</f>
        <v>2.1629573414547878E-2</v>
      </c>
      <c r="BM108">
        <f>'Weight '!AI110/12</f>
        <v>2.1629573414547878E-2</v>
      </c>
      <c r="BN108" s="554">
        <f t="shared" si="33"/>
        <v>0.48453423509512838</v>
      </c>
      <c r="BO108" s="554">
        <f t="shared" si="34"/>
        <v>1.9371270765066901</v>
      </c>
      <c r="BP108">
        <f t="shared" si="35"/>
        <v>2.1629573414547878E-2</v>
      </c>
      <c r="BQ108">
        <f t="shared" si="35"/>
        <v>2.1629573414547878E-2</v>
      </c>
      <c r="BR108">
        <f t="shared" si="36"/>
        <v>0.22721330277090424</v>
      </c>
      <c r="BS108">
        <f t="shared" si="37"/>
        <v>7.6203485408983904E-2</v>
      </c>
      <c r="BT108">
        <f t="shared" si="38"/>
        <v>0.17771888845484696</v>
      </c>
      <c r="BU108">
        <f t="shared" si="39"/>
        <v>2.0156010324736452E-2</v>
      </c>
      <c r="BV108">
        <f t="shared" si="40"/>
        <v>662.24579217056851</v>
      </c>
      <c r="BW108" s="207">
        <f t="shared" si="41"/>
        <v>226.49035483432863</v>
      </c>
      <c r="BX108">
        <f t="shared" si="42"/>
        <v>0.58391191690786037</v>
      </c>
      <c r="BY108" s="575">
        <f t="shared" si="43"/>
        <v>24.046980498732381</v>
      </c>
      <c r="BZ108">
        <f t="shared" si="44"/>
        <v>654.23013200432433</v>
      </c>
      <c r="CA108" s="207">
        <f t="shared" si="45"/>
        <v>229.23173837613064</v>
      </c>
      <c r="CB108">
        <f t="shared" si="46"/>
        <v>0.58171588315106182</v>
      </c>
      <c r="CC108">
        <f t="shared" si="47"/>
        <v>289.94412978444785</v>
      </c>
      <c r="CD108">
        <f t="shared" si="48"/>
        <v>557.58208874284173</v>
      </c>
      <c r="CE108" s="207">
        <f t="shared" si="49"/>
        <v>262.2857039447012</v>
      </c>
      <c r="CF108">
        <f t="shared" si="50"/>
        <v>0.55523741960235307</v>
      </c>
      <c r="CG108">
        <f t="shared" si="51"/>
        <v>175.68659432792649</v>
      </c>
      <c r="CH108">
        <f t="shared" si="52"/>
        <v>499.0198906335329</v>
      </c>
      <c r="CI108" s="207">
        <f t="shared" ref="CI108" si="262" xml:space="preserve"> ($BQ$38-CH108*($BP108+$BR108+$BQ108+$BN108))/($BP108+$BR108+$BQ108+$BO108)</f>
        <v>282.31417854803914</v>
      </c>
      <c r="CJ108">
        <f t="shared" si="54"/>
        <v>0.53919325589616895</v>
      </c>
      <c r="CK108">
        <f t="shared" si="55"/>
        <v>111.43466824075129</v>
      </c>
      <c r="CL108">
        <f t="shared" si="56"/>
        <v>461.87500121994913</v>
      </c>
      <c r="CM108" s="207">
        <f t="shared" ref="CM108" si="263" xml:space="preserve"> ($BQ$38-CL108*($BP108+$BR108+$BQ108+$BN108))/($BP108+$BR108+$BQ108+$BO108)</f>
        <v>295.01785939135601</v>
      </c>
      <c r="CN108">
        <f t="shared" si="58"/>
        <v>0.52901674774175744</v>
      </c>
      <c r="CO108">
        <f t="shared" si="59"/>
        <v>72.628820404930366</v>
      </c>
      <c r="CP108">
        <f t="shared" si="60"/>
        <v>437.66539441830565</v>
      </c>
      <c r="CQ108" s="207">
        <f t="shared" ref="CQ108" si="264" xml:space="preserve"> ($BQ$38-CP108*($BP108+$BR108+$BQ108+$BN108))/($BP108+$BR108+$BQ108+$BO108)</f>
        <v>303.29762877566878</v>
      </c>
      <c r="CR108">
        <f t="shared" si="62"/>
        <v>0.52238409208113978</v>
      </c>
      <c r="CS108">
        <f t="shared" si="63"/>
        <v>48.150551435039354</v>
      </c>
      <c r="CT108">
        <f t="shared" si="64"/>
        <v>421.61521060662585</v>
      </c>
      <c r="CU108" s="636">
        <f t="shared" si="65"/>
        <v>308.78684723449635</v>
      </c>
      <c r="CV108" s="575">
        <f t="shared" si="66"/>
        <v>0.51798685657935273</v>
      </c>
      <c r="CW108">
        <f t="shared" si="67"/>
        <v>32.276316883904286</v>
      </c>
      <c r="CX108" s="576">
        <f t="shared" si="68"/>
        <v>0.3447213729981447</v>
      </c>
    </row>
    <row r="109" spans="1:102" x14ac:dyDescent="0.25">
      <c r="A109" s="186">
        <v>65</v>
      </c>
      <c r="B109" s="187">
        <f>A109/100*'Inputs-Imperial'!$E$5</f>
        <v>6.3976380000000006</v>
      </c>
      <c r="C109" s="188">
        <f>'Inputs-Imperial'!$E$10+('Inputs-Imperial'!$E$9-'Inputs-Imperial'!$E$10)*(100-A109)/100</f>
        <v>1.4927821999999999</v>
      </c>
      <c r="D109" s="187">
        <f t="shared" si="69"/>
        <v>9.8425200000000324E-2</v>
      </c>
      <c r="E109" s="188">
        <f t="shared" si="70"/>
        <v>0.14741176259119249</v>
      </c>
      <c r="F109" s="423">
        <f>Sizing!F125</f>
        <v>31.304500789432982</v>
      </c>
      <c r="G109" s="423">
        <f>Sizing!G125</f>
        <v>313.04500789432984</v>
      </c>
      <c r="H109" s="423">
        <f>Sizing!H125</f>
        <v>495.72144900355653</v>
      </c>
      <c r="I109" s="423">
        <f>Sizing!I125</f>
        <v>-214.08274594177726</v>
      </c>
      <c r="J109" s="189">
        <f>Sizing!J125</f>
        <v>49.572144900355639</v>
      </c>
      <c r="K109" s="128">
        <v>65</v>
      </c>
      <c r="L109" s="12">
        <f t="shared" ref="L109:N144" si="265">B109*12</f>
        <v>76.771656000000007</v>
      </c>
      <c r="M109" s="11">
        <f t="shared" si="265"/>
        <v>17.9133864</v>
      </c>
      <c r="N109" s="11">
        <f t="shared" si="265"/>
        <v>1.1811024000000039</v>
      </c>
      <c r="O109" s="152">
        <f t="shared" si="71"/>
        <v>21.227293813131716</v>
      </c>
      <c r="P109" s="170">
        <f t="shared" si="260"/>
        <v>3.224409552</v>
      </c>
      <c r="Q109" s="8">
        <f t="shared" si="261"/>
        <v>1.612204776</v>
      </c>
      <c r="R109" s="170">
        <f>Sizing!X125</f>
        <v>4.4783466000000001</v>
      </c>
      <c r="S109" s="8">
        <f>Sizing!Y125</f>
        <v>13.4350398</v>
      </c>
      <c r="T109" s="8">
        <f>Sizing!Z125</f>
        <v>8.9566932000000001</v>
      </c>
      <c r="U109" s="17">
        <f>Sizing!CN125</f>
        <v>0.25</v>
      </c>
      <c r="V109" s="17">
        <f>Sizing!CO125</f>
        <v>2.3622047244094495E-2</v>
      </c>
      <c r="W109" s="17">
        <f>Sizing!CP125</f>
        <v>1.5748031496062995E-2</v>
      </c>
      <c r="X109" s="170">
        <f>Sizing!DU125</f>
        <v>6.7368736237725546E-2</v>
      </c>
      <c r="Y109" s="170">
        <f>Sizing!DV125</f>
        <v>0.25955488097457452</v>
      </c>
      <c r="Z109" s="170">
        <f>Sizing!DW125</f>
        <v>6.7368736237725546E-2</v>
      </c>
      <c r="AA109" s="272">
        <f>Sizing!DX125</f>
        <v>0.25955488097457452</v>
      </c>
      <c r="AB109" s="272">
        <f t="shared" ref="AB109:AB144" si="266">P109-2*(U109+V109+W109)-Y109/2-AA109/2</f>
        <v>2.3861145135451105</v>
      </c>
      <c r="AC109" s="216">
        <f>Sizing!GJ125</f>
        <v>0.25</v>
      </c>
      <c r="AD109" s="216">
        <f>Sizing!GK125</f>
        <v>1.5748031496062995E-2</v>
      </c>
      <c r="AE109" s="17">
        <f>Sizing!GL125</f>
        <v>1.5748031496062995E-2</v>
      </c>
      <c r="AF109" s="170">
        <f>Sizing!JC125</f>
        <v>1.118139342754408E-3</v>
      </c>
      <c r="AG109" s="272">
        <f>Sizing!JD125</f>
        <v>3.3438590621532004E-2</v>
      </c>
      <c r="AH109" s="170">
        <f>Sizing!JC125</f>
        <v>1.118139342754408E-3</v>
      </c>
      <c r="AI109" s="272">
        <f>Sizing!JD125</f>
        <v>3.3438590621532004E-2</v>
      </c>
      <c r="AJ109" s="216">
        <f>Sizing!IT125</f>
        <v>0.25</v>
      </c>
      <c r="AK109" s="216">
        <f>Sizing!IU125</f>
        <v>1.5748031496062995E-2</v>
      </c>
      <c r="AL109" s="17">
        <f>Sizing!IV125</f>
        <v>1.5748031496062995E-2</v>
      </c>
      <c r="AM109" s="170">
        <f t="shared" ref="AM109:AM144" si="267">(X109*AB109/2-Z109*AB109/2)/(X109+Z109)</f>
        <v>0</v>
      </c>
      <c r="AN109" s="11">
        <f t="shared" ref="AN109:AN144" si="268">X109*((AB109/2-AM109)^2)</f>
        <v>9.5891690259413867E-2</v>
      </c>
      <c r="AO109" s="11">
        <f t="shared" ref="AO109:AO144" si="269">Z109*((AB109/2+AM109)^2)</f>
        <v>9.5891690259413867E-2</v>
      </c>
      <c r="AP109" s="11">
        <f t="shared" ref="AP109:AP144" si="270">AN109+AO109</f>
        <v>0.19178338051882773</v>
      </c>
      <c r="AQ109" s="555">
        <f t="shared" ref="AQ109:AQ144" si="271">AP109*$E$23</f>
        <v>3059746.573805871</v>
      </c>
      <c r="AR109" s="311">
        <f t="shared" ref="AR109:AR144" si="272">((X109+Z109)*R109+(AF109+AH109)*S109)/(X109+Z109+AF109+AH109)</f>
        <v>4.624576530377424</v>
      </c>
      <c r="AS109" s="11">
        <f t="shared" ref="AS109:AS144" si="273">(X109+Z109)*(AR109-R109)^2</f>
        <v>2.8811173160511413E-3</v>
      </c>
      <c r="AT109" s="11">
        <f t="shared" ref="AT109:AT144" si="274">(AF109+AH109)*(S109-AR109)^2</f>
        <v>0.17358948488196177</v>
      </c>
      <c r="AU109" s="11">
        <f t="shared" ref="AU109:AU144" si="275">AS109+AT109</f>
        <v>0.17647060219801292</v>
      </c>
      <c r="AV109" s="555">
        <f t="shared" ref="AV109:AV144" si="276">AU109*$E$23</f>
        <v>2815443.7521754936</v>
      </c>
      <c r="AW109" s="138">
        <f t="shared" ref="AW109:AW144" si="277">V109+W109</f>
        <v>3.9370078740157494E-2</v>
      </c>
      <c r="AX109" s="138">
        <f t="shared" ref="AX109:AX144" si="278">AD109+AE109</f>
        <v>3.1496062992125991E-2</v>
      </c>
      <c r="AY109" s="554">
        <f t="shared" ref="AY109:AY144" si="279">AK109+AL109</f>
        <v>3.1496062992125991E-2</v>
      </c>
      <c r="AZ109" s="12">
        <f t="shared" ref="AZ109:AZ144" si="280">PI()*S109*P109</f>
        <v>136.09401574667825</v>
      </c>
      <c r="BA109" s="11">
        <f t="shared" ref="BA109:BA144" si="281">PI()*(3*(S109+P109)-SQRT((3*S109+P109)*(S109+3*P109)))</f>
        <v>57.373483284892565</v>
      </c>
      <c r="BB109">
        <f t="shared" ref="BB109:BB144" si="282">4*(AZ109^2)*AW109/BA109</f>
        <v>50.838545294293674</v>
      </c>
      <c r="BC109" s="555">
        <f t="shared" ref="BC109:BC144" si="283">BB109*$E$25</f>
        <v>191711544.24223793</v>
      </c>
      <c r="BD109">
        <f t="shared" ref="BD109:BD144" si="284">K109</f>
        <v>65</v>
      </c>
      <c r="BE109" s="207">
        <f t="shared" ref="BE109:BE144" si="285">C109</f>
        <v>1.4927821999999999</v>
      </c>
      <c r="BF109" s="207">
        <f>'Inputs-Imperial'!$E$15*BE109</f>
        <v>1.11958665</v>
      </c>
      <c r="BG109" s="207">
        <f>'Inputs-Imperial'!$E$12*BE109</f>
        <v>0.37319554999999999</v>
      </c>
      <c r="BH109">
        <f>'Inputs-Imperial'!$E$11*BE109</f>
        <v>0.26870079599999996</v>
      </c>
      <c r="BI109">
        <f t="shared" ref="BI109:BI144" si="286">BH109 /SQRT(1 - ((BG109-BF109/2)/(BF109/2))^2)</f>
        <v>0.2850002324427347</v>
      </c>
      <c r="BJ109">
        <f>'Weight '!U111+'Weight '!V111 /12</f>
        <v>2.4934383202099744E-2</v>
      </c>
      <c r="BK109">
        <f>('Weight '!AK111+'Weight '!AL111)/12</f>
        <v>2.6246719160104991E-3</v>
      </c>
      <c r="BL109">
        <f>'Weight '!AG111/12</f>
        <v>2.1629573414547878E-2</v>
      </c>
      <c r="BM109">
        <f>'Weight '!AI111/12</f>
        <v>2.1629573414547878E-2</v>
      </c>
      <c r="BN109" s="554">
        <f t="shared" ref="BN109:BN144" si="287">(SQRT(BH109^2/4+BG109^2/4)/SQRT(1+BF109^2/4+BI109^2/4))*PI()*(BF109/2+BI109/2)*(1+3*((BF109/2-BI109/2)^2)/((BF109/2+BI109/2)^2)/(10+SQRT(4-3*((BF109/2-BI109/2)^2)/((BF109/2+BI109/2)^2))))</f>
        <v>0.4789982204345144</v>
      </c>
      <c r="BO109" s="554">
        <f t="shared" ref="BO109:BO144" si="288">PI()*(BF109/2+BI109/2)*(1+3*((BF109/2-BI109/2)^2)/((BF109/2+BI109/2)^2)/(10+SQRT(4-3*((BF109/2-BI109/2)^2)/((BF109/2+BI109/2)^2))))-BN109</f>
        <v>1.9268006808293006</v>
      </c>
      <c r="BP109">
        <f t="shared" ref="BP109:BQ144" si="289">BL109</f>
        <v>2.1629573414547878E-2</v>
      </c>
      <c r="BQ109">
        <f t="shared" si="289"/>
        <v>2.1629573414547878E-2</v>
      </c>
      <c r="BR109">
        <f t="shared" ref="BR109:BR144" si="290">BH109-BP109-BQ109</f>
        <v>0.2254416491709042</v>
      </c>
      <c r="BS109">
        <f t="shared" ref="BS109:BS144" si="291">3/4*BH109*BG109</f>
        <v>7.5208456011493341E-2</v>
      </c>
      <c r="BT109">
        <f t="shared" ref="BT109:BT144" si="292">PI()/4*BF109*BI109-BS109</f>
        <v>0.17539831850253002</v>
      </c>
      <c r="BU109">
        <f t="shared" ref="BU109:BU144" si="293">PI()/4*(BF109/2)^3*(BI109/2)</f>
        <v>1.963307143460433E-2</v>
      </c>
      <c r="BV109">
        <f t="shared" ref="BV109:BV144" si="294">$BQ$38/(BP109+BR109+BQ109+BN109)/2</f>
        <v>668.71827969535855</v>
      </c>
      <c r="BW109" s="207">
        <f t="shared" ref="BW109:BW144" si="295" xml:space="preserve"> ($BQ$38-BV109*($BP109+$BR109+$BQ109+$BN109))/($BP109+$BR109+$BQ109+$BO109)</f>
        <v>227.73840294659698</v>
      </c>
      <c r="BX109">
        <f t="shared" ref="BX109:BX144" si="296">2*(BV109*$BS109-BW109*$BT109 )/$BQ$38 + $BF109/2</f>
        <v>0.58048999777453025</v>
      </c>
      <c r="BY109" s="575">
        <f t="shared" ref="BY109:BY144" si="297">BV109*(BX109-$BG109/3)+BW109*(-$BF109+BX109+$BG109/3)+(BV109+BW109)*($BG109-BX109)</f>
        <v>24.723526551013975</v>
      </c>
      <c r="BZ109">
        <f t="shared" ref="BZ109:BZ144" si="298">BV109-BY109/3</f>
        <v>660.4771041783539</v>
      </c>
      <c r="CA109" s="207">
        <f t="shared" ref="CA109:CA144" si="299" xml:space="preserve"> ($BQ$38-BZ109*($BP109+$BR109+$BQ109+$BN109))/($BP109+$BR109+$BQ109+$BO109)</f>
        <v>230.54501405269721</v>
      </c>
      <c r="CB109">
        <f t="shared" ref="CB109:CB144" si="300">2*(BZ109*$BS109-CA109*$BT109 )/$BQ$38 + $BF109/2</f>
        <v>0.57826583586442193</v>
      </c>
      <c r="CC109">
        <f t="shared" ref="CC109:CC144" si="301">BZ109*(CB109-$BG109/3)+CA109*(-$BF109+CB109+$BG109/3)+(BZ109-CA109)*(CB109-$BG109)</f>
        <v>291.81591236042982</v>
      </c>
      <c r="CD109">
        <f t="shared" ref="CD109:CD144" si="302">BZ109-CC109/3</f>
        <v>563.205133391544</v>
      </c>
      <c r="CE109" s="207">
        <f t="shared" ref="CE109:CE144" si="303" xml:space="preserve"> ($BQ$38-CD109*($BP109+$BR109+$BQ109+$BN109))/($BP109+$BR109+$BQ109+$BO109)</f>
        <v>263.67191360230714</v>
      </c>
      <c r="CF109">
        <f t="shared" ref="CF109:CF144" si="304">2*(CD109*$BS109-CE109*$BT109 )/$BQ$38 + $BF109/2</f>
        <v>0.55201368143587226</v>
      </c>
      <c r="CG109">
        <f t="shared" ref="CG109:CG144" si="305">CD109*(CF109-$BG109/3)+CE109*(-$BF109+CF109+$BG109/3)+(CD109-CE109)*(CF109-$BG109)</f>
        <v>177.54437078831208</v>
      </c>
      <c r="CH109">
        <f t="shared" ref="CH109:CH144" si="306">CD109-CG109/3</f>
        <v>504.02367646210666</v>
      </c>
      <c r="CI109" s="207">
        <f t="shared" ref="CI109" si="307" xml:space="preserve"> ($BQ$38-CH109*($BP109+$BR109+$BQ109+$BN109))/($BP109+$BR109+$BQ109+$BO109)</f>
        <v>283.8267245210439</v>
      </c>
      <c r="CJ109">
        <f t="shared" ref="CJ109:CJ144" si="308">2*(CH109*$BS109-CI109*$BT109 )/$BQ$38 + $BF109/2</f>
        <v>0.53604154954575922</v>
      </c>
      <c r="CK109">
        <f t="shared" ref="CK109:CK144" si="309">CH109*(CJ109-$BG109/3)+CI109*(-$BF109+CJ109+$BG109/3)+(CH109-CI109)*(CJ109-$BG109)</f>
        <v>113.01795660604975</v>
      </c>
      <c r="CL109">
        <f t="shared" ref="CL109:CL144" si="310">CH109-CK109/3</f>
        <v>466.35102426009007</v>
      </c>
      <c r="CM109" s="207">
        <f t="shared" ref="CM109" si="311" xml:space="preserve"> ($BQ$38-CL109*($BP109+$BR109+$BQ109+$BN109))/($BP109+$BR109+$BQ109+$BO109)</f>
        <v>296.65650637052221</v>
      </c>
      <c r="CN109">
        <f t="shared" ref="CN109:CN144" si="312">2*(CL109*$BS109-CM109*$BT109 )/$BQ$38 + $BF109/2</f>
        <v>0.52587430120751033</v>
      </c>
      <c r="CO109">
        <f t="shared" ref="CO109:CO144" si="313">CL109*(CN109-$BG109/3)+CM109*(-$BF109+CN109+$BG109/3)+(CL109-CM109)*(CN109-$BG109)</f>
        <v>73.912388584577016</v>
      </c>
      <c r="CP109">
        <f t="shared" ref="CP109:CP144" si="314">CL109-CO109/3</f>
        <v>441.71356139856442</v>
      </c>
      <c r="CQ109" s="207">
        <f t="shared" ref="CQ109" si="315" xml:space="preserve"> ($BQ$38-CP109*($BP109+$BR109+$BQ109+$BN109))/($BP109+$BR109+$BQ109+$BO109)</f>
        <v>305.04702987661813</v>
      </c>
      <c r="CR109">
        <f t="shared" ref="CR109:CR144" si="316">2*(CP109*$BS109-CQ109*$BT109 )/$BQ$38 + $BF109/2</f>
        <v>0.51922504269514824</v>
      </c>
      <c r="CS109">
        <f t="shared" ref="CS109:CS144" si="317">CP109*(CR109-$BG109/3)+CQ109*(-$BF109+CR109+$BG109/3)+(CP109-CQ109)*(CR109-$BG109)</f>
        <v>49.166448083144957</v>
      </c>
      <c r="CT109">
        <f t="shared" ref="CT109:CT144" si="318">CP109-CS109/3</f>
        <v>425.32474537084943</v>
      </c>
      <c r="CU109" s="636">
        <f t="shared" ref="CU109:CU144" si="319" xml:space="preserve"> ($BQ$38-CT109*($BP109+$BR109+$BQ109+$BN109))/($BP109+$BR109+$BQ109+$BO109)</f>
        <v>310.6283978482515</v>
      </c>
      <c r="CV109" s="575">
        <f t="shared" ref="CV109:CV144" si="320">2*(CT109*$BS109-CU109*$BT109 )/$BQ$38 + $BF109/2</f>
        <v>0.51480196248220988</v>
      </c>
      <c r="CW109">
        <f t="shared" ref="CW109:CW144" si="321">CT109*(CV109-$BG109/3)+CU109*(-$BF109+CV109+$BG109/3)+(CT109-CU109)*(CV109-$BG109)</f>
        <v>33.068397880945156</v>
      </c>
      <c r="CX109" s="576">
        <f t="shared" ref="CX109:CX144" si="322">CV109/BE109</f>
        <v>0.34486073218330837</v>
      </c>
    </row>
    <row r="110" spans="1:102" x14ac:dyDescent="0.25">
      <c r="A110" s="186">
        <v>66</v>
      </c>
      <c r="B110" s="187">
        <f>A110/100*'Inputs-Imperial'!$E$5</f>
        <v>6.4960632000000009</v>
      </c>
      <c r="C110" s="188">
        <f>'Inputs-Imperial'!$E$10+('Inputs-Imperial'!$E$9-'Inputs-Imperial'!$E$10)*(100-A110)/100</f>
        <v>1.4829396799999999</v>
      </c>
      <c r="D110" s="187">
        <f t="shared" ref="D110:D144" si="323">B110-B109</f>
        <v>9.8425200000000324E-2</v>
      </c>
      <c r="E110" s="188">
        <f t="shared" ref="E110:E144" si="324">D110*AVERAGE(C109:C110)</f>
        <v>0.14644301059168849</v>
      </c>
      <c r="F110" s="423">
        <f>Sizing!F126</f>
        <v>30.171595692361546</v>
      </c>
      <c r="G110" s="423">
        <f>Sizing!G126</f>
        <v>301.71595692361547</v>
      </c>
      <c r="H110" s="423">
        <f>Sizing!H126</f>
        <v>464.90993149255542</v>
      </c>
      <c r="I110" s="423">
        <f>Sizing!I126</f>
        <v>-204.57405917723395</v>
      </c>
      <c r="J110" s="189">
        <f>Sizing!J126</f>
        <v>46.49099314925553</v>
      </c>
      <c r="K110" s="128">
        <v>66</v>
      </c>
      <c r="L110" s="12">
        <f t="shared" si="265"/>
        <v>77.952758400000008</v>
      </c>
      <c r="M110" s="11">
        <f t="shared" si="265"/>
        <v>17.79527616</v>
      </c>
      <c r="N110" s="11">
        <f t="shared" si="265"/>
        <v>1.1811024000000039</v>
      </c>
      <c r="O110" s="152">
        <f t="shared" ref="O110:O144" si="325">E110*12*12</f>
        <v>21.087793525203139</v>
      </c>
      <c r="P110" s="170">
        <f t="shared" si="260"/>
        <v>3.2031497087999998</v>
      </c>
      <c r="Q110" s="8">
        <f t="shared" si="261"/>
        <v>1.6015748543999999</v>
      </c>
      <c r="R110" s="170">
        <f>Sizing!X126</f>
        <v>4.4488190400000001</v>
      </c>
      <c r="S110" s="8">
        <f>Sizing!Y126</f>
        <v>13.34645712</v>
      </c>
      <c r="T110" s="8">
        <f>Sizing!Z126</f>
        <v>8.8976380800000001</v>
      </c>
      <c r="U110" s="17">
        <f>Sizing!CN126</f>
        <v>0.25</v>
      </c>
      <c r="V110" s="17">
        <f>Sizing!CO126</f>
        <v>2.3622047244094495E-2</v>
      </c>
      <c r="W110" s="17">
        <f>Sizing!CP126</f>
        <v>1.5748031496062995E-2</v>
      </c>
      <c r="X110" s="170">
        <f>Sizing!DU126</f>
        <v>6.7368736237725546E-2</v>
      </c>
      <c r="Y110" s="170">
        <f>Sizing!DV126</f>
        <v>0.25955488097457452</v>
      </c>
      <c r="Z110" s="170">
        <f>Sizing!DW126</f>
        <v>6.7368736237725546E-2</v>
      </c>
      <c r="AA110" s="272">
        <f>Sizing!DX126</f>
        <v>0.25955488097457452</v>
      </c>
      <c r="AB110" s="272">
        <f t="shared" si="266"/>
        <v>2.3648546703451103</v>
      </c>
      <c r="AC110" s="216">
        <f>Sizing!GJ126</f>
        <v>0.25</v>
      </c>
      <c r="AD110" s="216">
        <f>Sizing!GK126</f>
        <v>1.5748031496062995E-2</v>
      </c>
      <c r="AE110" s="17">
        <f>Sizing!GL126</f>
        <v>1.5748031496062995E-2</v>
      </c>
      <c r="AF110" s="170">
        <f>Sizing!JC126</f>
        <v>1.118139342754408E-3</v>
      </c>
      <c r="AG110" s="272">
        <f>Sizing!JD126</f>
        <v>3.3438590621532004E-2</v>
      </c>
      <c r="AH110" s="170">
        <f>Sizing!JC126</f>
        <v>1.118139342754408E-3</v>
      </c>
      <c r="AI110" s="272">
        <f>Sizing!JD126</f>
        <v>3.3438590621532004E-2</v>
      </c>
      <c r="AJ110" s="216">
        <f>Sizing!IT126</f>
        <v>0.25</v>
      </c>
      <c r="AK110" s="216">
        <f>Sizing!IU126</f>
        <v>1.5748031496062995E-2</v>
      </c>
      <c r="AL110" s="17">
        <f>Sizing!IV126</f>
        <v>1.5748031496062995E-2</v>
      </c>
      <c r="AM110" s="170">
        <f t="shared" si="267"/>
        <v>0</v>
      </c>
      <c r="AN110" s="11">
        <f t="shared" si="268"/>
        <v>9.419054781812243E-2</v>
      </c>
      <c r="AO110" s="11">
        <f t="shared" si="269"/>
        <v>9.419054781812243E-2</v>
      </c>
      <c r="AP110" s="11">
        <f t="shared" si="270"/>
        <v>0.18838109563624486</v>
      </c>
      <c r="AQ110" s="555">
        <f t="shared" si="271"/>
        <v>3005465.9083778649</v>
      </c>
      <c r="AR110" s="311">
        <f t="shared" si="272"/>
        <v>4.5940848169903203</v>
      </c>
      <c r="AS110" s="11">
        <f t="shared" si="273"/>
        <v>2.8432498110784413E-3</v>
      </c>
      <c r="AT110" s="11">
        <f t="shared" si="274"/>
        <v>0.17130793923112811</v>
      </c>
      <c r="AU110" s="11">
        <f t="shared" si="275"/>
        <v>0.17415118904220656</v>
      </c>
      <c r="AV110" s="555">
        <f t="shared" si="276"/>
        <v>2778439.4171933909</v>
      </c>
      <c r="AW110" s="138">
        <f t="shared" si="277"/>
        <v>3.9370078740157494E-2</v>
      </c>
      <c r="AX110" s="138">
        <f t="shared" si="278"/>
        <v>3.1496062992125991E-2</v>
      </c>
      <c r="AY110" s="554">
        <f t="shared" si="279"/>
        <v>3.1496062992125991E-2</v>
      </c>
      <c r="AZ110" s="12">
        <f t="shared" si="280"/>
        <v>134.30528580175994</v>
      </c>
      <c r="BA110" s="11">
        <f t="shared" si="281"/>
        <v>56.995196581915259</v>
      </c>
      <c r="BB110">
        <f t="shared" si="282"/>
        <v>49.839563436788602</v>
      </c>
      <c r="BC110" s="555">
        <f t="shared" si="283"/>
        <v>187944395.64536861</v>
      </c>
      <c r="BD110">
        <f t="shared" si="284"/>
        <v>66</v>
      </c>
      <c r="BE110" s="207">
        <f t="shared" si="285"/>
        <v>1.4829396799999999</v>
      </c>
      <c r="BF110" s="207">
        <f>'Inputs-Imperial'!$E$15*BE110</f>
        <v>1.11220476</v>
      </c>
      <c r="BG110" s="207">
        <f>'Inputs-Imperial'!$E$12*BE110</f>
        <v>0.37073491999999997</v>
      </c>
      <c r="BH110">
        <f>'Inputs-Imperial'!$E$11*BE110</f>
        <v>0.26692914239999999</v>
      </c>
      <c r="BI110">
        <f t="shared" si="286"/>
        <v>0.28312111003102436</v>
      </c>
      <c r="BJ110">
        <f>'Weight '!U112+'Weight '!V112 /12</f>
        <v>2.4934383202099744E-2</v>
      </c>
      <c r="BK110">
        <f>('Weight '!AK112+'Weight '!AL112)/12</f>
        <v>2.6246719160104991E-3</v>
      </c>
      <c r="BL110">
        <f>'Weight '!AG112/12</f>
        <v>2.1629573414547878E-2</v>
      </c>
      <c r="BM110">
        <f>'Weight '!AI112/12</f>
        <v>2.1629573414547878E-2</v>
      </c>
      <c r="BN110" s="554">
        <f t="shared" si="287"/>
        <v>0.47348171391407867</v>
      </c>
      <c r="BO110" s="554">
        <f t="shared" si="288"/>
        <v>1.9164547770117335</v>
      </c>
      <c r="BP110">
        <f t="shared" si="289"/>
        <v>2.1629573414547878E-2</v>
      </c>
      <c r="BQ110">
        <f t="shared" si="289"/>
        <v>2.1629573414547878E-2</v>
      </c>
      <c r="BR110">
        <f t="shared" si="290"/>
        <v>0.22366999557090422</v>
      </c>
      <c r="BS110">
        <f t="shared" si="291"/>
        <v>7.4219965689999445E-2</v>
      </c>
      <c r="BT110">
        <f t="shared" si="292"/>
        <v>0.17309299873609899</v>
      </c>
      <c r="BU110">
        <f t="shared" si="293"/>
        <v>1.9120374723330294E-2</v>
      </c>
      <c r="BV110">
        <f t="shared" si="294"/>
        <v>675.30074111704062</v>
      </c>
      <c r="BW110" s="207">
        <f t="shared" si="295"/>
        <v>229.00232778792031</v>
      </c>
      <c r="BX110">
        <f t="shared" si="296"/>
        <v>0.57706657640355952</v>
      </c>
      <c r="BY110" s="575">
        <f t="shared" si="297"/>
        <v>25.40644470219712</v>
      </c>
      <c r="BZ110">
        <f t="shared" si="298"/>
        <v>666.83192621630826</v>
      </c>
      <c r="CA110" s="207">
        <f t="shared" si="299"/>
        <v>231.87420132187313</v>
      </c>
      <c r="CB110">
        <f t="shared" si="300"/>
        <v>0.57481526369685942</v>
      </c>
      <c r="CC110">
        <f t="shared" si="301"/>
        <v>293.7133921314778</v>
      </c>
      <c r="CD110">
        <f t="shared" si="302"/>
        <v>568.92746217248236</v>
      </c>
      <c r="CE110" s="207">
        <f t="shared" si="303"/>
        <v>265.07474265369297</v>
      </c>
      <c r="CF110">
        <f t="shared" si="304"/>
        <v>0.54878876925482534</v>
      </c>
      <c r="CG110">
        <f t="shared" si="305"/>
        <v>179.42619476982884</v>
      </c>
      <c r="CH110">
        <f t="shared" si="306"/>
        <v>509.1187305825394</v>
      </c>
      <c r="CI110" s="207">
        <f t="shared" ref="CI110" si="326" xml:space="preserve"> ($BQ$38-CH110*($BP110+$BR110+$BQ110+$BN110))/($BP110+$BR110+$BQ110+$BO110)</f>
        <v>285.35657846729538</v>
      </c>
      <c r="CJ110">
        <f t="shared" si="308"/>
        <v>0.53288947767999018</v>
      </c>
      <c r="CK110">
        <f t="shared" si="309"/>
        <v>114.62449254785494</v>
      </c>
      <c r="CL110">
        <f t="shared" si="310"/>
        <v>470.91056639992109</v>
      </c>
      <c r="CM110" s="207">
        <f t="shared" ref="CM110" si="327" xml:space="preserve"> ($BQ$38-CL110*($BP110+$BR110+$BQ110+$BN110))/($BP110+$BR110+$BQ110+$BO110)</f>
        <v>298.31341089109719</v>
      </c>
      <c r="CN110">
        <f t="shared" si="312"/>
        <v>0.52273238645385256</v>
      </c>
      <c r="CO110">
        <f t="shared" si="313"/>
        <v>75.217755943162985</v>
      </c>
      <c r="CP110">
        <f t="shared" si="314"/>
        <v>445.83798108553344</v>
      </c>
      <c r="CQ110" s="207">
        <f t="shared" ref="CQ110" si="328" xml:space="preserve"> ($BQ$38-CP110*($BP110+$BR110+$BQ110+$BN110))/($BP110+$BR110+$BQ110+$BO110)</f>
        <v>306.81581589536012</v>
      </c>
      <c r="CR110">
        <f t="shared" si="316"/>
        <v>0.51606720005295237</v>
      </c>
      <c r="CS110">
        <f t="shared" si="317"/>
        <v>50.202211216700661</v>
      </c>
      <c r="CT110">
        <f t="shared" si="318"/>
        <v>429.10391067996653</v>
      </c>
      <c r="CU110" s="636">
        <f t="shared" si="319"/>
        <v>312.49053360691317</v>
      </c>
      <c r="CV110" s="575">
        <f t="shared" si="320"/>
        <v>0.51161868797889476</v>
      </c>
      <c r="CW110">
        <f t="shared" si="321"/>
        <v>33.87816595136816</v>
      </c>
      <c r="CX110" s="576">
        <f t="shared" si="322"/>
        <v>0.34500303342000721</v>
      </c>
    </row>
    <row r="111" spans="1:102" x14ac:dyDescent="0.25">
      <c r="A111" s="186">
        <v>67</v>
      </c>
      <c r="B111" s="187">
        <f>A111/100*'Inputs-Imperial'!$E$5</f>
        <v>6.5944884000000004</v>
      </c>
      <c r="C111" s="188">
        <f>'Inputs-Imperial'!$E$10+('Inputs-Imperial'!$E$9-'Inputs-Imperial'!$E$10)*(100-A111)/100</f>
        <v>1.47309716</v>
      </c>
      <c r="D111" s="187">
        <f t="shared" si="323"/>
        <v>9.8425199999999435E-2</v>
      </c>
      <c r="E111" s="188">
        <f t="shared" si="324"/>
        <v>0.14547425859218316</v>
      </c>
      <c r="F111" s="423">
        <f>Sizing!F127</f>
        <v>29.049108497325921</v>
      </c>
      <c r="G111" s="423">
        <f>Sizing!G127</f>
        <v>290.49108497325921</v>
      </c>
      <c r="H111" s="423">
        <f>Sizing!H127</f>
        <v>435.21347808915732</v>
      </c>
      <c r="I111" s="423">
        <f>Sizing!I127</f>
        <v>-195.24060428784489</v>
      </c>
      <c r="J111" s="189">
        <f>Sizing!J127</f>
        <v>43.521347808915721</v>
      </c>
      <c r="K111" s="128">
        <v>67</v>
      </c>
      <c r="L111" s="12">
        <f t="shared" si="265"/>
        <v>79.133860800000008</v>
      </c>
      <c r="M111" s="11">
        <f t="shared" si="265"/>
        <v>17.67716592</v>
      </c>
      <c r="N111" s="11">
        <f t="shared" si="265"/>
        <v>1.1811023999999932</v>
      </c>
      <c r="O111" s="152">
        <f t="shared" si="325"/>
        <v>20.948293237274374</v>
      </c>
      <c r="P111" s="170">
        <f t="shared" si="260"/>
        <v>3.1818898656000001</v>
      </c>
      <c r="Q111" s="8">
        <f t="shared" si="261"/>
        <v>1.5909449328</v>
      </c>
      <c r="R111" s="170">
        <f>Sizing!X127</f>
        <v>4.41929148</v>
      </c>
      <c r="S111" s="8">
        <f>Sizing!Y127</f>
        <v>13.25787444</v>
      </c>
      <c r="T111" s="8">
        <f>Sizing!Z127</f>
        <v>8.8385829600000001</v>
      </c>
      <c r="U111" s="17">
        <f>Sizing!CN127</f>
        <v>0.25</v>
      </c>
      <c r="V111" s="17">
        <f>Sizing!CO127</f>
        <v>2.3622047244094495E-2</v>
      </c>
      <c r="W111" s="17">
        <f>Sizing!CP127</f>
        <v>1.5748031496062995E-2</v>
      </c>
      <c r="X111" s="170">
        <f>Sizing!DU127</f>
        <v>6.7368736237725546E-2</v>
      </c>
      <c r="Y111" s="170">
        <f>Sizing!DV127</f>
        <v>0.25955488097457452</v>
      </c>
      <c r="Z111" s="170">
        <f>Sizing!DW127</f>
        <v>6.7368736237725546E-2</v>
      </c>
      <c r="AA111" s="272">
        <f>Sizing!DX127</f>
        <v>0.25955488097457452</v>
      </c>
      <c r="AB111" s="272">
        <f t="shared" si="266"/>
        <v>2.3435948271451101</v>
      </c>
      <c r="AC111" s="216">
        <f>Sizing!GJ127</f>
        <v>0.25</v>
      </c>
      <c r="AD111" s="216">
        <f>Sizing!GK127</f>
        <v>1.5748031496062995E-2</v>
      </c>
      <c r="AE111" s="17">
        <f>Sizing!GL127</f>
        <v>1.5748031496062995E-2</v>
      </c>
      <c r="AF111" s="170">
        <f>Sizing!JC127</f>
        <v>1.118139342754408E-3</v>
      </c>
      <c r="AG111" s="272">
        <f>Sizing!JD127</f>
        <v>3.3438590621532004E-2</v>
      </c>
      <c r="AH111" s="170">
        <f>Sizing!JC127</f>
        <v>1.118139342754408E-3</v>
      </c>
      <c r="AI111" s="272">
        <f>Sizing!JD127</f>
        <v>3.3438590621532004E-2</v>
      </c>
      <c r="AJ111" s="216">
        <f>Sizing!IT127</f>
        <v>0.25</v>
      </c>
      <c r="AK111" s="216">
        <f>Sizing!IU127</f>
        <v>1.5748031496062995E-2</v>
      </c>
      <c r="AL111" s="17">
        <f>Sizing!IV127</f>
        <v>1.5748031496062995E-2</v>
      </c>
      <c r="AM111" s="170">
        <f t="shared" si="267"/>
        <v>0</v>
      </c>
      <c r="AN111" s="11">
        <f t="shared" si="268"/>
        <v>9.2504630068957122E-2</v>
      </c>
      <c r="AO111" s="11">
        <f t="shared" si="269"/>
        <v>9.2504630068957122E-2</v>
      </c>
      <c r="AP111" s="11">
        <f t="shared" si="270"/>
        <v>0.18500926013791424</v>
      </c>
      <c r="AQ111" s="555">
        <f t="shared" si="271"/>
        <v>2951671.0379071087</v>
      </c>
      <c r="AR111" s="311">
        <f t="shared" si="272"/>
        <v>4.5635931036032167</v>
      </c>
      <c r="AS111" s="11">
        <f t="shared" si="273"/>
        <v>2.8056328077924403E-3</v>
      </c>
      <c r="AT111" s="11">
        <f t="shared" si="274"/>
        <v>0.16904148649529463</v>
      </c>
      <c r="AU111" s="11">
        <f t="shared" si="275"/>
        <v>0.17184711930308708</v>
      </c>
      <c r="AV111" s="555">
        <f t="shared" si="276"/>
        <v>2741679.8738429258</v>
      </c>
      <c r="AW111" s="138">
        <f t="shared" si="277"/>
        <v>3.9370078740157494E-2</v>
      </c>
      <c r="AX111" s="138">
        <f t="shared" si="278"/>
        <v>3.1496062992125991E-2</v>
      </c>
      <c r="AY111" s="554">
        <f t="shared" si="279"/>
        <v>3.1496062992125991E-2</v>
      </c>
      <c r="AZ111" s="12">
        <f t="shared" si="280"/>
        <v>132.52838868999436</v>
      </c>
      <c r="BA111" s="11">
        <f t="shared" si="281"/>
        <v>56.616909878937946</v>
      </c>
      <c r="BB111">
        <f t="shared" si="282"/>
        <v>48.853754774255691</v>
      </c>
      <c r="BC111" s="555">
        <f t="shared" si="283"/>
        <v>184226923.00866094</v>
      </c>
      <c r="BD111">
        <f t="shared" si="284"/>
        <v>67</v>
      </c>
      <c r="BE111" s="207">
        <f t="shared" si="285"/>
        <v>1.47309716</v>
      </c>
      <c r="BF111" s="207">
        <f>'Inputs-Imperial'!$E$15*BE111</f>
        <v>1.10482287</v>
      </c>
      <c r="BG111" s="207">
        <f>'Inputs-Imperial'!$E$12*BE111</f>
        <v>0.36827429</v>
      </c>
      <c r="BH111">
        <f>'Inputs-Imperial'!$E$11*BE111</f>
        <v>0.26515748880000001</v>
      </c>
      <c r="BI111">
        <f t="shared" si="286"/>
        <v>0.28124198761931407</v>
      </c>
      <c r="BJ111">
        <f>'Weight '!U113+'Weight '!V113 /12</f>
        <v>2.4934383202099744E-2</v>
      </c>
      <c r="BK111">
        <f>('Weight '!AK113+'Weight '!AL113)/12</f>
        <v>2.6246719160104991E-3</v>
      </c>
      <c r="BL111">
        <f>'Weight '!AG113/12</f>
        <v>2.1629573414547878E-2</v>
      </c>
      <c r="BM111">
        <f>'Weight '!AI113/12</f>
        <v>2.1629573414547878E-2</v>
      </c>
      <c r="BN111" s="554">
        <f t="shared" si="287"/>
        <v>0.46798492860158875</v>
      </c>
      <c r="BO111" s="554">
        <f t="shared" si="288"/>
        <v>1.90608915198622</v>
      </c>
      <c r="BP111">
        <f t="shared" si="289"/>
        <v>2.1629573414547878E-2</v>
      </c>
      <c r="BQ111">
        <f t="shared" si="289"/>
        <v>2.1629573414547878E-2</v>
      </c>
      <c r="BR111">
        <f t="shared" si="290"/>
        <v>0.22189834197090424</v>
      </c>
      <c r="BS111">
        <f t="shared" si="291"/>
        <v>7.3238014444502217E-2</v>
      </c>
      <c r="BT111">
        <f t="shared" si="292"/>
        <v>0.17080292915555395</v>
      </c>
      <c r="BU111">
        <f t="shared" si="293"/>
        <v>1.8617785575448818E-2</v>
      </c>
      <c r="BV111">
        <f t="shared" si="294"/>
        <v>681.99573252370988</v>
      </c>
      <c r="BW111" s="207">
        <f t="shared" si="295"/>
        <v>230.2824518447832</v>
      </c>
      <c r="BX111">
        <f t="shared" si="296"/>
        <v>0.57364162700289711</v>
      </c>
      <c r="BY111" s="575">
        <f t="shared" si="297"/>
        <v>26.095818697804901</v>
      </c>
      <c r="BZ111">
        <f t="shared" si="298"/>
        <v>673.29712629110827</v>
      </c>
      <c r="CA111" s="207">
        <f t="shared" si="299"/>
        <v>233.21962032744105</v>
      </c>
      <c r="CB111">
        <f t="shared" si="300"/>
        <v>0.5713641357445538</v>
      </c>
      <c r="CC111">
        <f t="shared" si="301"/>
        <v>295.63698298309407</v>
      </c>
      <c r="CD111">
        <f t="shared" si="302"/>
        <v>574.75146529674362</v>
      </c>
      <c r="CE111" s="207">
        <f t="shared" si="303"/>
        <v>266.49451538942469</v>
      </c>
      <c r="CF111">
        <f t="shared" si="304"/>
        <v>0.54556265956999628</v>
      </c>
      <c r="CG111">
        <f t="shared" si="305"/>
        <v>181.33249484670642</v>
      </c>
      <c r="CH111">
        <f t="shared" si="306"/>
        <v>514.30730034784142</v>
      </c>
      <c r="CI111" s="207">
        <f t="shared" ref="CI111" si="329" xml:space="preserve"> ($BQ$38-CH111*($BP111+$BR111+$BQ111+$BN111))/($BP111+$BR111+$BQ111+$BO111)</f>
        <v>286.90407198978033</v>
      </c>
      <c r="CJ111">
        <f t="shared" si="308"/>
        <v>0.52973701421855546</v>
      </c>
      <c r="CK111">
        <f t="shared" si="309"/>
        <v>116.25469716734321</v>
      </c>
      <c r="CL111">
        <f t="shared" si="310"/>
        <v>475.55573462539371</v>
      </c>
      <c r="CM111" s="207">
        <f t="shared" ref="CM111" si="330" xml:space="preserve"> ($BQ$38-CL111*($BP111+$BR111+$BQ111+$BN111))/($BP111+$BR111+$BQ111+$BO111)</f>
        <v>299.98891276197583</v>
      </c>
      <c r="CN111">
        <f t="shared" si="312"/>
        <v>0.51959098049545005</v>
      </c>
      <c r="CO111">
        <f t="shared" si="313"/>
        <v>76.545333743543367</v>
      </c>
      <c r="CP111">
        <f t="shared" si="314"/>
        <v>450.0406233775459</v>
      </c>
      <c r="CQ111" s="207">
        <f t="shared" ref="CQ111" si="331" xml:space="preserve"> ($BQ$38-CP111*($BP111+$BR111+$BQ111+$BN111))/($BP111+$BR111+$BQ111+$BO111)</f>
        <v>308.6043367258531</v>
      </c>
      <c r="CR111">
        <f t="shared" si="316"/>
        <v>0.51291054902530975</v>
      </c>
      <c r="CS111">
        <f t="shared" si="317"/>
        <v>51.258240048784479</v>
      </c>
      <c r="CT111">
        <f t="shared" si="318"/>
        <v>432.95454336128438</v>
      </c>
      <c r="CU111" s="636">
        <f t="shared" si="319"/>
        <v>314.37361681210945</v>
      </c>
      <c r="CV111" s="575">
        <f t="shared" si="320"/>
        <v>0.50843702799954527</v>
      </c>
      <c r="CW111">
        <f t="shared" si="321"/>
        <v>34.706005615802269</v>
      </c>
      <c r="CX111" s="576">
        <f t="shared" si="322"/>
        <v>0.3451483322386863</v>
      </c>
    </row>
    <row r="112" spans="1:102" x14ac:dyDescent="0.25">
      <c r="A112" s="186">
        <v>68</v>
      </c>
      <c r="B112" s="187">
        <f>A112/100*'Inputs-Imperial'!$E$5</f>
        <v>6.6929136000000007</v>
      </c>
      <c r="C112" s="188">
        <f>'Inputs-Imperial'!$E$10+('Inputs-Imperial'!$E$9-'Inputs-Imperial'!$E$10)*(100-A112)/100</f>
        <v>1.4632546399999999</v>
      </c>
      <c r="D112" s="187">
        <f t="shared" si="323"/>
        <v>9.8425200000000324E-2</v>
      </c>
      <c r="E112" s="188">
        <f t="shared" si="324"/>
        <v>0.14450550659268047</v>
      </c>
      <c r="F112" s="423">
        <f>Sizing!F128</f>
        <v>27.937224571860721</v>
      </c>
      <c r="G112" s="423">
        <f>Sizing!G128</f>
        <v>279.37224571860719</v>
      </c>
      <c r="H112" s="423">
        <f>Sizing!H128</f>
        <v>406.62183495244722</v>
      </c>
      <c r="I112" s="423">
        <f>Sizing!I128</f>
        <v>-186.0838398744242</v>
      </c>
      <c r="J112" s="189">
        <f>Sizing!J128</f>
        <v>40.662183495244712</v>
      </c>
      <c r="K112" s="128">
        <v>68</v>
      </c>
      <c r="L112" s="12">
        <f t="shared" si="265"/>
        <v>80.314963200000008</v>
      </c>
      <c r="M112" s="11">
        <f t="shared" si="265"/>
        <v>17.55905568</v>
      </c>
      <c r="N112" s="11">
        <f t="shared" si="265"/>
        <v>1.1811024000000039</v>
      </c>
      <c r="O112" s="152">
        <f t="shared" si="325"/>
        <v>20.808792949345985</v>
      </c>
      <c r="P112" s="170">
        <f t="shared" si="260"/>
        <v>3.1606300223999999</v>
      </c>
      <c r="Q112" s="8">
        <f t="shared" si="261"/>
        <v>1.5803150112</v>
      </c>
      <c r="R112" s="170">
        <f>Sizing!X128</f>
        <v>4.38976392</v>
      </c>
      <c r="S112" s="8">
        <f>Sizing!Y128</f>
        <v>13.16929176</v>
      </c>
      <c r="T112" s="8">
        <f>Sizing!Z128</f>
        <v>8.7795278400000001</v>
      </c>
      <c r="U112" s="17">
        <f>Sizing!CN128</f>
        <v>0.25</v>
      </c>
      <c r="V112" s="17">
        <f>Sizing!CO128</f>
        <v>2.3622047244094495E-2</v>
      </c>
      <c r="W112" s="17">
        <f>Sizing!CP128</f>
        <v>1.5748031496062995E-2</v>
      </c>
      <c r="X112" s="170">
        <f>Sizing!DU128</f>
        <v>6.7368736237725546E-2</v>
      </c>
      <c r="Y112" s="170">
        <f>Sizing!DV128</f>
        <v>0.25955488097457452</v>
      </c>
      <c r="Z112" s="170">
        <f>Sizing!DW128</f>
        <v>6.7368736237725546E-2</v>
      </c>
      <c r="AA112" s="272">
        <f>Sizing!DX128</f>
        <v>0.25955488097457452</v>
      </c>
      <c r="AB112" s="272">
        <f t="shared" si="266"/>
        <v>2.32233498394511</v>
      </c>
      <c r="AC112" s="216">
        <f>Sizing!GJ128</f>
        <v>0.25</v>
      </c>
      <c r="AD112" s="216">
        <f>Sizing!GK128</f>
        <v>1.5748031496062995E-2</v>
      </c>
      <c r="AE112" s="17">
        <f>Sizing!GL128</f>
        <v>1.5748031496062995E-2</v>
      </c>
      <c r="AF112" s="170">
        <f>Sizing!JC128</f>
        <v>1.118139342754408E-3</v>
      </c>
      <c r="AG112" s="272">
        <f>Sizing!JD128</f>
        <v>3.3438590621532004E-2</v>
      </c>
      <c r="AH112" s="170">
        <f>Sizing!JC128</f>
        <v>1.118139342754408E-3</v>
      </c>
      <c r="AI112" s="272">
        <f>Sizing!JD128</f>
        <v>3.3438590621532004E-2</v>
      </c>
      <c r="AJ112" s="216">
        <f>Sizing!IT128</f>
        <v>0.25</v>
      </c>
      <c r="AK112" s="216">
        <f>Sizing!IU128</f>
        <v>1.5748031496062995E-2</v>
      </c>
      <c r="AL112" s="17">
        <f>Sizing!IV128</f>
        <v>1.5748031496062995E-2</v>
      </c>
      <c r="AM112" s="170">
        <f t="shared" si="267"/>
        <v>0</v>
      </c>
      <c r="AN112" s="11">
        <f t="shared" si="268"/>
        <v>9.0833937011917942E-2</v>
      </c>
      <c r="AO112" s="11">
        <f t="shared" si="269"/>
        <v>9.0833937011917942E-2</v>
      </c>
      <c r="AP112" s="11">
        <f t="shared" si="270"/>
        <v>0.18166787402383588</v>
      </c>
      <c r="AQ112" s="555">
        <f t="shared" si="271"/>
        <v>2898361.9623936019</v>
      </c>
      <c r="AR112" s="311">
        <f t="shared" si="272"/>
        <v>4.5331013902161121</v>
      </c>
      <c r="AS112" s="11">
        <f t="shared" si="273"/>
        <v>2.7682663061931049E-3</v>
      </c>
      <c r="AT112" s="11">
        <f t="shared" si="274"/>
        <v>0.16679012667446105</v>
      </c>
      <c r="AU112" s="11">
        <f t="shared" si="275"/>
        <v>0.16955839298065417</v>
      </c>
      <c r="AV112" s="555">
        <f t="shared" si="276"/>
        <v>2705165.1221240931</v>
      </c>
      <c r="AW112" s="138">
        <f t="shared" si="277"/>
        <v>3.9370078740157494E-2</v>
      </c>
      <c r="AX112" s="138">
        <f t="shared" si="278"/>
        <v>3.1496062992125991E-2</v>
      </c>
      <c r="AY112" s="554">
        <f t="shared" si="279"/>
        <v>3.1496062992125991E-2</v>
      </c>
      <c r="AZ112" s="12">
        <f t="shared" si="280"/>
        <v>130.76332441138146</v>
      </c>
      <c r="BA112" s="11">
        <f t="shared" si="281"/>
        <v>56.238623175960619</v>
      </c>
      <c r="BB112">
        <f t="shared" si="282"/>
        <v>47.881031873984909</v>
      </c>
      <c r="BC112" s="555">
        <f t="shared" si="283"/>
        <v>180558796.62441462</v>
      </c>
      <c r="BD112">
        <f t="shared" si="284"/>
        <v>68</v>
      </c>
      <c r="BE112" s="207">
        <f t="shared" si="285"/>
        <v>1.4632546399999999</v>
      </c>
      <c r="BF112" s="207">
        <f>'Inputs-Imperial'!$E$15*BE112</f>
        <v>1.09744098</v>
      </c>
      <c r="BG112" s="207">
        <f>'Inputs-Imperial'!$E$12*BE112</f>
        <v>0.36581365999999998</v>
      </c>
      <c r="BH112">
        <f>'Inputs-Imperial'!$E$11*BE112</f>
        <v>0.26338583519999997</v>
      </c>
      <c r="BI112">
        <f t="shared" si="286"/>
        <v>0.27936286520760367</v>
      </c>
      <c r="BJ112">
        <f>'Weight '!U114+'Weight '!V114 /12</f>
        <v>2.4934383202099744E-2</v>
      </c>
      <c r="BK112">
        <f>('Weight '!AK114+'Weight '!AL114)/12</f>
        <v>2.6246719160104991E-3</v>
      </c>
      <c r="BL112">
        <f>'Weight '!AG114/12</f>
        <v>2.1629573414547878E-2</v>
      </c>
      <c r="BM112">
        <f>'Weight '!AI114/12</f>
        <v>2.1629573414547878E-2</v>
      </c>
      <c r="BN112" s="554">
        <f t="shared" si="287"/>
        <v>0.462508078860428</v>
      </c>
      <c r="BO112" s="554">
        <f t="shared" si="288"/>
        <v>1.8957035913893776</v>
      </c>
      <c r="BP112">
        <f t="shared" si="289"/>
        <v>2.1629573414547878E-2</v>
      </c>
      <c r="BQ112">
        <f t="shared" si="289"/>
        <v>2.1629573414547878E-2</v>
      </c>
      <c r="BR112">
        <f t="shared" si="290"/>
        <v>0.22012668837090421</v>
      </c>
      <c r="BS112">
        <f t="shared" si="291"/>
        <v>7.2262602275001614E-2</v>
      </c>
      <c r="BT112">
        <f t="shared" si="292"/>
        <v>0.16852810976089483</v>
      </c>
      <c r="BU112">
        <f t="shared" si="293"/>
        <v>1.8125170266004617E-2</v>
      </c>
      <c r="BV112">
        <f t="shared" si="294"/>
        <v>688.80588515083889</v>
      </c>
      <c r="BW112" s="207">
        <f t="shared" si="295"/>
        <v>231.57910637811281</v>
      </c>
      <c r="BX112">
        <f t="shared" si="296"/>
        <v>0.57021512333062996</v>
      </c>
      <c r="BY112" s="575">
        <f t="shared" si="297"/>
        <v>26.791733778200694</v>
      </c>
      <c r="BZ112">
        <f t="shared" si="298"/>
        <v>679.87530722477197</v>
      </c>
      <c r="CA112" s="207">
        <f t="shared" si="299"/>
        <v>234.5815999690405</v>
      </c>
      <c r="CB112">
        <f t="shared" si="300"/>
        <v>0.56791242059021885</v>
      </c>
      <c r="CC112">
        <f t="shared" si="301"/>
        <v>297.58710745616918</v>
      </c>
      <c r="CD112">
        <f t="shared" si="302"/>
        <v>580.67960473938228</v>
      </c>
      <c r="CE112" s="207">
        <f t="shared" si="303"/>
        <v>267.93156493498327</v>
      </c>
      <c r="CF112">
        <f t="shared" si="304"/>
        <v>0.54233532828543185</v>
      </c>
      <c r="CG112">
        <f t="shared" si="305"/>
        <v>183.26370880322986</v>
      </c>
      <c r="CH112">
        <f t="shared" si="306"/>
        <v>519.59170180497233</v>
      </c>
      <c r="CI112" s="207">
        <f t="shared" ref="CI112" si="332" xml:space="preserve"> ($BQ$38-CH112*($BP112+$BR112+$BQ112+$BN112))/($BP112+$BR112+$BQ112+$BO112)</f>
        <v>288.46954563032187</v>
      </c>
      <c r="CJ112">
        <f t="shared" si="308"/>
        <v>0.5265841324885232</v>
      </c>
      <c r="CK112">
        <f t="shared" si="309"/>
        <v>117.90900108659778</v>
      </c>
      <c r="CL112">
        <f t="shared" si="310"/>
        <v>480.28870144277306</v>
      </c>
      <c r="CM112" s="207">
        <f t="shared" ref="CM112" si="333" xml:space="preserve"> ($BQ$38-CL112*($BP112+$BR112+$BQ112+$BN112))/($BP112+$BR112+$BQ112+$BO112)</f>
        <v>301.68336086923142</v>
      </c>
      <c r="CN112">
        <f t="shared" si="312"/>
        <v>0.51645005971186131</v>
      </c>
      <c r="CO112">
        <f t="shared" si="313"/>
        <v>77.895542768410294</v>
      </c>
      <c r="CP112">
        <f t="shared" si="314"/>
        <v>454.32352051996963</v>
      </c>
      <c r="CQ112" s="207">
        <f t="shared" ref="CQ112" si="334" xml:space="preserve"> ($BQ$38-CP112*($BP112+$BR112+$BQ112+$BN112))/($BP112+$BR112+$BQ112+$BO112)</f>
        <v>310.41295149073449</v>
      </c>
      <c r="CR112">
        <f t="shared" si="316"/>
        <v>0.50975507381495855</v>
      </c>
      <c r="CS112">
        <f t="shared" si="317"/>
        <v>52.334943162684247</v>
      </c>
      <c r="CT112">
        <f t="shared" si="318"/>
        <v>436.87853946574154</v>
      </c>
      <c r="CU112" s="636">
        <f t="shared" si="319"/>
        <v>316.27801915408139</v>
      </c>
      <c r="CV112" s="575">
        <f t="shared" si="320"/>
        <v>0.50525697682587811</v>
      </c>
      <c r="CW112">
        <f t="shared" si="321"/>
        <v>35.552310577400469</v>
      </c>
      <c r="CX112" s="576">
        <f t="shared" si="322"/>
        <v>0.34529668522074747</v>
      </c>
    </row>
    <row r="113" spans="1:102" x14ac:dyDescent="0.25">
      <c r="A113" s="186">
        <v>69</v>
      </c>
      <c r="B113" s="187">
        <f>A113/100*'Inputs-Imperial'!$E$5</f>
        <v>6.7913388000000001</v>
      </c>
      <c r="C113" s="188">
        <f>'Inputs-Imperial'!$E$10+('Inputs-Imperial'!$E$9-'Inputs-Imperial'!$E$10)*(100-A113)/100</f>
        <v>1.4534121199999999</v>
      </c>
      <c r="D113" s="187">
        <f t="shared" si="323"/>
        <v>9.8425199999999435E-2</v>
      </c>
      <c r="E113" s="188">
        <f t="shared" si="324"/>
        <v>0.14353675459317516</v>
      </c>
      <c r="F113" s="423">
        <f>Sizing!F129</f>
        <v>26.836136177302233</v>
      </c>
      <c r="G113" s="423">
        <f>Sizing!G129</f>
        <v>268.36136177302234</v>
      </c>
      <c r="H113" s="423">
        <f>Sizing!H129</f>
        <v>379.12456579314431</v>
      </c>
      <c r="I113" s="423">
        <f>Sizing!I129</f>
        <v>-177.10525044034154</v>
      </c>
      <c r="J113" s="189">
        <f>Sizing!J129</f>
        <v>37.912456579314423</v>
      </c>
      <c r="K113" s="128">
        <v>69</v>
      </c>
      <c r="L113" s="12">
        <f t="shared" si="265"/>
        <v>81.496065600000009</v>
      </c>
      <c r="M113" s="11">
        <f t="shared" si="265"/>
        <v>17.44094544</v>
      </c>
      <c r="N113" s="11">
        <f t="shared" si="265"/>
        <v>1.1811023999999932</v>
      </c>
      <c r="O113" s="152">
        <f t="shared" si="325"/>
        <v>20.669292661417224</v>
      </c>
      <c r="P113" s="170">
        <f t="shared" si="260"/>
        <v>3.1393701791999997</v>
      </c>
      <c r="Q113" s="8">
        <f t="shared" si="261"/>
        <v>1.5696850895999999</v>
      </c>
      <c r="R113" s="170">
        <f>Sizing!X129</f>
        <v>4.36023636</v>
      </c>
      <c r="S113" s="8">
        <f>Sizing!Y129</f>
        <v>13.08070908</v>
      </c>
      <c r="T113" s="8">
        <f>Sizing!Z129</f>
        <v>8.7204727200000001</v>
      </c>
      <c r="U113" s="17">
        <f>Sizing!CN129</f>
        <v>0.25</v>
      </c>
      <c r="V113" s="17">
        <f>Sizing!CO129</f>
        <v>2.3622047244094495E-2</v>
      </c>
      <c r="W113" s="17">
        <f>Sizing!CP129</f>
        <v>1.5748031496062995E-2</v>
      </c>
      <c r="X113" s="170">
        <f>Sizing!DU129</f>
        <v>6.7368736237725546E-2</v>
      </c>
      <c r="Y113" s="170">
        <f>Sizing!DV129</f>
        <v>0.25955488097457452</v>
      </c>
      <c r="Z113" s="170">
        <f>Sizing!DW129</f>
        <v>6.7368736237725546E-2</v>
      </c>
      <c r="AA113" s="272">
        <f>Sizing!DX129</f>
        <v>0.25955488097457452</v>
      </c>
      <c r="AB113" s="272">
        <f t="shared" si="266"/>
        <v>2.3010751407451098</v>
      </c>
      <c r="AC113" s="216">
        <f>Sizing!GJ129</f>
        <v>0.25</v>
      </c>
      <c r="AD113" s="216">
        <f>Sizing!GK129</f>
        <v>1.5748031496062995E-2</v>
      </c>
      <c r="AE113" s="17">
        <f>Sizing!GL129</f>
        <v>1.5748031496062995E-2</v>
      </c>
      <c r="AF113" s="170">
        <f>Sizing!JC129</f>
        <v>1.118139342754408E-3</v>
      </c>
      <c r="AG113" s="272">
        <f>Sizing!JD129</f>
        <v>3.3438590621532004E-2</v>
      </c>
      <c r="AH113" s="170">
        <f>Sizing!JC129</f>
        <v>1.118139342754408E-3</v>
      </c>
      <c r="AI113" s="272">
        <f>Sizing!JD129</f>
        <v>3.3438590621532004E-2</v>
      </c>
      <c r="AJ113" s="216">
        <f>Sizing!IT129</f>
        <v>0.25</v>
      </c>
      <c r="AK113" s="216">
        <f>Sizing!IU129</f>
        <v>1.5748031496062995E-2</v>
      </c>
      <c r="AL113" s="17">
        <f>Sizing!IV129</f>
        <v>1.5748031496062995E-2</v>
      </c>
      <c r="AM113" s="170">
        <f t="shared" si="267"/>
        <v>0</v>
      </c>
      <c r="AN113" s="11">
        <f t="shared" si="268"/>
        <v>8.9178468647004891E-2</v>
      </c>
      <c r="AO113" s="11">
        <f t="shared" si="269"/>
        <v>8.9178468647004891E-2</v>
      </c>
      <c r="AP113" s="11">
        <f t="shared" si="270"/>
        <v>0.17835693729400978</v>
      </c>
      <c r="AQ113" s="555">
        <f t="shared" si="271"/>
        <v>2845538.681837345</v>
      </c>
      <c r="AR113" s="311">
        <f t="shared" si="272"/>
        <v>4.5026096768290094</v>
      </c>
      <c r="AS113" s="11">
        <f t="shared" si="273"/>
        <v>2.7311503062805369E-3</v>
      </c>
      <c r="AT113" s="11">
        <f t="shared" si="274"/>
        <v>0.16455385976862749</v>
      </c>
      <c r="AU113" s="11">
        <f t="shared" si="275"/>
        <v>0.16728501007490804</v>
      </c>
      <c r="AV113" s="555">
        <f t="shared" si="276"/>
        <v>2668895.1620368962</v>
      </c>
      <c r="AW113" s="138">
        <f t="shared" si="277"/>
        <v>3.9370078740157494E-2</v>
      </c>
      <c r="AX113" s="138">
        <f t="shared" si="278"/>
        <v>3.1496062992125991E-2</v>
      </c>
      <c r="AY113" s="554">
        <f t="shared" si="279"/>
        <v>3.1496062992125991E-2</v>
      </c>
      <c r="AZ113" s="12">
        <f t="shared" si="280"/>
        <v>129.0100929659213</v>
      </c>
      <c r="BA113" s="11">
        <f t="shared" si="281"/>
        <v>55.860336472983285</v>
      </c>
      <c r="BB113">
        <f t="shared" si="282"/>
        <v>46.921307303266296</v>
      </c>
      <c r="BC113" s="555">
        <f t="shared" si="283"/>
        <v>176939686.78492957</v>
      </c>
      <c r="BD113">
        <f t="shared" si="284"/>
        <v>69</v>
      </c>
      <c r="BE113" s="207">
        <f t="shared" si="285"/>
        <v>1.4534121199999999</v>
      </c>
      <c r="BF113" s="207">
        <f>'Inputs-Imperial'!$E$15*BE113</f>
        <v>1.09005909</v>
      </c>
      <c r="BG113" s="207">
        <f>'Inputs-Imperial'!$E$12*BE113</f>
        <v>0.36335302999999997</v>
      </c>
      <c r="BH113">
        <f>'Inputs-Imperial'!$E$11*BE113</f>
        <v>0.26161418159999994</v>
      </c>
      <c r="BI113">
        <f t="shared" si="286"/>
        <v>0.27748374279589327</v>
      </c>
      <c r="BJ113">
        <f>'Weight '!U115+'Weight '!V115 /12</f>
        <v>2.4934383202099744E-2</v>
      </c>
      <c r="BK113">
        <f>('Weight '!AK115+'Weight '!AL115)/12</f>
        <v>2.6246719160104991E-3</v>
      </c>
      <c r="BL113">
        <f>'Weight '!AG115/12</f>
        <v>2.1629573414547878E-2</v>
      </c>
      <c r="BM113">
        <f>'Weight '!AI115/12</f>
        <v>2.1629573414547878E-2</v>
      </c>
      <c r="BN113" s="554">
        <f t="shared" si="287"/>
        <v>0.45705138033753662</v>
      </c>
      <c r="BO113" s="554">
        <f t="shared" si="288"/>
        <v>1.8852978795742661</v>
      </c>
      <c r="BP113">
        <f t="shared" si="289"/>
        <v>2.1629573414547878E-2</v>
      </c>
      <c r="BQ113">
        <f t="shared" si="289"/>
        <v>2.1629573414547878E-2</v>
      </c>
      <c r="BR113">
        <f t="shared" si="290"/>
        <v>0.21835503477090418</v>
      </c>
      <c r="BS113">
        <f t="shared" si="291"/>
        <v>7.1293729181497664E-2</v>
      </c>
      <c r="BT113">
        <f t="shared" si="292"/>
        <v>0.1662685405521217</v>
      </c>
      <c r="BU113">
        <f t="shared" si="293"/>
        <v>1.7642395960552674E-2</v>
      </c>
      <c r="BV113">
        <f t="shared" si="294"/>
        <v>695.7339080670431</v>
      </c>
      <c r="BW113" s="207">
        <f t="shared" si="295"/>
        <v>232.8926317207991</v>
      </c>
      <c r="BX113">
        <f t="shared" si="296"/>
        <v>0.56678703868511349</v>
      </c>
      <c r="BY113" s="575">
        <f t="shared" si="297"/>
        <v>27.494276712556882</v>
      </c>
      <c r="BZ113">
        <f t="shared" si="298"/>
        <v>686.56914916285746</v>
      </c>
      <c r="CA113" s="207">
        <f t="shared" si="299"/>
        <v>235.96047819994001</v>
      </c>
      <c r="CB113">
        <f t="shared" si="300"/>
        <v>0.56446008629300659</v>
      </c>
      <c r="CC113">
        <f t="shared" si="301"/>
        <v>299.56419697104172</v>
      </c>
      <c r="CD113">
        <f t="shared" si="302"/>
        <v>586.71441683917692</v>
      </c>
      <c r="CE113" s="207">
        <f t="shared" si="303"/>
        <v>269.38623355121854</v>
      </c>
      <c r="CF113">
        <f t="shared" si="304"/>
        <v>0.53910675068723701</v>
      </c>
      <c r="CG113">
        <f t="shared" si="305"/>
        <v>185.22028388091616</v>
      </c>
      <c r="CH113">
        <f t="shared" si="306"/>
        <v>524.97432221220492</v>
      </c>
      <c r="CI113" s="207">
        <f t="shared" ref="CI113" si="335" xml:space="preserve"> ($BQ$38-CH113*($BP113+$BR113+$BQ113+$BN113))/($BP113+$BR113+$BQ113+$BO113)</f>
        <v>290.05334917350484</v>
      </c>
      <c r="CJ113">
        <f t="shared" si="308"/>
        <v>0.52343080521140728</v>
      </c>
      <c r="CK113">
        <f t="shared" si="309"/>
        <v>119.58784471129147</v>
      </c>
      <c r="CL113">
        <f t="shared" si="310"/>
        <v>485.11170730844111</v>
      </c>
      <c r="CM113" s="207">
        <f t="shared" ref="CM113" si="336" xml:space="preserve"> ($BQ$38-CL113*($BP113+$BR113+$BQ113+$BN113))/($BP113+$BR113+$BQ113+$BO113)</f>
        <v>303.3971134842069</v>
      </c>
      <c r="CN113">
        <f t="shared" si="312"/>
        <v>0.51330959983375291</v>
      </c>
      <c r="CO113">
        <f t="shared" si="313"/>
        <v>79.268813591434778</v>
      </c>
      <c r="CP113">
        <f t="shared" si="314"/>
        <v>458.68876944462954</v>
      </c>
      <c r="CQ113" s="207">
        <f t="shared" ref="CQ113" si="337" xml:space="preserve"> ($BQ$38-CP113*($BP113+$BR113+$BQ113+$BN113))/($BP113+$BR113+$BQ113+$BO113)</f>
        <v>312.24202885421533</v>
      </c>
      <c r="CR113">
        <f t="shared" si="316"/>
        <v>0.50660075794151194</v>
      </c>
      <c r="CS113">
        <f t="shared" si="317"/>
        <v>53.432738784369803</v>
      </c>
      <c r="CT113">
        <f t="shared" si="318"/>
        <v>440.87785651650626</v>
      </c>
      <c r="CU113" s="636">
        <f t="shared" si="319"/>
        <v>318.20412202961501</v>
      </c>
      <c r="CV113" s="575">
        <f t="shared" si="320"/>
        <v>0.50207852807414732</v>
      </c>
      <c r="CW113">
        <f t="shared" si="321"/>
        <v>36.417483990430853</v>
      </c>
      <c r="CX113" s="576">
        <f t="shared" si="322"/>
        <v>0.34544815002240892</v>
      </c>
    </row>
    <row r="114" spans="1:102" x14ac:dyDescent="0.25">
      <c r="A114" s="186">
        <v>70</v>
      </c>
      <c r="B114" s="187">
        <f>A114/100*'Inputs-Imperial'!$E$5</f>
        <v>6.8897639999999996</v>
      </c>
      <c r="C114" s="188">
        <f>'Inputs-Imperial'!$E$10+('Inputs-Imperial'!$E$9-'Inputs-Imperial'!$E$10)*(100-A114)/100</f>
        <v>1.4435696</v>
      </c>
      <c r="D114" s="187">
        <f t="shared" si="323"/>
        <v>9.8425199999999435E-2</v>
      </c>
      <c r="E114" s="188">
        <f t="shared" si="324"/>
        <v>0.14256800259367117</v>
      </c>
      <c r="F114" s="423">
        <f>Sizing!F130</f>
        <v>25.746043020157206</v>
      </c>
      <c r="G114" s="423">
        <f>Sizing!G130</f>
        <v>257.46043020157208</v>
      </c>
      <c r="H114" s="423">
        <f>Sizing!H130</f>
        <v>352.71104508836237</v>
      </c>
      <c r="I114" s="423">
        <f>Sizing!I130</f>
        <v>-168.30634937571318</v>
      </c>
      <c r="J114" s="189">
        <f>Sizing!J130</f>
        <v>35.271104508836231</v>
      </c>
      <c r="K114" s="128">
        <v>70</v>
      </c>
      <c r="L114" s="12">
        <f t="shared" si="265"/>
        <v>82.677167999999995</v>
      </c>
      <c r="M114" s="11">
        <f t="shared" si="265"/>
        <v>17.3228352</v>
      </c>
      <c r="N114" s="11">
        <f t="shared" si="265"/>
        <v>1.1811023999999932</v>
      </c>
      <c r="O114" s="152">
        <f t="shared" si="325"/>
        <v>20.529792373488647</v>
      </c>
      <c r="P114" s="170">
        <f t="shared" si="260"/>
        <v>3.118110336</v>
      </c>
      <c r="Q114" s="8">
        <f t="shared" si="261"/>
        <v>1.559055168</v>
      </c>
      <c r="R114" s="170">
        <f>Sizing!X130</f>
        <v>4.3307088</v>
      </c>
      <c r="S114" s="8">
        <f>Sizing!Y130</f>
        <v>12.9921264</v>
      </c>
      <c r="T114" s="8">
        <f>Sizing!Z130</f>
        <v>8.6614176</v>
      </c>
      <c r="U114" s="17">
        <f>Sizing!CN130</f>
        <v>0.25</v>
      </c>
      <c r="V114" s="17">
        <f>Sizing!CO130</f>
        <v>2.3622047244094495E-2</v>
      </c>
      <c r="W114" s="17">
        <f>Sizing!CP130</f>
        <v>1.5748031496062995E-2</v>
      </c>
      <c r="X114" s="170">
        <f>Sizing!DU130</f>
        <v>3.7417273971028842E-2</v>
      </c>
      <c r="Y114" s="170">
        <f>Sizing!DV130</f>
        <v>0.19343545169132995</v>
      </c>
      <c r="Z114" s="170">
        <f>Sizing!DW130</f>
        <v>3.7417273971028842E-2</v>
      </c>
      <c r="AA114" s="272">
        <f>Sizing!DX130</f>
        <v>0.19343545169132995</v>
      </c>
      <c r="AB114" s="272">
        <f t="shared" si="266"/>
        <v>2.3459347268283555</v>
      </c>
      <c r="AC114" s="216">
        <f>Sizing!GJ130</f>
        <v>0.25</v>
      </c>
      <c r="AD114" s="216">
        <f>Sizing!GK130</f>
        <v>1.5748031496062995E-2</v>
      </c>
      <c r="AE114" s="17">
        <f>Sizing!GL130</f>
        <v>1.5748031496062995E-2</v>
      </c>
      <c r="AF114" s="170">
        <f>Sizing!JC130</f>
        <v>6.3172897578446421E-4</v>
      </c>
      <c r="AG114" s="272">
        <f>Sizing!JD130</f>
        <v>2.5134219219710489E-2</v>
      </c>
      <c r="AH114" s="170">
        <f>Sizing!JC130</f>
        <v>6.3172897578446421E-4</v>
      </c>
      <c r="AI114" s="272">
        <f>Sizing!JD130</f>
        <v>2.5134219219710489E-2</v>
      </c>
      <c r="AJ114" s="216">
        <f>Sizing!IT130</f>
        <v>0.25</v>
      </c>
      <c r="AK114" s="216">
        <f>Sizing!IU130</f>
        <v>1.5748031496062995E-2</v>
      </c>
      <c r="AL114" s="17">
        <f>Sizing!IV130</f>
        <v>1.5748031496062995E-2</v>
      </c>
      <c r="AM114" s="170">
        <f t="shared" si="267"/>
        <v>0</v>
      </c>
      <c r="AN114" s="11">
        <f t="shared" si="268"/>
        <v>5.1480647527854924E-2</v>
      </c>
      <c r="AO114" s="11">
        <f t="shared" si="269"/>
        <v>5.1480647527854924E-2</v>
      </c>
      <c r="AP114" s="11">
        <f t="shared" si="270"/>
        <v>0.10296129505570985</v>
      </c>
      <c r="AQ114" s="555">
        <f t="shared" si="271"/>
        <v>1642663.0343519049</v>
      </c>
      <c r="AR114" s="311">
        <f t="shared" si="272"/>
        <v>4.4745146305217114</v>
      </c>
      <c r="AS114" s="11">
        <f t="shared" si="273"/>
        <v>1.5475871990046621E-3</v>
      </c>
      <c r="AT114" s="11">
        <f t="shared" si="274"/>
        <v>9.1663508306402908E-2</v>
      </c>
      <c r="AU114" s="11">
        <f t="shared" si="275"/>
        <v>9.3211095505407571E-2</v>
      </c>
      <c r="AV114" s="555">
        <f t="shared" si="276"/>
        <v>1487106.5956904634</v>
      </c>
      <c r="AW114" s="138">
        <f t="shared" si="277"/>
        <v>3.9370078740157494E-2</v>
      </c>
      <c r="AX114" s="138">
        <f t="shared" si="278"/>
        <v>3.1496062992125991E-2</v>
      </c>
      <c r="AY114" s="554">
        <f t="shared" si="279"/>
        <v>3.1496062992125991E-2</v>
      </c>
      <c r="AZ114" s="12">
        <f t="shared" si="280"/>
        <v>127.26869435361385</v>
      </c>
      <c r="BA114" s="11">
        <f t="shared" si="281"/>
        <v>55.482049770005986</v>
      </c>
      <c r="BB114">
        <f t="shared" si="282"/>
        <v>45.974493629389805</v>
      </c>
      <c r="BC114" s="555">
        <f t="shared" si="283"/>
        <v>173369263.78250542</v>
      </c>
      <c r="BD114">
        <f t="shared" si="284"/>
        <v>70</v>
      </c>
      <c r="BE114" s="207">
        <f t="shared" si="285"/>
        <v>1.4435696</v>
      </c>
      <c r="BF114" s="207">
        <f>'Inputs-Imperial'!$E$15*BE114</f>
        <v>1.0826772</v>
      </c>
      <c r="BG114" s="207">
        <f>'Inputs-Imperial'!$E$12*BE114</f>
        <v>0.3608924</v>
      </c>
      <c r="BH114">
        <f>'Inputs-Imperial'!$E$11*BE114</f>
        <v>0.25984252800000002</v>
      </c>
      <c r="BI114">
        <f t="shared" si="286"/>
        <v>0.27560462038418304</v>
      </c>
      <c r="BJ114">
        <f>'Weight '!U116+'Weight '!V116 /12</f>
        <v>2.4934383202099744E-2</v>
      </c>
      <c r="BK114">
        <f>('Weight '!AK116+'Weight '!AL116)/12</f>
        <v>2.6246719160104991E-3</v>
      </c>
      <c r="BL114">
        <f>'Weight '!AG116/12</f>
        <v>1.6119620974277497E-2</v>
      </c>
      <c r="BM114">
        <f>'Weight '!AI116/12</f>
        <v>1.6119620974277497E-2</v>
      </c>
      <c r="BN114" s="554">
        <f t="shared" si="287"/>
        <v>0.45161504995080998</v>
      </c>
      <c r="BO114" s="554">
        <f t="shared" si="288"/>
        <v>1.8748717996229893</v>
      </c>
      <c r="BP114">
        <f t="shared" si="289"/>
        <v>1.6119620974277497E-2</v>
      </c>
      <c r="BQ114">
        <f t="shared" si="289"/>
        <v>1.6119620974277497E-2</v>
      </c>
      <c r="BR114">
        <f t="shared" si="290"/>
        <v>0.22760328605144503</v>
      </c>
      <c r="BS114">
        <f t="shared" si="291"/>
        <v>7.0331395163990396E-2</v>
      </c>
      <c r="BT114">
        <f t="shared" si="292"/>
        <v>0.16402422152923471</v>
      </c>
      <c r="BU114">
        <f t="shared" si="293"/>
        <v>1.7169330715158207E-2</v>
      </c>
      <c r="BV114">
        <f t="shared" si="294"/>
        <v>702.78259097349849</v>
      </c>
      <c r="BW114" s="207">
        <f t="shared" si="295"/>
        <v>234.2233775873662</v>
      </c>
      <c r="BX114">
        <f t="shared" si="296"/>
        <v>0.56335734589482878</v>
      </c>
      <c r="BY114" s="575">
        <f t="shared" si="297"/>
        <v>28.203535833744837</v>
      </c>
      <c r="BZ114">
        <f t="shared" si="298"/>
        <v>693.38141236225022</v>
      </c>
      <c r="CA114" s="207">
        <f t="shared" si="299"/>
        <v>237.35660233696973</v>
      </c>
      <c r="CB114">
        <f t="shared" si="300"/>
        <v>0.56100710037813917</v>
      </c>
      <c r="CC114">
        <f t="shared" si="301"/>
        <v>301.56869205842906</v>
      </c>
      <c r="CD114">
        <f t="shared" si="302"/>
        <v>592.85851500944057</v>
      </c>
      <c r="CE114" s="207">
        <f t="shared" si="303"/>
        <v>270.85887294704384</v>
      </c>
      <c r="CF114">
        <f t="shared" si="304"/>
        <v>0.53587690143208144</v>
      </c>
      <c r="CG114">
        <f t="shared" si="305"/>
        <v>187.20267703358806</v>
      </c>
      <c r="CH114">
        <f t="shared" si="306"/>
        <v>530.45762266491124</v>
      </c>
      <c r="CI114" s="207">
        <f t="shared" ref="CI114" si="338" xml:space="preserve"> ($BQ$38-CH114*($BP114+$BR114+$BQ114+$BN114))/($BP114+$BR114+$BQ114+$BO114)</f>
        <v>291.65584196296027</v>
      </c>
      <c r="CJ114">
        <f t="shared" si="308"/>
        <v>0.52027700448993741</v>
      </c>
      <c r="CK114">
        <f t="shared" si="309"/>
        <v>121.29167850207244</v>
      </c>
      <c r="CL114">
        <f t="shared" si="310"/>
        <v>490.02706316422041</v>
      </c>
      <c r="CM114" s="207">
        <f t="shared" ref="CM114" si="339" xml:space="preserve"> ($BQ$38-CL114*($BP114+$BR114+$BQ114+$BN114))/($BP114+$BR114+$BQ114+$BO114)</f>
        <v>305.13053858411757</v>
      </c>
      <c r="CN114">
        <f t="shared" si="312"/>
        <v>0.51016957592879297</v>
      </c>
      <c r="CO114">
        <f t="shared" si="313"/>
        <v>80.665586857670206</v>
      </c>
      <c r="CP114">
        <f t="shared" si="314"/>
        <v>463.13853421166368</v>
      </c>
      <c r="CQ114" s="207">
        <f t="shared" ref="CQ114" si="340" xml:space="preserve"> ($BQ$38-CP114*($BP114+$BR114+$BQ114+$BN114))/($BP114+$BR114+$BQ114+$BO114)</f>
        <v>314.09194734767215</v>
      </c>
      <c r="CR114">
        <f t="shared" si="316"/>
        <v>0.50344758422601699</v>
      </c>
      <c r="CS114">
        <f t="shared" si="317"/>
        <v>54.552055064550245</v>
      </c>
      <c r="CT114">
        <f t="shared" si="318"/>
        <v>444.9545158568136</v>
      </c>
      <c r="CU114" s="636">
        <f t="shared" si="319"/>
        <v>320.15231687288184</v>
      </c>
      <c r="CV114" s="575">
        <f t="shared" si="320"/>
        <v>0.49890167467774454</v>
      </c>
      <c r="CW114">
        <f t="shared" si="321"/>
        <v>37.30193873854931</v>
      </c>
      <c r="CX114" s="576">
        <f t="shared" si="322"/>
        <v>0.3456027853992939</v>
      </c>
    </row>
    <row r="115" spans="1:102" x14ac:dyDescent="0.25">
      <c r="A115" s="186">
        <v>71</v>
      </c>
      <c r="B115" s="187">
        <f>A115/100*'Inputs-Imperial'!$E$5</f>
        <v>6.9881891999999999</v>
      </c>
      <c r="C115" s="188">
        <f>'Inputs-Imperial'!$E$10+('Inputs-Imperial'!$E$9-'Inputs-Imperial'!$E$10)*(100-A115)/100</f>
        <v>1.4337270799999999</v>
      </c>
      <c r="D115" s="187">
        <f t="shared" si="323"/>
        <v>9.8425200000000324E-2</v>
      </c>
      <c r="E115" s="188">
        <f t="shared" si="324"/>
        <v>0.14159925059416845</v>
      </c>
      <c r="F115" s="423">
        <f>Sizing!F131</f>
        <v>24.667152866305244</v>
      </c>
      <c r="G115" s="423">
        <f>Sizing!G131</f>
        <v>246.67152866305247</v>
      </c>
      <c r="H115" s="423">
        <f>Sizing!H131</f>
        <v>327.3704507536865</v>
      </c>
      <c r="I115" s="423">
        <f>Sizing!I131</f>
        <v>-159.68868230273384</v>
      </c>
      <c r="J115" s="189">
        <f>Sizing!J131</f>
        <v>32.737045075368648</v>
      </c>
      <c r="K115" s="128">
        <v>71</v>
      </c>
      <c r="L115" s="12">
        <f t="shared" si="265"/>
        <v>83.858270399999995</v>
      </c>
      <c r="M115" s="11">
        <f t="shared" si="265"/>
        <v>17.20472496</v>
      </c>
      <c r="N115" s="11">
        <f t="shared" si="265"/>
        <v>1.1811024000000039</v>
      </c>
      <c r="O115" s="152">
        <f t="shared" si="325"/>
        <v>20.390292085560255</v>
      </c>
      <c r="P115" s="170">
        <f t="shared" si="260"/>
        <v>3.0968504927999998</v>
      </c>
      <c r="Q115" s="8">
        <f t="shared" si="261"/>
        <v>1.5484252463999999</v>
      </c>
      <c r="R115" s="170">
        <f>Sizing!X131</f>
        <v>4.30118124</v>
      </c>
      <c r="S115" s="8">
        <f>Sizing!Y131</f>
        <v>12.90354372</v>
      </c>
      <c r="T115" s="8">
        <f>Sizing!Z131</f>
        <v>8.60236248</v>
      </c>
      <c r="U115" s="17">
        <f>Sizing!CN131</f>
        <v>0.25</v>
      </c>
      <c r="V115" s="17">
        <f>Sizing!CO131</f>
        <v>2.3622047244094495E-2</v>
      </c>
      <c r="W115" s="17">
        <f>Sizing!CP131</f>
        <v>1.5748031496062995E-2</v>
      </c>
      <c r="X115" s="170">
        <f>Sizing!DU131</f>
        <v>3.7417273971028842E-2</v>
      </c>
      <c r="Y115" s="170">
        <f>Sizing!DV131</f>
        <v>0.19343545169132995</v>
      </c>
      <c r="Z115" s="170">
        <f>Sizing!DW131</f>
        <v>3.7417273971028842E-2</v>
      </c>
      <c r="AA115" s="272">
        <f>Sizing!DX131</f>
        <v>0.19343545169132995</v>
      </c>
      <c r="AB115" s="272">
        <f t="shared" si="266"/>
        <v>2.3246748836283553</v>
      </c>
      <c r="AC115" s="216">
        <f>Sizing!GJ131</f>
        <v>0.25</v>
      </c>
      <c r="AD115" s="216">
        <f>Sizing!GK131</f>
        <v>1.5748031496062995E-2</v>
      </c>
      <c r="AE115" s="17">
        <f>Sizing!GL131</f>
        <v>1.5748031496062995E-2</v>
      </c>
      <c r="AF115" s="170">
        <f>Sizing!JC131</f>
        <v>6.3172897578446421E-4</v>
      </c>
      <c r="AG115" s="272">
        <f>Sizing!JD131</f>
        <v>2.5134219219710489E-2</v>
      </c>
      <c r="AH115" s="170">
        <f>Sizing!JC131</f>
        <v>6.3172897578446421E-4</v>
      </c>
      <c r="AI115" s="272">
        <f>Sizing!JD131</f>
        <v>2.5134219219710489E-2</v>
      </c>
      <c r="AJ115" s="216">
        <f>Sizing!IT131</f>
        <v>0.25</v>
      </c>
      <c r="AK115" s="216">
        <f>Sizing!IU131</f>
        <v>1.5748031496062995E-2</v>
      </c>
      <c r="AL115" s="17">
        <f>Sizing!IV131</f>
        <v>1.5748031496062995E-2</v>
      </c>
      <c r="AM115" s="170">
        <f t="shared" si="267"/>
        <v>0</v>
      </c>
      <c r="AN115" s="11">
        <f t="shared" si="268"/>
        <v>5.0551797115461067E-2</v>
      </c>
      <c r="AO115" s="11">
        <f t="shared" si="269"/>
        <v>5.0551797115461067E-2</v>
      </c>
      <c r="AP115" s="11">
        <f t="shared" si="270"/>
        <v>0.10110359423092213</v>
      </c>
      <c r="AQ115" s="555">
        <f t="shared" si="271"/>
        <v>1613024.9410070933</v>
      </c>
      <c r="AR115" s="311">
        <f t="shared" si="272"/>
        <v>4.4440065762226997</v>
      </c>
      <c r="AS115" s="11">
        <f t="shared" si="273"/>
        <v>1.526555680819841E-3</v>
      </c>
      <c r="AT115" s="11">
        <f t="shared" si="274"/>
        <v>9.0417812591763708E-2</v>
      </c>
      <c r="AU115" s="11">
        <f t="shared" si="275"/>
        <v>9.1944368272583551E-2</v>
      </c>
      <c r="AV115" s="555">
        <f t="shared" si="276"/>
        <v>1466897.0014070871</v>
      </c>
      <c r="AW115" s="138">
        <f t="shared" si="277"/>
        <v>3.9370078740157494E-2</v>
      </c>
      <c r="AX115" s="138">
        <f t="shared" si="278"/>
        <v>3.1496062992125991E-2</v>
      </c>
      <c r="AY115" s="554">
        <f t="shared" si="279"/>
        <v>3.1496062992125991E-2</v>
      </c>
      <c r="AZ115" s="12">
        <f t="shared" si="280"/>
        <v>125.5391285744591</v>
      </c>
      <c r="BA115" s="11">
        <f t="shared" si="281"/>
        <v>55.103763067028666</v>
      </c>
      <c r="BB115">
        <f t="shared" si="282"/>
        <v>45.040503419645475</v>
      </c>
      <c r="BC115" s="555">
        <f t="shared" si="283"/>
        <v>169847197.90944207</v>
      </c>
      <c r="BD115">
        <f t="shared" si="284"/>
        <v>71</v>
      </c>
      <c r="BE115" s="207">
        <f t="shared" si="285"/>
        <v>1.4337270799999999</v>
      </c>
      <c r="BF115" s="207">
        <f>'Inputs-Imperial'!$E$15*BE115</f>
        <v>1.07529531</v>
      </c>
      <c r="BG115" s="207">
        <f>'Inputs-Imperial'!$E$12*BE115</f>
        <v>0.35843176999999998</v>
      </c>
      <c r="BH115">
        <f>'Inputs-Imperial'!$E$11*BE115</f>
        <v>0.25807087439999998</v>
      </c>
      <c r="BI115">
        <f t="shared" si="286"/>
        <v>0.27372549797247264</v>
      </c>
      <c r="BJ115">
        <f>'Weight '!U117+'Weight '!V117 /12</f>
        <v>2.4934383202099744E-2</v>
      </c>
      <c r="BK115">
        <f>('Weight '!AK117+'Weight '!AL117)/12</f>
        <v>2.6246719160104991E-3</v>
      </c>
      <c r="BL115">
        <f>'Weight '!AG117/12</f>
        <v>1.6119620974277497E-2</v>
      </c>
      <c r="BM115">
        <f>'Weight '!AI117/12</f>
        <v>1.6119620974277497E-2</v>
      </c>
      <c r="BN115" s="554">
        <f t="shared" si="287"/>
        <v>0.44619930587594603</v>
      </c>
      <c r="BO115" s="554">
        <f t="shared" si="288"/>
        <v>1.8644251333598505</v>
      </c>
      <c r="BP115">
        <f t="shared" si="289"/>
        <v>1.6119620974277497E-2</v>
      </c>
      <c r="BQ115">
        <f t="shared" si="289"/>
        <v>1.6119620974277497E-2</v>
      </c>
      <c r="BR115">
        <f t="shared" si="290"/>
        <v>0.225831632451445</v>
      </c>
      <c r="BS115">
        <f t="shared" si="291"/>
        <v>6.9375600222479752E-2</v>
      </c>
      <c r="BT115">
        <f t="shared" si="292"/>
        <v>0.16179515269223355</v>
      </c>
      <c r="BU115">
        <f t="shared" si="293"/>
        <v>1.6705843476396667E-2</v>
      </c>
      <c r="BV115">
        <f t="shared" si="294"/>
        <v>709.9548071225887</v>
      </c>
      <c r="BW115" s="207">
        <f t="shared" si="295"/>
        <v>235.57170339637804</v>
      </c>
      <c r="BX115">
        <f t="shared" si="296"/>
        <v>0.55992601730795577</v>
      </c>
      <c r="BY115" s="575">
        <f t="shared" si="297"/>
        <v>28.919601074174039</v>
      </c>
      <c r="BZ115">
        <f t="shared" si="298"/>
        <v>700.314940097864</v>
      </c>
      <c r="CA115" s="207">
        <f t="shared" si="299"/>
        <v>238.77032938319644</v>
      </c>
      <c r="CB115">
        <f t="shared" si="300"/>
        <v>0.55755342982626022</v>
      </c>
      <c r="CC115">
        <f t="shared" si="301"/>
        <v>303.60104259747345</v>
      </c>
      <c r="CD115">
        <f t="shared" si="302"/>
        <v>599.11459256537285</v>
      </c>
      <c r="CE115" s="207">
        <f t="shared" si="303"/>
        <v>272.3498446049561</v>
      </c>
      <c r="CF115">
        <f t="shared" si="304"/>
        <v>0.53264575453540841</v>
      </c>
      <c r="CG115">
        <f t="shared" si="305"/>
        <v>189.21135519063409</v>
      </c>
      <c r="CH115">
        <f t="shared" si="306"/>
        <v>536.04414083516144</v>
      </c>
      <c r="CI115" s="207">
        <f t="shared" ref="CI115" si="341" xml:space="preserve"> ($BQ$38-CH115*($BP115+$BR115+$BQ115+$BN115))/($BP115+$BR115+$BQ115+$BO115)</f>
        <v>293.2773932305962</v>
      </c>
      <c r="CJ115">
        <f t="shared" si="308"/>
        <v>0.51712270179451647</v>
      </c>
      <c r="CK115">
        <f t="shared" si="309"/>
        <v>123.02096325498201</v>
      </c>
      <c r="CL115">
        <f t="shared" si="310"/>
        <v>495.03715308350075</v>
      </c>
      <c r="CM115" s="207">
        <f t="shared" ref="CM115" si="342" xml:space="preserve"> ($BQ$38-CL115*($BP115+$BR115+$BQ115+$BN115))/($BP115+$BR115+$BQ115+$BO115)</f>
        <v>306.8840141857595</v>
      </c>
      <c r="CN115">
        <f t="shared" si="312"/>
        <v>0.50702996238720988</v>
      </c>
      <c r="CO115">
        <f t="shared" si="313"/>
        <v>82.086313573579389</v>
      </c>
      <c r="CP115">
        <f t="shared" si="314"/>
        <v>467.67504855897431</v>
      </c>
      <c r="CQ115" s="207">
        <f t="shared" ref="CQ115" si="343" xml:space="preserve"> ($BQ$38-CP115*($BP115+$BR115+$BQ115+$BN115))/($BP115+$BR115+$BQ115+$BO115)</f>
        <v>315.96309570853509</v>
      </c>
      <c r="CR115">
        <f t="shared" si="316"/>
        <v>0.50029553477516597</v>
      </c>
      <c r="CS115">
        <f t="shared" si="317"/>
        <v>55.693330370706001</v>
      </c>
      <c r="CT115">
        <f t="shared" si="318"/>
        <v>449.11060510207233</v>
      </c>
      <c r="CU115" s="636">
        <f t="shared" si="319"/>
        <v>322.12300549979739</v>
      </c>
      <c r="CV115" s="575">
        <f t="shared" si="320"/>
        <v>0.49572640886943287</v>
      </c>
      <c r="CW115">
        <f t="shared" si="321"/>
        <v>38.206097723160681</v>
      </c>
      <c r="CX115" s="576">
        <f t="shared" si="322"/>
        <v>0.34576065123177618</v>
      </c>
    </row>
    <row r="116" spans="1:102" x14ac:dyDescent="0.25">
      <c r="A116" s="186">
        <v>72</v>
      </c>
      <c r="B116" s="187">
        <f>A116/100*'Inputs-Imperial'!$E$5</f>
        <v>7.0866144000000002</v>
      </c>
      <c r="C116" s="188">
        <f>'Inputs-Imperial'!$E$10+('Inputs-Imperial'!$E$9-'Inputs-Imperial'!$E$10)*(100-A116)/100</f>
        <v>1.4238845599999999</v>
      </c>
      <c r="D116" s="187">
        <f t="shared" si="323"/>
        <v>9.8425200000000324E-2</v>
      </c>
      <c r="E116" s="188">
        <f t="shared" si="324"/>
        <v>0.14063049859466445</v>
      </c>
      <c r="F116" s="423">
        <f>Sizing!F132</f>
        <v>23.599682227659756</v>
      </c>
      <c r="G116" s="423">
        <f>Sizing!G132</f>
        <v>235.99682227659758</v>
      </c>
      <c r="H116" s="423">
        <f>Sizing!H132</f>
        <v>303.09175621071972</v>
      </c>
      <c r="I116" s="423">
        <f>Sizing!I132</f>
        <v>-151.25383083995459</v>
      </c>
      <c r="J116" s="189">
        <f>Sizing!J132</f>
        <v>30.309175621071972</v>
      </c>
      <c r="K116" s="128">
        <v>72</v>
      </c>
      <c r="L116" s="12">
        <f t="shared" si="265"/>
        <v>85.039372799999995</v>
      </c>
      <c r="M116" s="11">
        <f t="shared" si="265"/>
        <v>17.08661472</v>
      </c>
      <c r="N116" s="11">
        <f t="shared" si="265"/>
        <v>1.1811024000000039</v>
      </c>
      <c r="O116" s="152">
        <f t="shared" si="325"/>
        <v>20.250791797631678</v>
      </c>
      <c r="P116" s="170">
        <f t="shared" si="260"/>
        <v>3.0755906496000001</v>
      </c>
      <c r="Q116" s="8">
        <f t="shared" si="261"/>
        <v>1.5377953248</v>
      </c>
      <c r="R116" s="170">
        <f>Sizing!X132</f>
        <v>4.27165368</v>
      </c>
      <c r="S116" s="8">
        <f>Sizing!Y132</f>
        <v>12.81496104</v>
      </c>
      <c r="T116" s="8">
        <f>Sizing!Z132</f>
        <v>8.54330736</v>
      </c>
      <c r="U116" s="17">
        <f>Sizing!CN132</f>
        <v>0.25</v>
      </c>
      <c r="V116" s="17">
        <f>Sizing!CO132</f>
        <v>2.3622047244094495E-2</v>
      </c>
      <c r="W116" s="17">
        <f>Sizing!CP132</f>
        <v>1.5748031496062995E-2</v>
      </c>
      <c r="X116" s="170">
        <f>Sizing!DU132</f>
        <v>3.7417273971028842E-2</v>
      </c>
      <c r="Y116" s="170">
        <f>Sizing!DV132</f>
        <v>0.19343545169132995</v>
      </c>
      <c r="Z116" s="170">
        <f>Sizing!DW132</f>
        <v>3.7417273971028842E-2</v>
      </c>
      <c r="AA116" s="272">
        <f>Sizing!DX132</f>
        <v>0.19343545169132995</v>
      </c>
      <c r="AB116" s="272">
        <f t="shared" si="266"/>
        <v>2.3034150404283551</v>
      </c>
      <c r="AC116" s="216">
        <f>Sizing!GJ132</f>
        <v>0.25</v>
      </c>
      <c r="AD116" s="216">
        <f>Sizing!GK132</f>
        <v>1.5748031496062995E-2</v>
      </c>
      <c r="AE116" s="17">
        <f>Sizing!GL132</f>
        <v>1.5748031496062995E-2</v>
      </c>
      <c r="AF116" s="170">
        <f>Sizing!JC132</f>
        <v>6.3172897578446421E-4</v>
      </c>
      <c r="AG116" s="272">
        <f>Sizing!JD132</f>
        <v>2.5134219219710489E-2</v>
      </c>
      <c r="AH116" s="170">
        <f>Sizing!JC132</f>
        <v>6.3172897578446421E-4</v>
      </c>
      <c r="AI116" s="272">
        <f>Sizing!JD132</f>
        <v>2.5134219219710489E-2</v>
      </c>
      <c r="AJ116" s="216">
        <f>Sizing!IT132</f>
        <v>0.25</v>
      </c>
      <c r="AK116" s="216">
        <f>Sizing!IU132</f>
        <v>1.5748031496062995E-2</v>
      </c>
      <c r="AL116" s="17">
        <f>Sizing!IV132</f>
        <v>1.5748031496062995E-2</v>
      </c>
      <c r="AM116" s="170">
        <f t="shared" si="267"/>
        <v>0</v>
      </c>
      <c r="AN116" s="11">
        <f t="shared" si="268"/>
        <v>4.9631402650264993E-2</v>
      </c>
      <c r="AO116" s="11">
        <f t="shared" si="269"/>
        <v>4.9631402650264993E-2</v>
      </c>
      <c r="AP116" s="11">
        <f t="shared" si="270"/>
        <v>9.9262805300529985E-2</v>
      </c>
      <c r="AQ116" s="555">
        <f t="shared" si="271"/>
        <v>1583656.6630696096</v>
      </c>
      <c r="AR116" s="311">
        <f t="shared" si="272"/>
        <v>4.413498521923688</v>
      </c>
      <c r="AS116" s="11">
        <f t="shared" si="273"/>
        <v>1.5056680498745966E-3</v>
      </c>
      <c r="AT116" s="11">
        <f t="shared" si="274"/>
        <v>8.9180639310748017E-2</v>
      </c>
      <c r="AU116" s="11">
        <f t="shared" si="275"/>
        <v>9.0686307360622609E-2</v>
      </c>
      <c r="AV116" s="555">
        <f t="shared" si="276"/>
        <v>1446825.671166698</v>
      </c>
      <c r="AW116" s="138">
        <f t="shared" si="277"/>
        <v>3.9370078740157494E-2</v>
      </c>
      <c r="AX116" s="138">
        <f t="shared" si="278"/>
        <v>3.1496062992125991E-2</v>
      </c>
      <c r="AY116" s="554">
        <f t="shared" si="279"/>
        <v>3.1496062992125991E-2</v>
      </c>
      <c r="AZ116" s="12">
        <f t="shared" si="280"/>
        <v>123.82139562845707</v>
      </c>
      <c r="BA116" s="11">
        <f t="shared" si="281"/>
        <v>54.72547636405136</v>
      </c>
      <c r="BB116">
        <f t="shared" si="282"/>
        <v>44.119249241323338</v>
      </c>
      <c r="BC116" s="555">
        <f t="shared" si="283"/>
        <v>166373159.45803943</v>
      </c>
      <c r="BD116">
        <f t="shared" si="284"/>
        <v>72</v>
      </c>
      <c r="BE116" s="207">
        <f t="shared" si="285"/>
        <v>1.4238845599999999</v>
      </c>
      <c r="BF116" s="207">
        <f>'Inputs-Imperial'!$E$15*BE116</f>
        <v>1.06791342</v>
      </c>
      <c r="BG116" s="207">
        <f>'Inputs-Imperial'!$E$12*BE116</f>
        <v>0.35597113999999996</v>
      </c>
      <c r="BH116">
        <f>'Inputs-Imperial'!$E$11*BE116</f>
        <v>0.25629922079999995</v>
      </c>
      <c r="BI116">
        <f t="shared" si="286"/>
        <v>0.2718463755607623</v>
      </c>
      <c r="BJ116">
        <f>'Weight '!U118+'Weight '!V118 /12</f>
        <v>2.4934383202099744E-2</v>
      </c>
      <c r="BK116">
        <f>('Weight '!AK118+'Weight '!AL118)/12</f>
        <v>2.6246719160104991E-3</v>
      </c>
      <c r="BL116">
        <f>'Weight '!AG118/12</f>
        <v>1.6119620974277497E-2</v>
      </c>
      <c r="BM116">
        <f>'Weight '!AI118/12</f>
        <v>1.6119620974277497E-2</v>
      </c>
      <c r="BN116" s="554">
        <f t="shared" si="287"/>
        <v>0.44080436753273855</v>
      </c>
      <c r="BO116" s="554">
        <f t="shared" si="288"/>
        <v>1.853957661365055</v>
      </c>
      <c r="BP116">
        <f t="shared" si="289"/>
        <v>1.6119620974277497E-2</v>
      </c>
      <c r="BQ116">
        <f t="shared" si="289"/>
        <v>1.6119620974277497E-2</v>
      </c>
      <c r="BR116">
        <f t="shared" si="290"/>
        <v>0.22405997885144496</v>
      </c>
      <c r="BS116">
        <f t="shared" si="291"/>
        <v>6.8426344356965763E-2</v>
      </c>
      <c r="BT116">
        <f t="shared" si="292"/>
        <v>0.15958133404111841</v>
      </c>
      <c r="BU116">
        <f t="shared" si="293"/>
        <v>1.6251804081353769E-2</v>
      </c>
      <c r="BV116">
        <f t="shared" si="294"/>
        <v>717.2535163616775</v>
      </c>
      <c r="BW116" s="207">
        <f t="shared" si="295"/>
        <v>236.9379786061952</v>
      </c>
      <c r="BX116">
        <f t="shared" si="296"/>
        <v>0.55649302478165219</v>
      </c>
      <c r="BY116" s="575">
        <f t="shared" si="297"/>
        <v>29.642564002611778</v>
      </c>
      <c r="BZ116">
        <f t="shared" si="298"/>
        <v>707.37266169414022</v>
      </c>
      <c r="CA116" s="207">
        <f t="shared" si="299"/>
        <v>240.20202636395811</v>
      </c>
      <c r="CB116">
        <f t="shared" si="300"/>
        <v>0.55409904106249275</v>
      </c>
      <c r="CC116">
        <f t="shared" si="301"/>
        <v>305.66170806114883</v>
      </c>
      <c r="CD116">
        <f t="shared" si="302"/>
        <v>605.48542567375728</v>
      </c>
      <c r="CE116" s="207">
        <f t="shared" si="303"/>
        <v>273.85952011999944</v>
      </c>
      <c r="CF116">
        <f t="shared" si="304"/>
        <v>0.52941328335933302</v>
      </c>
      <c r="CG116">
        <f t="shared" si="305"/>
        <v>191.24679552875571</v>
      </c>
      <c r="CH116">
        <f t="shared" si="306"/>
        <v>541.73649383083875</v>
      </c>
      <c r="CI116" s="207">
        <f t="shared" ref="CI116" si="344" xml:space="preserve"> ($BQ$38-CH116*($BP116+$BR116+$BQ116+$BN116))/($BP116+$BR116+$BQ116+$BO116)</f>
        <v>294.91838243939821</v>
      </c>
      <c r="CJ116">
        <f t="shared" si="308"/>
        <v>0.51396786794935267</v>
      </c>
      <c r="CK116">
        <f t="shared" si="309"/>
        <v>124.77617039125124</v>
      </c>
      <c r="CL116">
        <f t="shared" si="310"/>
        <v>500.14443703375503</v>
      </c>
      <c r="CM116" s="207">
        <f t="shared" ref="CM116" si="345" xml:space="preserve"> ($BQ$38-CL116*($BP116+$BR116+$BQ116+$BN116))/($BP116+$BR116+$BQ116+$BO116)</f>
        <v>308.6579286929516</v>
      </c>
      <c r="CN116">
        <f t="shared" si="312"/>
        <v>0.50389073290700581</v>
      </c>
      <c r="CO116">
        <f t="shared" si="313"/>
        <v>83.531455407068151</v>
      </c>
      <c r="CP116">
        <f t="shared" si="314"/>
        <v>472.3006185647323</v>
      </c>
      <c r="CQ116" s="207">
        <f t="shared" ref="CQ116" si="346" xml:space="preserve"> ($BQ$38-CP116*($BP116+$BR116+$BQ116+$BN116))/($BP116+$BR116+$BQ116+$BO116)</f>
        <v>317.85587323310972</v>
      </c>
      <c r="CR116">
        <f t="shared" si="316"/>
        <v>0.49714459096514807</v>
      </c>
      <c r="CS116">
        <f t="shared" si="317"/>
        <v>56.857013589500681</v>
      </c>
      <c r="CT116">
        <f t="shared" si="318"/>
        <v>453.34828070156539</v>
      </c>
      <c r="CU116" s="636">
        <f t="shared" si="319"/>
        <v>324.11660046654174</v>
      </c>
      <c r="CV116" s="575">
        <f t="shared" si="320"/>
        <v>0.49255272216320156</v>
      </c>
      <c r="CW116">
        <f t="shared" si="321"/>
        <v>39.130394162292525</v>
      </c>
      <c r="CX116" s="576">
        <f t="shared" si="322"/>
        <v>0.3459218085511101</v>
      </c>
    </row>
    <row r="117" spans="1:102" x14ac:dyDescent="0.25">
      <c r="A117" s="186">
        <v>73</v>
      </c>
      <c r="B117" s="187">
        <f>A117/100*'Inputs-Imperial'!$E$5</f>
        <v>7.1850396000000005</v>
      </c>
      <c r="C117" s="188">
        <f>'Inputs-Imperial'!$E$10+('Inputs-Imperial'!$E$9-'Inputs-Imperial'!$E$10)*(100-A117)/100</f>
        <v>1.41404204</v>
      </c>
      <c r="D117" s="187">
        <f t="shared" si="323"/>
        <v>9.8425200000000324E-2</v>
      </c>
      <c r="E117" s="188">
        <f t="shared" si="324"/>
        <v>0.13966174659516045</v>
      </c>
      <c r="F117" s="423">
        <f>Sizing!F133</f>
        <v>22.543857132782382</v>
      </c>
      <c r="G117" s="423">
        <f>Sizing!G133</f>
        <v>225.43857132782387</v>
      </c>
      <c r="H117" s="423">
        <f>Sizing!H133</f>
        <v>279.8637217787811</v>
      </c>
      <c r="I117" s="423">
        <f>Sizing!I133</f>
        <v>-143.00341685487268</v>
      </c>
      <c r="J117" s="189">
        <f>Sizing!J133</f>
        <v>27.986372177878106</v>
      </c>
      <c r="K117" s="128">
        <v>73</v>
      </c>
      <c r="L117" s="12">
        <f t="shared" si="265"/>
        <v>86.22047520000001</v>
      </c>
      <c r="M117" s="11">
        <f t="shared" si="265"/>
        <v>16.96850448</v>
      </c>
      <c r="N117" s="11">
        <f t="shared" si="265"/>
        <v>1.1811024000000039</v>
      </c>
      <c r="O117" s="152">
        <f t="shared" si="325"/>
        <v>20.111291509703104</v>
      </c>
      <c r="P117" s="170">
        <f t="shared" si="260"/>
        <v>3.0543308063999999</v>
      </c>
      <c r="Q117" s="8">
        <f t="shared" si="261"/>
        <v>1.5271654031999999</v>
      </c>
      <c r="R117" s="170">
        <f>Sizing!X133</f>
        <v>4.24212612</v>
      </c>
      <c r="S117" s="8">
        <f>Sizing!Y133</f>
        <v>12.72637836</v>
      </c>
      <c r="T117" s="8">
        <f>Sizing!Z133</f>
        <v>8.48425224</v>
      </c>
      <c r="U117" s="17">
        <f>Sizing!CN133</f>
        <v>0.25</v>
      </c>
      <c r="V117" s="17">
        <f>Sizing!CO133</f>
        <v>2.3622047244094495E-2</v>
      </c>
      <c r="W117" s="17">
        <f>Sizing!CP133</f>
        <v>1.5748031496062995E-2</v>
      </c>
      <c r="X117" s="170">
        <f>Sizing!DU133</f>
        <v>3.7417273971028842E-2</v>
      </c>
      <c r="Y117" s="170">
        <f>Sizing!DV133</f>
        <v>0.19343545169132995</v>
      </c>
      <c r="Z117" s="170">
        <f>Sizing!DW133</f>
        <v>3.7417273971028842E-2</v>
      </c>
      <c r="AA117" s="272">
        <f>Sizing!DX133</f>
        <v>0.19343545169132995</v>
      </c>
      <c r="AB117" s="272">
        <f t="shared" si="266"/>
        <v>2.2821551972283549</v>
      </c>
      <c r="AC117" s="216">
        <f>Sizing!GJ133</f>
        <v>0.25</v>
      </c>
      <c r="AD117" s="216">
        <f>Sizing!GK133</f>
        <v>1.5748031496062995E-2</v>
      </c>
      <c r="AE117" s="17">
        <f>Sizing!GL133</f>
        <v>1.5748031496062995E-2</v>
      </c>
      <c r="AF117" s="170">
        <f>Sizing!JC133</f>
        <v>6.3172897578446421E-4</v>
      </c>
      <c r="AG117" s="272">
        <f>Sizing!JD133</f>
        <v>2.5134219219710489E-2</v>
      </c>
      <c r="AH117" s="170">
        <f>Sizing!JC133</f>
        <v>6.3172897578446421E-4</v>
      </c>
      <c r="AI117" s="272">
        <f>Sizing!JD133</f>
        <v>2.5134219219710489E-2</v>
      </c>
      <c r="AJ117" s="216">
        <f>Sizing!IT133</f>
        <v>0.25</v>
      </c>
      <c r="AK117" s="216">
        <f>Sizing!IU133</f>
        <v>1.5748031496062995E-2</v>
      </c>
      <c r="AL117" s="17">
        <f>Sizing!IV133</f>
        <v>1.5748031496062995E-2</v>
      </c>
      <c r="AM117" s="170">
        <f t="shared" si="267"/>
        <v>0</v>
      </c>
      <c r="AN117" s="11">
        <f t="shared" si="268"/>
        <v>4.8719464132266709E-2</v>
      </c>
      <c r="AO117" s="11">
        <f t="shared" si="269"/>
        <v>4.8719464132266709E-2</v>
      </c>
      <c r="AP117" s="11">
        <f t="shared" si="270"/>
        <v>9.7438928264533417E-2</v>
      </c>
      <c r="AQ117" s="555">
        <f t="shared" si="271"/>
        <v>1554558.2005394537</v>
      </c>
      <c r="AR117" s="311">
        <f t="shared" si="272"/>
        <v>4.3829904676246771</v>
      </c>
      <c r="AS117" s="11">
        <f t="shared" si="273"/>
        <v>1.4849243061689479E-3</v>
      </c>
      <c r="AT117" s="11">
        <f t="shared" si="274"/>
        <v>8.795198846335589E-2</v>
      </c>
      <c r="AU117" s="11">
        <f t="shared" si="275"/>
        <v>8.943691276952484E-2</v>
      </c>
      <c r="AV117" s="555">
        <f t="shared" si="276"/>
        <v>1426892.6049692978</v>
      </c>
      <c r="AW117" s="138">
        <f t="shared" si="277"/>
        <v>3.9370078740157494E-2</v>
      </c>
      <c r="AX117" s="138">
        <f t="shared" si="278"/>
        <v>3.1496062992125991E-2</v>
      </c>
      <c r="AY117" s="554">
        <f t="shared" si="279"/>
        <v>3.1496062992125991E-2</v>
      </c>
      <c r="AZ117" s="12">
        <f t="shared" si="280"/>
        <v>122.11549551560778</v>
      </c>
      <c r="BA117" s="11">
        <f t="shared" si="281"/>
        <v>54.34718966107404</v>
      </c>
      <c r="BB117">
        <f t="shared" si="282"/>
        <v>43.210643661713398</v>
      </c>
      <c r="BC117" s="555">
        <f t="shared" si="283"/>
        <v>162946818.7205973</v>
      </c>
      <c r="BD117">
        <f t="shared" si="284"/>
        <v>73</v>
      </c>
      <c r="BE117" s="207">
        <f t="shared" si="285"/>
        <v>1.41404204</v>
      </c>
      <c r="BF117" s="207">
        <f>'Inputs-Imperial'!$E$15*BE117</f>
        <v>1.06053153</v>
      </c>
      <c r="BG117" s="207">
        <f>'Inputs-Imperial'!$E$12*BE117</f>
        <v>0.35351051</v>
      </c>
      <c r="BH117">
        <f>'Inputs-Imperial'!$E$11*BE117</f>
        <v>0.25452756719999997</v>
      </c>
      <c r="BI117">
        <f t="shared" si="286"/>
        <v>0.26996725314905196</v>
      </c>
      <c r="BJ117">
        <f>'Weight '!U119+'Weight '!V119 /12</f>
        <v>2.4934383202099744E-2</v>
      </c>
      <c r="BK117">
        <f>('Weight '!AK119+'Weight '!AL119)/12</f>
        <v>2.6246719160104991E-3</v>
      </c>
      <c r="BL117">
        <f>'Weight '!AG119/12</f>
        <v>1.6119620974277497E-2</v>
      </c>
      <c r="BM117">
        <f>'Weight '!AI119/12</f>
        <v>1.6119620974277497E-2</v>
      </c>
      <c r="BN117" s="554">
        <f t="shared" si="287"/>
        <v>0.43543045557080334</v>
      </c>
      <c r="BO117" s="554">
        <f t="shared" si="288"/>
        <v>1.8434691629889863</v>
      </c>
      <c r="BP117">
        <f t="shared" si="289"/>
        <v>1.6119620974277497E-2</v>
      </c>
      <c r="BQ117">
        <f t="shared" si="289"/>
        <v>1.6119620974277497E-2</v>
      </c>
      <c r="BR117">
        <f t="shared" si="290"/>
        <v>0.22228832525144498</v>
      </c>
      <c r="BS117">
        <f t="shared" si="291"/>
        <v>6.748362756744844E-2</v>
      </c>
      <c r="BT117">
        <f t="shared" si="292"/>
        <v>0.15738276557588923</v>
      </c>
      <c r="BU117">
        <f t="shared" si="293"/>
        <v>1.5807083257625466E-2</v>
      </c>
      <c r="BV117">
        <f t="shared" si="294"/>
        <v>724.68176830823609</v>
      </c>
      <c r="BW117" s="207">
        <f t="shared" si="295"/>
        <v>238.32258306473162</v>
      </c>
      <c r="BX117">
        <f t="shared" si="296"/>
        <v>0.5530583396710318</v>
      </c>
      <c r="BY117" s="575">
        <f t="shared" si="297"/>
        <v>30.37251786201324</v>
      </c>
      <c r="BZ117">
        <f t="shared" si="298"/>
        <v>714.55759568756503</v>
      </c>
      <c r="CA117" s="207">
        <f t="shared" si="299"/>
        <v>241.65207067690693</v>
      </c>
      <c r="CB117">
        <f t="shared" si="300"/>
        <v>0.55064389994519836</v>
      </c>
      <c r="CC117">
        <f t="shared" si="301"/>
        <v>307.75115776930124</v>
      </c>
      <c r="CD117">
        <f t="shared" si="302"/>
        <v>611.97387643113132</v>
      </c>
      <c r="CE117" s="207">
        <f t="shared" si="303"/>
        <v>275.3882815528259</v>
      </c>
      <c r="CF117">
        <f t="shared" si="304"/>
        <v>0.52617946060022158</v>
      </c>
      <c r="CG117">
        <f t="shared" si="305"/>
        <v>193.30948575251861</v>
      </c>
      <c r="CH117">
        <f t="shared" si="306"/>
        <v>547.53738118029173</v>
      </c>
      <c r="CI117" s="207">
        <f t="shared" ref="CI117" si="347" xml:space="preserve"> ($BQ$38-CH117*($BP117+$BR117+$BQ117+$BN117))/($BP117+$BR117+$BQ117+$BO117)</f>
        <v>296.5791996404555</v>
      </c>
      <c r="CJ117">
        <f t="shared" si="308"/>
        <v>0.51081247311825639</v>
      </c>
      <c r="CK117">
        <f t="shared" si="309"/>
        <v>126.55778225683537</v>
      </c>
      <c r="CL117">
        <f t="shared" si="310"/>
        <v>505.35145376134659</v>
      </c>
      <c r="CM117" s="207">
        <f t="shared" ref="CM117" si="348" xml:space="preserve"> ($BQ$38-CL117*($BP117+$BR117+$BQ117+$BN117))/($BP117+$BR117+$BQ117+$BO117)</f>
        <v>310.45268125837305</v>
      </c>
      <c r="CN117">
        <f t="shared" si="312"/>
        <v>0.50075186047881315</v>
      </c>
      <c r="CO117">
        <f t="shared" si="313"/>
        <v>85.001484997922859</v>
      </c>
      <c r="CP117">
        <f t="shared" si="314"/>
        <v>477.01762542870563</v>
      </c>
      <c r="CQ117" s="207">
        <f t="shared" ref="CQ117" si="349" xml:space="preserve"> ($BQ$38-CP117*($BP117+$BR117+$BQ117+$BN117))/($BP117+$BR117+$BQ117+$BO117)</f>
        <v>319.77069014399956</v>
      </c>
      <c r="CR117">
        <f t="shared" si="316"/>
        <v>0.493994733425132</v>
      </c>
      <c r="CS117">
        <f t="shared" si="317"/>
        <v>58.043564440002775</v>
      </c>
      <c r="CT117">
        <f t="shared" si="318"/>
        <v>457.66977061537136</v>
      </c>
      <c r="CU117" s="636">
        <f t="shared" si="319"/>
        <v>326.13352544291934</v>
      </c>
      <c r="CV117" s="575">
        <f t="shared" si="320"/>
        <v>0.48938060533573202</v>
      </c>
      <c r="CW117">
        <f t="shared" si="321"/>
        <v>40.075271900427538</v>
      </c>
      <c r="CX117" s="576">
        <f t="shared" si="322"/>
        <v>0.34608631956637725</v>
      </c>
    </row>
    <row r="118" spans="1:102" x14ac:dyDescent="0.25">
      <c r="A118" s="186">
        <v>74</v>
      </c>
      <c r="B118" s="187">
        <f>A118/100*'Inputs-Imperial'!$E$5</f>
        <v>7.2834648</v>
      </c>
      <c r="C118" s="188">
        <f>'Inputs-Imperial'!$E$10+('Inputs-Imperial'!$E$9-'Inputs-Imperial'!$E$10)*(100-A118)/100</f>
        <v>1.4041995199999999</v>
      </c>
      <c r="D118" s="187">
        <f t="shared" si="323"/>
        <v>9.8425199999999435E-2</v>
      </c>
      <c r="E118" s="188">
        <f t="shared" si="324"/>
        <v>0.13869299459565518</v>
      </c>
      <c r="F118" s="423">
        <f>Sizing!F134</f>
        <v>21.499913995262073</v>
      </c>
      <c r="G118" s="423">
        <f>Sizing!G134</f>
        <v>214.99913995262079</v>
      </c>
      <c r="H118" s="423">
        <f>Sizing!H134</f>
        <v>257.67488530812591</v>
      </c>
      <c r="I118" s="423">
        <f>Sizing!I134</f>
        <v>-134.93910728858077</v>
      </c>
      <c r="J118" s="189">
        <f>Sizing!J134</f>
        <v>25.767488530812585</v>
      </c>
      <c r="K118" s="128">
        <v>74</v>
      </c>
      <c r="L118" s="12">
        <f t="shared" si="265"/>
        <v>87.401577599999996</v>
      </c>
      <c r="M118" s="11">
        <f t="shared" si="265"/>
        <v>16.85039424</v>
      </c>
      <c r="N118" s="11">
        <f t="shared" si="265"/>
        <v>1.1811023999999932</v>
      </c>
      <c r="O118" s="152">
        <f t="shared" si="325"/>
        <v>19.971791221774346</v>
      </c>
      <c r="P118" s="170">
        <f t="shared" si="260"/>
        <v>3.0330709631999997</v>
      </c>
      <c r="Q118" s="8">
        <f t="shared" si="261"/>
        <v>1.5165354815999998</v>
      </c>
      <c r="R118" s="170">
        <f>Sizing!X134</f>
        <v>4.21259856</v>
      </c>
      <c r="S118" s="8">
        <f>Sizing!Y134</f>
        <v>12.63779568</v>
      </c>
      <c r="T118" s="8">
        <f>Sizing!Z134</f>
        <v>8.42519712</v>
      </c>
      <c r="U118" s="17">
        <f>Sizing!CN134</f>
        <v>0.25</v>
      </c>
      <c r="V118" s="17">
        <f>Sizing!CO134</f>
        <v>2.3622047244094495E-2</v>
      </c>
      <c r="W118" s="17">
        <f>Sizing!CP134</f>
        <v>1.5748031496062995E-2</v>
      </c>
      <c r="X118" s="170">
        <f>Sizing!DU134</f>
        <v>3.7417273971028842E-2</v>
      </c>
      <c r="Y118" s="170">
        <f>Sizing!DV134</f>
        <v>0.19343545169132995</v>
      </c>
      <c r="Z118" s="170">
        <f>Sizing!DW134</f>
        <v>3.7417273971028842E-2</v>
      </c>
      <c r="AA118" s="272">
        <f>Sizing!DX134</f>
        <v>0.19343545169132995</v>
      </c>
      <c r="AB118" s="272">
        <f t="shared" si="266"/>
        <v>2.2608953540283547</v>
      </c>
      <c r="AC118" s="216">
        <f>Sizing!GJ134</f>
        <v>0.25</v>
      </c>
      <c r="AD118" s="216">
        <f>Sizing!GK134</f>
        <v>1.5748031496062995E-2</v>
      </c>
      <c r="AE118" s="17">
        <f>Sizing!GL134</f>
        <v>1.5748031496062995E-2</v>
      </c>
      <c r="AF118" s="170">
        <f>Sizing!JC134</f>
        <v>6.3172897578446421E-4</v>
      </c>
      <c r="AG118" s="272">
        <f>Sizing!JD134</f>
        <v>2.5134219219710489E-2</v>
      </c>
      <c r="AH118" s="170">
        <f>Sizing!JC134</f>
        <v>6.3172897578446421E-4</v>
      </c>
      <c r="AI118" s="272">
        <f>Sizing!JD134</f>
        <v>2.5134219219710489E-2</v>
      </c>
      <c r="AJ118" s="216">
        <f>Sizing!IT134</f>
        <v>0.25</v>
      </c>
      <c r="AK118" s="216">
        <f>Sizing!IU134</f>
        <v>1.5748031496062995E-2</v>
      </c>
      <c r="AL118" s="17">
        <f>Sizing!IV134</f>
        <v>1.5748031496062995E-2</v>
      </c>
      <c r="AM118" s="170">
        <f t="shared" si="267"/>
        <v>0</v>
      </c>
      <c r="AN118" s="11">
        <f t="shared" si="268"/>
        <v>4.7815981561466214E-2</v>
      </c>
      <c r="AO118" s="11">
        <f t="shared" si="269"/>
        <v>4.7815981561466214E-2</v>
      </c>
      <c r="AP118" s="11">
        <f t="shared" si="270"/>
        <v>9.5631963122932429E-2</v>
      </c>
      <c r="AQ118" s="555">
        <f t="shared" si="271"/>
        <v>1525729.5534166261</v>
      </c>
      <c r="AR118" s="311">
        <f t="shared" si="272"/>
        <v>4.3524824133256645</v>
      </c>
      <c r="AS118" s="11">
        <f t="shared" si="273"/>
        <v>1.4643244497028385E-3</v>
      </c>
      <c r="AT118" s="11">
        <f t="shared" si="274"/>
        <v>8.6731860049587342E-2</v>
      </c>
      <c r="AU118" s="11">
        <f t="shared" si="275"/>
        <v>8.8196184499290176E-2</v>
      </c>
      <c r="AV118" s="555">
        <f t="shared" si="276"/>
        <v>1407097.8028148853</v>
      </c>
      <c r="AW118" s="138">
        <f t="shared" si="277"/>
        <v>3.9370078740157494E-2</v>
      </c>
      <c r="AX118" s="138">
        <f t="shared" si="278"/>
        <v>3.1496062992125991E-2</v>
      </c>
      <c r="AY118" s="554">
        <f t="shared" si="279"/>
        <v>3.1496062992125991E-2</v>
      </c>
      <c r="AZ118" s="12">
        <f t="shared" si="280"/>
        <v>120.42142823591115</v>
      </c>
      <c r="BA118" s="11">
        <f t="shared" si="281"/>
        <v>53.968902958096741</v>
      </c>
      <c r="BB118">
        <f t="shared" si="282"/>
        <v>42.314599248105601</v>
      </c>
      <c r="BC118" s="555">
        <f t="shared" si="283"/>
        <v>159567845.98941526</v>
      </c>
      <c r="BD118">
        <f t="shared" si="284"/>
        <v>74</v>
      </c>
      <c r="BE118" s="207">
        <f t="shared" si="285"/>
        <v>1.4041995199999999</v>
      </c>
      <c r="BF118" s="207">
        <f>'Inputs-Imperial'!$E$15*BE118</f>
        <v>1.05314964</v>
      </c>
      <c r="BG118" s="207">
        <f>'Inputs-Imperial'!$E$12*BE118</f>
        <v>0.35104987999999998</v>
      </c>
      <c r="BH118">
        <f>'Inputs-Imperial'!$E$11*BE118</f>
        <v>0.25275591359999999</v>
      </c>
      <c r="BI118">
        <f t="shared" si="286"/>
        <v>0.26808813073734167</v>
      </c>
      <c r="BJ118">
        <f>'Weight '!U120+'Weight '!V120 /12</f>
        <v>2.4934383202099744E-2</v>
      </c>
      <c r="BK118">
        <f>('Weight '!AK120+'Weight '!AL120)/12</f>
        <v>2.6246719160104991E-3</v>
      </c>
      <c r="BL118">
        <f>'Weight '!AG120/12</f>
        <v>1.6119620974277497E-2</v>
      </c>
      <c r="BM118">
        <f>'Weight '!AI120/12</f>
        <v>1.6119620974277497E-2</v>
      </c>
      <c r="BN118" s="554">
        <f t="shared" si="287"/>
        <v>0.43007779185473655</v>
      </c>
      <c r="BO118" s="554">
        <f t="shared" si="288"/>
        <v>1.8329594163670502</v>
      </c>
      <c r="BP118">
        <f t="shared" si="289"/>
        <v>1.6119620974277497E-2</v>
      </c>
      <c r="BQ118">
        <f t="shared" si="289"/>
        <v>1.6119620974277497E-2</v>
      </c>
      <c r="BR118">
        <f t="shared" si="290"/>
        <v>0.22051667165144501</v>
      </c>
      <c r="BS118">
        <f t="shared" si="291"/>
        <v>6.654744985392777E-2</v>
      </c>
      <c r="BT118">
        <f t="shared" si="292"/>
        <v>0.15519944729654611</v>
      </c>
      <c r="BU118">
        <f t="shared" si="293"/>
        <v>1.5371552623317958E-2</v>
      </c>
      <c r="BV118">
        <f t="shared" si="294"/>
        <v>732.24270566289999</v>
      </c>
      <c r="BW118" s="207">
        <f t="shared" si="295"/>
        <v>239.72590737389791</v>
      </c>
      <c r="BX118">
        <f t="shared" si="296"/>
        <v>0.54962193281782856</v>
      </c>
      <c r="BY118" s="575">
        <f t="shared" si="297"/>
        <v>31.109557608394255</v>
      </c>
      <c r="BZ118">
        <f t="shared" si="298"/>
        <v>721.87285312676863</v>
      </c>
      <c r="CA118" s="207">
        <f t="shared" si="299"/>
        <v>243.12085045674789</v>
      </c>
      <c r="CB118">
        <f t="shared" si="300"/>
        <v>0.5471879717544238</v>
      </c>
      <c r="CC118">
        <f t="shared" si="301"/>
        <v>309.86987114958606</v>
      </c>
      <c r="CD118">
        <f t="shared" si="302"/>
        <v>618.58289607690665</v>
      </c>
      <c r="CE118" s="207">
        <f t="shared" si="303"/>
        <v>276.93652179754019</v>
      </c>
      <c r="CF118">
        <f t="shared" si="304"/>
        <v>0.52294425827593849</v>
      </c>
      <c r="CG118">
        <f t="shared" si="305"/>
        <v>195.3999243840326</v>
      </c>
      <c r="CH118">
        <f t="shared" si="306"/>
        <v>553.44958794889578</v>
      </c>
      <c r="CI118" s="207">
        <f t="shared" ref="CI118" si="350" xml:space="preserve"> ($BQ$38-CH118*($BP118+$BR118+$BQ118+$BN118))/($BP118+$BR118+$BQ118+$BO118)</f>
        <v>298.26024584490449</v>
      </c>
      <c r="CJ118">
        <f t="shared" si="308"/>
        <v>0.50765648679009001</v>
      </c>
      <c r="CK118">
        <f t="shared" si="309"/>
        <v>128.36629243206596</v>
      </c>
      <c r="CL118">
        <f t="shared" si="310"/>
        <v>510.66082380487381</v>
      </c>
      <c r="CM118" s="207">
        <f t="shared" ref="CM118" si="351" xml:space="preserve"> ($BQ$38-CL118*($BP118+$BR118+$BQ118+$BN118))/($BP118+$BR118+$BQ118+$BO118)</f>
        <v>312.26868216049354</v>
      </c>
      <c r="CN118">
        <f t="shared" si="312"/>
        <v>0.49761331737038172</v>
      </c>
      <c r="CO118">
        <f t="shared" si="313"/>
        <v>86.496886279068718</v>
      </c>
      <c r="CP118">
        <f t="shared" si="314"/>
        <v>481.8285283785176</v>
      </c>
      <c r="CQ118" s="207">
        <f t="shared" ref="CQ118" si="352" xml:space="preserve"> ($BQ$38-CP118*($BP118+$BR118+$BQ118+$BN118))/($BP118+$BR118+$BQ118+$BO118)</f>
        <v>321.70796797283668</v>
      </c>
      <c r="CR118">
        <f t="shared" si="316"/>
        <v>0.49084594202036402</v>
      </c>
      <c r="CS118">
        <f t="shared" si="317"/>
        <v>59.253453798157814</v>
      </c>
      <c r="CT118">
        <f t="shared" si="318"/>
        <v>462.077377112465</v>
      </c>
      <c r="CU118" s="636">
        <f t="shared" si="319"/>
        <v>328.1742156012744</v>
      </c>
      <c r="CV118" s="575">
        <f t="shared" si="320"/>
        <v>0.48621004840746179</v>
      </c>
      <c r="CW118">
        <f t="shared" si="321"/>
        <v>41.041185729759235</v>
      </c>
      <c r="CX118" s="576">
        <f t="shared" si="322"/>
        <v>0.3462542476922808</v>
      </c>
    </row>
    <row r="119" spans="1:102" x14ac:dyDescent="0.25">
      <c r="A119" s="186">
        <v>75</v>
      </c>
      <c r="B119" s="187">
        <f>A119/100*'Inputs-Imperial'!$E$5</f>
        <v>7.3818900000000003</v>
      </c>
      <c r="C119" s="188">
        <f>'Inputs-Imperial'!$E$10+('Inputs-Imperial'!$E$9-'Inputs-Imperial'!$E$10)*(100-A119)/100</f>
        <v>1.3943569999999998</v>
      </c>
      <c r="D119" s="187">
        <f t="shared" si="323"/>
        <v>9.8425200000000324E-2</v>
      </c>
      <c r="E119" s="188">
        <f t="shared" si="324"/>
        <v>0.13772424259615246</v>
      </c>
      <c r="F119" s="423">
        <f>Sizing!F135</f>
        <v>20.468100596559495</v>
      </c>
      <c r="G119" s="423">
        <f>Sizing!G135</f>
        <v>204.68100596559503</v>
      </c>
      <c r="H119" s="423">
        <f>Sizing!H135</f>
        <v>236.51355195846114</v>
      </c>
      <c r="I119" s="423">
        <f>Sizing!I135</f>
        <v>-127.06261965424724</v>
      </c>
      <c r="J119" s="189">
        <f>Sizing!J135</f>
        <v>23.651355195846111</v>
      </c>
      <c r="K119" s="128">
        <v>75</v>
      </c>
      <c r="L119" s="12">
        <f t="shared" si="265"/>
        <v>88.582680000000011</v>
      </c>
      <c r="M119" s="11">
        <f t="shared" si="265"/>
        <v>16.732284</v>
      </c>
      <c r="N119" s="11">
        <f t="shared" si="265"/>
        <v>1.1811024000000039</v>
      </c>
      <c r="O119" s="152">
        <f t="shared" si="325"/>
        <v>19.832290933845954</v>
      </c>
      <c r="P119" s="170">
        <f t="shared" si="260"/>
        <v>3.01181112</v>
      </c>
      <c r="Q119" s="8">
        <f t="shared" si="261"/>
        <v>1.50590556</v>
      </c>
      <c r="R119" s="170">
        <f>Sizing!X135</f>
        <v>4.183071</v>
      </c>
      <c r="S119" s="8">
        <f>Sizing!Y135</f>
        <v>12.549213</v>
      </c>
      <c r="T119" s="8">
        <f>Sizing!Z135</f>
        <v>8.366142</v>
      </c>
      <c r="U119" s="17">
        <f>Sizing!CN135</f>
        <v>0.25</v>
      </c>
      <c r="V119" s="17">
        <f>Sizing!CO135</f>
        <v>2.3622047244094495E-2</v>
      </c>
      <c r="W119" s="17">
        <f>Sizing!CP135</f>
        <v>1.5748031496062995E-2</v>
      </c>
      <c r="X119" s="170">
        <f>Sizing!DU135</f>
        <v>3.7417273971028842E-2</v>
      </c>
      <c r="Y119" s="170">
        <f>Sizing!DV135</f>
        <v>0.19343545169132995</v>
      </c>
      <c r="Z119" s="170">
        <f>Sizing!DW135</f>
        <v>3.7417273971028842E-2</v>
      </c>
      <c r="AA119" s="272">
        <f>Sizing!DX135</f>
        <v>0.19343545169132995</v>
      </c>
      <c r="AB119" s="272">
        <f t="shared" si="266"/>
        <v>2.2396355108283554</v>
      </c>
      <c r="AC119" s="216">
        <f>Sizing!GJ135</f>
        <v>0.25</v>
      </c>
      <c r="AD119" s="216">
        <f>Sizing!GK135</f>
        <v>1.5748031496062995E-2</v>
      </c>
      <c r="AE119" s="17">
        <f>Sizing!GL135</f>
        <v>1.5748031496062995E-2</v>
      </c>
      <c r="AF119" s="170">
        <f>Sizing!JC135</f>
        <v>6.3172897578446421E-4</v>
      </c>
      <c r="AG119" s="272">
        <f>Sizing!JD135</f>
        <v>2.5134219219710489E-2</v>
      </c>
      <c r="AH119" s="170">
        <f>Sizing!JC135</f>
        <v>6.3172897578446421E-4</v>
      </c>
      <c r="AI119" s="272">
        <f>Sizing!JD135</f>
        <v>2.5134219219710489E-2</v>
      </c>
      <c r="AJ119" s="216">
        <f>Sizing!IT135</f>
        <v>0.25</v>
      </c>
      <c r="AK119" s="216">
        <f>Sizing!IU135</f>
        <v>1.5748031496062995E-2</v>
      </c>
      <c r="AL119" s="17">
        <f>Sizing!IV135</f>
        <v>1.5748031496062995E-2</v>
      </c>
      <c r="AM119" s="170">
        <f t="shared" si="267"/>
        <v>0</v>
      </c>
      <c r="AN119" s="11">
        <f t="shared" si="268"/>
        <v>4.6920954937863545E-2</v>
      </c>
      <c r="AO119" s="11">
        <f t="shared" si="269"/>
        <v>4.6920954937863545E-2</v>
      </c>
      <c r="AP119" s="11">
        <f t="shared" si="270"/>
        <v>9.3841909875727089E-2</v>
      </c>
      <c r="AQ119" s="555">
        <f t="shared" si="271"/>
        <v>1497170.7217011277</v>
      </c>
      <c r="AR119" s="311">
        <f t="shared" si="272"/>
        <v>4.3219743590266537</v>
      </c>
      <c r="AS119" s="11">
        <f t="shared" si="273"/>
        <v>1.443868480476343E-3</v>
      </c>
      <c r="AT119" s="11">
        <f t="shared" si="274"/>
        <v>8.5520254069442261E-2</v>
      </c>
      <c r="AU119" s="11">
        <f t="shared" si="275"/>
        <v>8.6964122549918602E-2</v>
      </c>
      <c r="AV119" s="555">
        <f t="shared" si="276"/>
        <v>1387441.2647034603</v>
      </c>
      <c r="AW119" s="138">
        <f t="shared" si="277"/>
        <v>3.9370078740157494E-2</v>
      </c>
      <c r="AX119" s="138">
        <f t="shared" si="278"/>
        <v>3.1496062992125991E-2</v>
      </c>
      <c r="AY119" s="554">
        <f t="shared" si="279"/>
        <v>3.1496062992125991E-2</v>
      </c>
      <c r="AZ119" s="12">
        <f t="shared" si="280"/>
        <v>118.73919378936726</v>
      </c>
      <c r="BA119" s="11">
        <f t="shared" si="281"/>
        <v>53.590616255119421</v>
      </c>
      <c r="BB119">
        <f t="shared" si="282"/>
        <v>41.431028567790037</v>
      </c>
      <c r="BC119" s="555">
        <f t="shared" si="283"/>
        <v>156235911.55679342</v>
      </c>
      <c r="BD119">
        <f t="shared" si="284"/>
        <v>75</v>
      </c>
      <c r="BE119" s="207">
        <f t="shared" si="285"/>
        <v>1.3943569999999998</v>
      </c>
      <c r="BF119" s="207">
        <f>'Inputs-Imperial'!$E$15*BE119</f>
        <v>1.04576775</v>
      </c>
      <c r="BG119" s="207">
        <f>'Inputs-Imperial'!$E$12*BE119</f>
        <v>0.34858924999999996</v>
      </c>
      <c r="BH119">
        <f>'Inputs-Imperial'!$E$11*BE119</f>
        <v>0.25098425999999996</v>
      </c>
      <c r="BI119">
        <f t="shared" si="286"/>
        <v>0.26620900832563127</v>
      </c>
      <c r="BJ119">
        <f>'Weight '!U121+'Weight '!V121 /12</f>
        <v>2.4934383202099744E-2</v>
      </c>
      <c r="BK119">
        <f>('Weight '!AK121+'Weight '!AL121)/12</f>
        <v>2.6246719160104991E-3</v>
      </c>
      <c r="BL119">
        <f>'Weight '!AG121/12</f>
        <v>1.6119620974277497E-2</v>
      </c>
      <c r="BM119">
        <f>'Weight '!AI121/12</f>
        <v>1.6119620974277497E-2</v>
      </c>
      <c r="BN119" s="554">
        <f t="shared" si="287"/>
        <v>0.42474659944869531</v>
      </c>
      <c r="BO119" s="554">
        <f t="shared" si="288"/>
        <v>1.8224281984350883</v>
      </c>
      <c r="BP119">
        <f t="shared" si="289"/>
        <v>1.6119620974277497E-2</v>
      </c>
      <c r="BQ119">
        <f t="shared" si="289"/>
        <v>1.6119620974277497E-2</v>
      </c>
      <c r="BR119">
        <f t="shared" si="290"/>
        <v>0.21874501805144497</v>
      </c>
      <c r="BS119">
        <f t="shared" si="291"/>
        <v>6.5617811216403726E-2</v>
      </c>
      <c r="BT119">
        <f t="shared" si="292"/>
        <v>0.1530313792030889</v>
      </c>
      <c r="BU119">
        <f t="shared" si="293"/>
        <v>1.4945084687047687E-2</v>
      </c>
      <c r="BV119">
        <f t="shared" si="294"/>
        <v>739.93956766741746</v>
      </c>
      <c r="BW119" s="207">
        <f t="shared" si="295"/>
        <v>241.14835326945794</v>
      </c>
      <c r="BX119">
        <f t="shared" si="296"/>
        <v>0.54618377453873823</v>
      </c>
      <c r="BY119" s="575">
        <f t="shared" si="297"/>
        <v>31.853779950780506</v>
      </c>
      <c r="BZ119">
        <f t="shared" si="298"/>
        <v>729.32164101715728</v>
      </c>
      <c r="CA119" s="207">
        <f t="shared" si="299"/>
        <v>244.6087649553985</v>
      </c>
      <c r="CB119">
        <f t="shared" si="300"/>
        <v>0.54373122118002548</v>
      </c>
      <c r="CC119">
        <f t="shared" si="301"/>
        <v>312.01833800659028</v>
      </c>
      <c r="CD119">
        <f t="shared" si="302"/>
        <v>625.31552834829381</v>
      </c>
      <c r="CE119" s="207">
        <f t="shared" si="303"/>
        <v>278.50464496505805</v>
      </c>
      <c r="CF119">
        <f t="shared" si="304"/>
        <v>0.51970764771274935</v>
      </c>
      <c r="CG119">
        <f t="shared" si="305"/>
        <v>197.51862106210322</v>
      </c>
      <c r="CH119">
        <f t="shared" si="306"/>
        <v>559.47598799425941</v>
      </c>
      <c r="CI119" s="207">
        <f t="shared" ref="CI119" si="353" xml:space="preserve"> ($BQ$38-CH119*($BP119+$BR119+$BQ119+$BN119))/($BP119+$BR119+$BQ119+$BO119)</f>
        <v>299.9619334115244</v>
      </c>
      <c r="CJ119">
        <f t="shared" si="308"/>
        <v>0.50449987776385519</v>
      </c>
      <c r="CK119">
        <f t="shared" si="309"/>
        <v>130.20220605180612</v>
      </c>
      <c r="CL119">
        <f t="shared" si="310"/>
        <v>516.07525264365734</v>
      </c>
      <c r="CM119" s="207">
        <f t="shared" ref="CM119" si="354" xml:space="preserve"> ($BQ$38-CL119*($BP119+$BR119+$BQ119+$BN119))/($BP119+$BR119+$BQ119+$BO119)</f>
        <v>314.10635319633781</v>
      </c>
      <c r="CN119">
        <f t="shared" si="312"/>
        <v>0.49447507511068245</v>
      </c>
      <c r="CO119">
        <f t="shared" si="313"/>
        <v>88.018154809078894</v>
      </c>
      <c r="CP119">
        <f t="shared" si="314"/>
        <v>486.7358677072977</v>
      </c>
      <c r="CQ119" s="207">
        <f t="shared" ref="CQ119" si="355" xml:space="preserve"> ($BQ$38-CP119*($BP119+$BR119+$BQ119+$BN119))/($BP119+$BR119+$BQ119+$BO119)</f>
        <v>323.66813995906699</v>
      </c>
      <c r="CR119">
        <f t="shared" si="316"/>
        <v>0.48769819583487095</v>
      </c>
      <c r="CS119">
        <f t="shared" si="317"/>
        <v>60.487164032980559</v>
      </c>
      <c r="CT119">
        <f t="shared" si="318"/>
        <v>466.57347969630416</v>
      </c>
      <c r="CU119" s="636">
        <f t="shared" si="319"/>
        <v>330.23911802171915</v>
      </c>
      <c r="CV119" s="575">
        <f t="shared" si="320"/>
        <v>0.48304104062323466</v>
      </c>
      <c r="CW119">
        <f t="shared" si="321"/>
        <v>42.028601723358676</v>
      </c>
      <c r="CX119" s="576">
        <f t="shared" si="322"/>
        <v>0.34642565757781885</v>
      </c>
    </row>
    <row r="120" spans="1:102" x14ac:dyDescent="0.25">
      <c r="A120" s="186">
        <v>76</v>
      </c>
      <c r="B120" s="187">
        <f>A120/100*'Inputs-Imperial'!$E$5</f>
        <v>7.4803152000000006</v>
      </c>
      <c r="C120" s="188">
        <f>'Inputs-Imperial'!$E$10+('Inputs-Imperial'!$E$9-'Inputs-Imperial'!$E$10)*(100-A120)/100</f>
        <v>1.38451448</v>
      </c>
      <c r="D120" s="187">
        <f t="shared" si="323"/>
        <v>9.8425200000000324E-2</v>
      </c>
      <c r="E120" s="188">
        <f t="shared" si="324"/>
        <v>0.13675549059664843</v>
      </c>
      <c r="F120" s="423">
        <f>Sizing!F136</f>
        <v>19.44867720365205</v>
      </c>
      <c r="G120" s="423">
        <f>Sizing!G136</f>
        <v>194.48677203652056</v>
      </c>
      <c r="H120" s="423">
        <f>Sizing!H136</f>
        <v>216.36778301009619</v>
      </c>
      <c r="I120" s="423">
        <f>Sizing!I136</f>
        <v>-119.37572833397729</v>
      </c>
      <c r="J120" s="189">
        <f>Sizing!J136</f>
        <v>21.636778301009617</v>
      </c>
      <c r="K120" s="128">
        <v>76</v>
      </c>
      <c r="L120" s="12">
        <f t="shared" si="265"/>
        <v>89.763782400000011</v>
      </c>
      <c r="M120" s="11">
        <f t="shared" si="265"/>
        <v>16.61417376</v>
      </c>
      <c r="N120" s="11">
        <f t="shared" si="265"/>
        <v>1.1811024000000039</v>
      </c>
      <c r="O120" s="152">
        <f t="shared" si="325"/>
        <v>19.692790645917373</v>
      </c>
      <c r="P120" s="170">
        <f t="shared" si="260"/>
        <v>2.9905512767999998</v>
      </c>
      <c r="Q120" s="8">
        <f t="shared" si="261"/>
        <v>1.4952756383999999</v>
      </c>
      <c r="R120" s="170">
        <f>Sizing!X136</f>
        <v>4.15354344</v>
      </c>
      <c r="S120" s="8">
        <f>Sizing!Y136</f>
        <v>12.46063032</v>
      </c>
      <c r="T120" s="8">
        <f>Sizing!Z136</f>
        <v>8.30708688</v>
      </c>
      <c r="U120" s="17">
        <f>Sizing!CN136</f>
        <v>0.25</v>
      </c>
      <c r="V120" s="17">
        <f>Sizing!CO136</f>
        <v>2.3622047244094495E-2</v>
      </c>
      <c r="W120" s="17">
        <f>Sizing!CP136</f>
        <v>1.5748031496062995E-2</v>
      </c>
      <c r="X120" s="170">
        <f>Sizing!DU136</f>
        <v>3.7417273971028842E-2</v>
      </c>
      <c r="Y120" s="170">
        <f>Sizing!DV136</f>
        <v>0.19343545169132995</v>
      </c>
      <c r="Z120" s="170">
        <f>Sizing!DW136</f>
        <v>3.7417273971028842E-2</v>
      </c>
      <c r="AA120" s="272">
        <f>Sizing!DX136</f>
        <v>0.19343545169132995</v>
      </c>
      <c r="AB120" s="272">
        <f t="shared" si="266"/>
        <v>2.2183756676283553</v>
      </c>
      <c r="AC120" s="216">
        <f>Sizing!GJ136</f>
        <v>0.25</v>
      </c>
      <c r="AD120" s="216">
        <f>Sizing!GK136</f>
        <v>1.5748031496062995E-2</v>
      </c>
      <c r="AE120" s="17">
        <f>Sizing!GL136</f>
        <v>1.5748031496062995E-2</v>
      </c>
      <c r="AF120" s="170">
        <f>Sizing!JC136</f>
        <v>6.3172897578446421E-4</v>
      </c>
      <c r="AG120" s="272">
        <f>Sizing!JD136</f>
        <v>2.5134219219710489E-2</v>
      </c>
      <c r="AH120" s="170">
        <f>Sizing!JC136</f>
        <v>6.3172897578446421E-4</v>
      </c>
      <c r="AI120" s="272">
        <f>Sizing!JD136</f>
        <v>2.5134219219710489E-2</v>
      </c>
      <c r="AJ120" s="216">
        <f>Sizing!IT136</f>
        <v>0.25</v>
      </c>
      <c r="AK120" s="216">
        <f>Sizing!IU136</f>
        <v>1.5748031496062995E-2</v>
      </c>
      <c r="AL120" s="17">
        <f>Sizing!IV136</f>
        <v>1.5748031496062995E-2</v>
      </c>
      <c r="AM120" s="170">
        <f t="shared" si="267"/>
        <v>0</v>
      </c>
      <c r="AN120" s="11">
        <f t="shared" si="268"/>
        <v>4.6034384261458616E-2</v>
      </c>
      <c r="AO120" s="11">
        <f t="shared" si="269"/>
        <v>4.6034384261458616E-2</v>
      </c>
      <c r="AP120" s="11">
        <f t="shared" si="270"/>
        <v>9.2068768522917233E-2</v>
      </c>
      <c r="AQ120" s="555">
        <f t="shared" si="271"/>
        <v>1468881.7053929556</v>
      </c>
      <c r="AR120" s="311">
        <f t="shared" si="272"/>
        <v>4.2914663047276411</v>
      </c>
      <c r="AS120" s="11">
        <f t="shared" si="273"/>
        <v>1.4235563984893876E-3</v>
      </c>
      <c r="AT120" s="11">
        <f t="shared" si="274"/>
        <v>8.431717052292069E-2</v>
      </c>
      <c r="AU120" s="11">
        <f t="shared" si="275"/>
        <v>8.5740726921410076E-2</v>
      </c>
      <c r="AV120" s="555">
        <f t="shared" si="276"/>
        <v>1367922.9906350223</v>
      </c>
      <c r="AW120" s="138">
        <f t="shared" si="277"/>
        <v>3.9370078740157494E-2</v>
      </c>
      <c r="AX120" s="138">
        <f t="shared" si="278"/>
        <v>3.1496062992125991E-2</v>
      </c>
      <c r="AY120" s="554">
        <f t="shared" si="279"/>
        <v>3.1496062992125991E-2</v>
      </c>
      <c r="AZ120" s="12">
        <f t="shared" si="280"/>
        <v>117.06879217597609</v>
      </c>
      <c r="BA120" s="11">
        <f t="shared" si="281"/>
        <v>53.212329552142108</v>
      </c>
      <c r="BB120">
        <f t="shared" si="282"/>
        <v>40.559844188056658</v>
      </c>
      <c r="BC120" s="555">
        <f t="shared" si="283"/>
        <v>152950685.71503142</v>
      </c>
      <c r="BD120">
        <f t="shared" si="284"/>
        <v>76</v>
      </c>
      <c r="BE120" s="207">
        <f t="shared" si="285"/>
        <v>1.38451448</v>
      </c>
      <c r="BF120" s="207">
        <f>'Inputs-Imperial'!$E$15*BE120</f>
        <v>1.03838586</v>
      </c>
      <c r="BG120" s="207">
        <f>'Inputs-Imperial'!$E$12*BE120</f>
        <v>0.34612862</v>
      </c>
      <c r="BH120">
        <f>'Inputs-Imperial'!$E$11*BE120</f>
        <v>0.24921260639999998</v>
      </c>
      <c r="BI120">
        <f t="shared" si="286"/>
        <v>0.26432988591392098</v>
      </c>
      <c r="BJ120">
        <f>'Weight '!U122+'Weight '!V122 /12</f>
        <v>2.4934383202099744E-2</v>
      </c>
      <c r="BK120">
        <f>('Weight '!AK122+'Weight '!AL122)/12</f>
        <v>2.6246719160104991E-3</v>
      </c>
      <c r="BL120">
        <f>'Weight '!AG122/12</f>
        <v>1.6119620974277497E-2</v>
      </c>
      <c r="BM120">
        <f>'Weight '!AI122/12</f>
        <v>1.6119620974277497E-2</v>
      </c>
      <c r="BN120" s="554">
        <f t="shared" si="287"/>
        <v>0.41943710260039452</v>
      </c>
      <c r="BO120" s="554">
        <f t="shared" si="288"/>
        <v>1.8118752849453859</v>
      </c>
      <c r="BP120">
        <f t="shared" si="289"/>
        <v>1.6119620974277497E-2</v>
      </c>
      <c r="BQ120">
        <f t="shared" si="289"/>
        <v>1.6119620974277497E-2</v>
      </c>
      <c r="BR120">
        <f t="shared" si="290"/>
        <v>0.21697336445144499</v>
      </c>
      <c r="BS120">
        <f t="shared" si="291"/>
        <v>6.4694711654876377E-2</v>
      </c>
      <c r="BT120">
        <f t="shared" si="292"/>
        <v>0.15087856129551769</v>
      </c>
      <c r="BU120">
        <f t="shared" si="293"/>
        <v>1.4527552847941359E-2</v>
      </c>
      <c r="BV120">
        <f t="shared" si="294"/>
        <v>747.77569371484617</v>
      </c>
      <c r="BW120" s="207">
        <f t="shared" si="295"/>
        <v>242.59033401706245</v>
      </c>
      <c r="BX120">
        <f t="shared" si="296"/>
        <v>0.54274383461342735</v>
      </c>
      <c r="BY120" s="575">
        <f t="shared" si="297"/>
        <v>32.605283392266841</v>
      </c>
      <c r="BZ120">
        <f t="shared" si="298"/>
        <v>736.90726591742384</v>
      </c>
      <c r="CA120" s="207">
        <f t="shared" si="299"/>
        <v>246.1162249383344</v>
      </c>
      <c r="CB120">
        <f t="shared" si="300"/>
        <v>0.54027361230946225</v>
      </c>
      <c r="CC120">
        <f t="shared" si="301"/>
        <v>314.19705879943876</v>
      </c>
      <c r="CD120">
        <f t="shared" si="302"/>
        <v>632.17491298427763</v>
      </c>
      <c r="CE120" s="207">
        <f t="shared" si="303"/>
        <v>280.0930667827464</v>
      </c>
      <c r="CF120">
        <f t="shared" si="304"/>
        <v>0.51646959953186855</v>
      </c>
      <c r="CG120">
        <f t="shared" si="305"/>
        <v>199.66609685121023</v>
      </c>
      <c r="CH120">
        <f t="shared" si="306"/>
        <v>565.61954736720759</v>
      </c>
      <c r="CI120" s="207">
        <f t="shared" ref="CI120" si="356" xml:space="preserve"> ($BQ$38-CH120*($BP120+$BR120+$BQ120+$BN120))/($BP120+$BR120+$BQ120+$BO120)</f>
        <v>301.68468645075569</v>
      </c>
      <c r="CJ120">
        <f t="shared" si="308"/>
        <v>0.50134261413340764</v>
      </c>
      <c r="CK120">
        <f t="shared" si="309"/>
        <v>132.06604013652509</v>
      </c>
      <c r="CL120">
        <f t="shared" si="310"/>
        <v>521.59753398836585</v>
      </c>
      <c r="CM120" s="207">
        <f t="shared" ref="CM120" si="357" xml:space="preserve"> ($BQ$38-CL120*($BP120+$BR120+$BQ120+$BN120))/($BP120+$BR120+$BQ120+$BO120)</f>
        <v>315.96612809085957</v>
      </c>
      <c r="CN120">
        <f t="shared" si="312"/>
        <v>0.4913371044736155</v>
      </c>
      <c r="CO120">
        <f t="shared" si="313"/>
        <v>89.565798116394859</v>
      </c>
      <c r="CP120">
        <f t="shared" si="314"/>
        <v>491.74226794956758</v>
      </c>
      <c r="CQ120" s="207">
        <f t="shared" ref="CQ120" si="358" xml:space="preserve"> ($BQ$38-CP120*($BP120+$BR120+$BQ120+$BN120))/($BP120+$BR120+$BQ120+$BO120)</f>
        <v>325.65165146557661</v>
      </c>
      <c r="CR120">
        <f t="shared" si="316"/>
        <v>0.48455147315375335</v>
      </c>
      <c r="CS120">
        <f t="shared" si="317"/>
        <v>61.745189354954285</v>
      </c>
      <c r="CT120">
        <f t="shared" si="318"/>
        <v>471.16053816458282</v>
      </c>
      <c r="CU120" s="636">
        <f t="shared" si="319"/>
        <v>332.32869211446985</v>
      </c>
      <c r="CV120" s="575">
        <f t="shared" si="320"/>
        <v>0.4798735704325236</v>
      </c>
      <c r="CW120">
        <f t="shared" si="321"/>
        <v>43.037997580765605</v>
      </c>
      <c r="CX120" s="576">
        <f t="shared" si="322"/>
        <v>0.3466006151358732</v>
      </c>
    </row>
    <row r="121" spans="1:102" x14ac:dyDescent="0.25">
      <c r="A121" s="186">
        <v>77</v>
      </c>
      <c r="B121" s="187">
        <f>A121/100*'Inputs-Imperial'!$E$5</f>
        <v>7.5787404</v>
      </c>
      <c r="C121" s="188">
        <f>'Inputs-Imperial'!$E$10+('Inputs-Imperial'!$E$9-'Inputs-Imperial'!$E$10)*(100-A121)/100</f>
        <v>1.3746719599999999</v>
      </c>
      <c r="D121" s="187">
        <f t="shared" si="323"/>
        <v>9.8425199999999435E-2</v>
      </c>
      <c r="E121" s="188">
        <f t="shared" si="324"/>
        <v>0.13578673859714321</v>
      </c>
      <c r="F121" s="423">
        <f>Sizing!F137</f>
        <v>18.441917846423927</v>
      </c>
      <c r="G121" s="423">
        <f>Sizing!G137</f>
        <v>184.41917846423934</v>
      </c>
      <c r="H121" s="423">
        <f>Sizing!H137</f>
        <v>197.22538357504735</v>
      </c>
      <c r="I121" s="423">
        <f>Sizing!I137</f>
        <v>-111.88027182762995</v>
      </c>
      <c r="J121" s="189">
        <f>Sizing!J137</f>
        <v>19.722538357504735</v>
      </c>
      <c r="K121" s="128">
        <v>77</v>
      </c>
      <c r="L121" s="12">
        <f t="shared" si="265"/>
        <v>90.944884799999997</v>
      </c>
      <c r="M121" s="11">
        <f t="shared" si="265"/>
        <v>16.49606352</v>
      </c>
      <c r="N121" s="11">
        <f t="shared" si="265"/>
        <v>1.1811023999999932</v>
      </c>
      <c r="O121" s="152">
        <f t="shared" si="325"/>
        <v>19.553290357988622</v>
      </c>
      <c r="P121" s="170">
        <f t="shared" si="260"/>
        <v>2.9692914336</v>
      </c>
      <c r="Q121" s="8">
        <f t="shared" si="261"/>
        <v>1.4846457168</v>
      </c>
      <c r="R121" s="170">
        <f>Sizing!X137</f>
        <v>4.12401588</v>
      </c>
      <c r="S121" s="8">
        <f>Sizing!Y137</f>
        <v>12.37204764</v>
      </c>
      <c r="T121" s="8">
        <f>Sizing!Z137</f>
        <v>8.2480317599999999</v>
      </c>
      <c r="U121" s="17">
        <f>Sizing!CN137</f>
        <v>0.25</v>
      </c>
      <c r="V121" s="17">
        <f>Sizing!CO137</f>
        <v>2.3622047244094495E-2</v>
      </c>
      <c r="W121" s="17">
        <f>Sizing!CP137</f>
        <v>1.5748031496062995E-2</v>
      </c>
      <c r="X121" s="170">
        <f>Sizing!DU137</f>
        <v>3.7417273971028842E-2</v>
      </c>
      <c r="Y121" s="170">
        <f>Sizing!DV137</f>
        <v>0.19343545169132995</v>
      </c>
      <c r="Z121" s="170">
        <f>Sizing!DW137</f>
        <v>3.7417273971028842E-2</v>
      </c>
      <c r="AA121" s="272">
        <f>Sizing!DX137</f>
        <v>0.19343545169132995</v>
      </c>
      <c r="AB121" s="272">
        <f t="shared" si="266"/>
        <v>2.1971158244283551</v>
      </c>
      <c r="AC121" s="216">
        <f>Sizing!GJ137</f>
        <v>0.25</v>
      </c>
      <c r="AD121" s="216">
        <f>Sizing!GK137</f>
        <v>1.5748031496062995E-2</v>
      </c>
      <c r="AE121" s="17">
        <f>Sizing!GL137</f>
        <v>1.5748031496062995E-2</v>
      </c>
      <c r="AF121" s="170">
        <f>Sizing!JC137</f>
        <v>6.3172897578446421E-4</v>
      </c>
      <c r="AG121" s="272">
        <f>Sizing!JD137</f>
        <v>2.5134219219710489E-2</v>
      </c>
      <c r="AH121" s="170">
        <f>Sizing!JC137</f>
        <v>6.3172897578446421E-4</v>
      </c>
      <c r="AI121" s="272">
        <f>Sizing!JD137</f>
        <v>2.5134219219710489E-2</v>
      </c>
      <c r="AJ121" s="216">
        <f>Sizing!IT137</f>
        <v>0.25</v>
      </c>
      <c r="AK121" s="216">
        <f>Sizing!IU137</f>
        <v>1.5748031496062995E-2</v>
      </c>
      <c r="AL121" s="17">
        <f>Sizing!IV137</f>
        <v>1.5748031496062995E-2</v>
      </c>
      <c r="AM121" s="170">
        <f t="shared" si="267"/>
        <v>0</v>
      </c>
      <c r="AN121" s="11">
        <f t="shared" si="268"/>
        <v>4.5156269532251485E-2</v>
      </c>
      <c r="AO121" s="11">
        <f t="shared" si="269"/>
        <v>4.5156269532251485E-2</v>
      </c>
      <c r="AP121" s="11">
        <f t="shared" si="270"/>
        <v>9.031253906450297E-2</v>
      </c>
      <c r="AQ121" s="555">
        <f t="shared" si="271"/>
        <v>1440862.504492112</v>
      </c>
      <c r="AR121" s="311">
        <f t="shared" si="272"/>
        <v>4.2609582504286294</v>
      </c>
      <c r="AS121" s="11">
        <f t="shared" si="273"/>
        <v>1.4033882037420278E-3</v>
      </c>
      <c r="AT121" s="11">
        <f t="shared" si="274"/>
        <v>8.3122609410022696E-2</v>
      </c>
      <c r="AU121" s="11">
        <f t="shared" si="275"/>
        <v>8.4525997613764725E-2</v>
      </c>
      <c r="AV121" s="555">
        <f t="shared" si="276"/>
        <v>1348542.980609573</v>
      </c>
      <c r="AW121" s="138">
        <f t="shared" si="277"/>
        <v>3.9370078740157494E-2</v>
      </c>
      <c r="AX121" s="138">
        <f t="shared" si="278"/>
        <v>3.1496062992125991E-2</v>
      </c>
      <c r="AY121" s="554">
        <f t="shared" si="279"/>
        <v>3.1496062992125991E-2</v>
      </c>
      <c r="AZ121" s="12">
        <f t="shared" si="280"/>
        <v>115.41022339573762</v>
      </c>
      <c r="BA121" s="11">
        <f t="shared" si="281"/>
        <v>52.83404284916481</v>
      </c>
      <c r="BB121">
        <f t="shared" si="282"/>
        <v>39.700958676195498</v>
      </c>
      <c r="BC121" s="555">
        <f t="shared" si="283"/>
        <v>149711838.75642914</v>
      </c>
      <c r="BD121">
        <f t="shared" si="284"/>
        <v>77</v>
      </c>
      <c r="BE121" s="207">
        <f t="shared" si="285"/>
        <v>1.3746719599999999</v>
      </c>
      <c r="BF121" s="207">
        <f>'Inputs-Imperial'!$E$15*BE121</f>
        <v>1.03100397</v>
      </c>
      <c r="BG121" s="207">
        <f>'Inputs-Imperial'!$E$12*BE121</f>
        <v>0.34366798999999998</v>
      </c>
      <c r="BH121">
        <f>'Inputs-Imperial'!$E$11*BE121</f>
        <v>0.24744095279999997</v>
      </c>
      <c r="BI121">
        <f t="shared" si="286"/>
        <v>0.26245076350221064</v>
      </c>
      <c r="BJ121">
        <f>'Weight '!U123+'Weight '!V123 /12</f>
        <v>2.4934383202099744E-2</v>
      </c>
      <c r="BK121">
        <f>('Weight '!AK123+'Weight '!AL123)/12</f>
        <v>2.6246719160104991E-3</v>
      </c>
      <c r="BL121">
        <f>'Weight '!AG123/12</f>
        <v>1.6119620974277497E-2</v>
      </c>
      <c r="BM121">
        <f>'Weight '!AI123/12</f>
        <v>1.6119620974277497E-2</v>
      </c>
      <c r="BN121" s="554">
        <f t="shared" si="287"/>
        <v>0.41414952672451549</v>
      </c>
      <c r="BO121" s="554">
        <f t="shared" si="288"/>
        <v>1.8013004504832619</v>
      </c>
      <c r="BP121">
        <f t="shared" si="289"/>
        <v>1.6119620974277497E-2</v>
      </c>
      <c r="BQ121">
        <f t="shared" si="289"/>
        <v>1.6119620974277497E-2</v>
      </c>
      <c r="BR121">
        <f t="shared" si="290"/>
        <v>0.21520171085144499</v>
      </c>
      <c r="BS121">
        <f t="shared" si="291"/>
        <v>6.377815116934564E-2</v>
      </c>
      <c r="BT121">
        <f t="shared" si="292"/>
        <v>0.14874099357383247</v>
      </c>
      <c r="BU121">
        <f t="shared" si="293"/>
        <v>1.4118831395635899E-2</v>
      </c>
      <c r="BV121">
        <f t="shared" si="294"/>
        <v>755.75452711978198</v>
      </c>
      <c r="BW121" s="207">
        <f t="shared" si="295"/>
        <v>244.05227482527198</v>
      </c>
      <c r="BX121">
        <f t="shared" si="296"/>
        <v>0.53930208227219556</v>
      </c>
      <c r="BY121" s="575">
        <f t="shared" si="297"/>
        <v>33.364168272222571</v>
      </c>
      <c r="BZ121">
        <f t="shared" si="298"/>
        <v>744.63313769570777</v>
      </c>
      <c r="CA121" s="207">
        <f t="shared" si="299"/>
        <v>247.64365309793277</v>
      </c>
      <c r="CB121">
        <f t="shared" si="300"/>
        <v>0.53681510861524195</v>
      </c>
      <c r="CC121">
        <f t="shared" si="301"/>
        <v>316.40654492818373</v>
      </c>
      <c r="CD121">
        <f t="shared" si="302"/>
        <v>639.16428938631316</v>
      </c>
      <c r="CE121" s="207">
        <f t="shared" si="303"/>
        <v>281.70221501115793</v>
      </c>
      <c r="CF121">
        <f t="shared" si="304"/>
        <v>0.51323008363563727</v>
      </c>
      <c r="CG121">
        <f t="shared" si="305"/>
        <v>201.84288456068279</v>
      </c>
      <c r="CH121">
        <f t="shared" si="306"/>
        <v>571.88332786608555</v>
      </c>
      <c r="CI121" s="207">
        <f t="shared" ref="CI121" si="359" xml:space="preserve"> ($BQ$38-CH121*($BP121+$BR121+$BQ121+$BN121))/($BP121+$BR121+$BQ121+$BO121)</f>
        <v>303.42894124595915</v>
      </c>
      <c r="CJ121">
        <f t="shared" si="308"/>
        <v>0.49818466327178329</v>
      </c>
      <c r="CK121">
        <f t="shared" si="309"/>
        <v>133.95832393471574</v>
      </c>
      <c r="CL121">
        <f t="shared" si="310"/>
        <v>527.23055322118034</v>
      </c>
      <c r="CM121" s="207">
        <f t="shared" ref="CM121" si="360" xml:space="preserve"> ($BQ$38-CL121*($BP121+$BR121+$BQ121+$BN121))/($BP121+$BR121+$BQ121+$BO121)</f>
        <v>317.84845292375309</v>
      </c>
      <c r="CN121">
        <f t="shared" si="312"/>
        <v>0.48819937546130726</v>
      </c>
      <c r="CO121">
        <f t="shared" si="313"/>
        <v>91.140336055725015</v>
      </c>
      <c r="CP121">
        <f t="shared" si="314"/>
        <v>496.85044120260534</v>
      </c>
      <c r="CQ121" s="207">
        <f t="shared" ref="CQ121" si="361" xml:space="preserve"> ($BQ$38-CP121*($BP121+$BR121+$BQ121+$BN121))/($BP121+$BR121+$BQ121+$BO121)</f>
        <v>327.65896041199301</v>
      </c>
      <c r="CR121">
        <f t="shared" si="316"/>
        <v>0.48140575144505393</v>
      </c>
      <c r="CS121">
        <f t="shared" si="317"/>
        <v>63.028036177144863</v>
      </c>
      <c r="CT121">
        <f t="shared" si="318"/>
        <v>475.84109581022369</v>
      </c>
      <c r="CU121" s="636">
        <f t="shared" si="319"/>
        <v>334.44341006013639</v>
      </c>
      <c r="CV121" s="575">
        <f t="shared" si="320"/>
        <v>0.4767076254692123</v>
      </c>
      <c r="CW121">
        <f t="shared" si="321"/>
        <v>44.069862986535313</v>
      </c>
      <c r="CX121" s="576">
        <f t="shared" si="322"/>
        <v>0.34677918757374837</v>
      </c>
    </row>
    <row r="122" spans="1:102" x14ac:dyDescent="0.25">
      <c r="A122" s="186">
        <v>78</v>
      </c>
      <c r="B122" s="187">
        <f>A122/100*'Inputs-Imperial'!$E$5</f>
        <v>7.6771656000000004</v>
      </c>
      <c r="C122" s="188">
        <f>'Inputs-Imperial'!$E$10+('Inputs-Imperial'!$E$9-'Inputs-Imperial'!$E$10)*(100-A122)/100</f>
        <v>1.3648294399999998</v>
      </c>
      <c r="D122" s="187">
        <f t="shared" si="323"/>
        <v>9.8425200000000324E-2</v>
      </c>
      <c r="E122" s="188">
        <f t="shared" si="324"/>
        <v>0.13481798659764044</v>
      </c>
      <c r="F122" s="423">
        <f>Sizing!F138</f>
        <v>17.448111785646255</v>
      </c>
      <c r="G122" s="423">
        <f>Sizing!G138</f>
        <v>174.48111785646259</v>
      </c>
      <c r="H122" s="423">
        <f>Sizing!H138</f>
        <v>179.07388905086884</v>
      </c>
      <c r="I122" s="423">
        <f>Sizing!I138</f>
        <v>-104.57816114451103</v>
      </c>
      <c r="J122" s="189">
        <f>Sizing!J138</f>
        <v>17.907388905086886</v>
      </c>
      <c r="K122" s="128">
        <v>78</v>
      </c>
      <c r="L122" s="12">
        <f t="shared" si="265"/>
        <v>92.125987199999997</v>
      </c>
      <c r="M122" s="11">
        <f t="shared" si="265"/>
        <v>16.37795328</v>
      </c>
      <c r="N122" s="11">
        <f t="shared" si="265"/>
        <v>1.1811024000000039</v>
      </c>
      <c r="O122" s="152">
        <f t="shared" si="325"/>
        <v>19.413790070060223</v>
      </c>
      <c r="P122" s="170">
        <f t="shared" si="260"/>
        <v>2.9480315903999998</v>
      </c>
      <c r="Q122" s="8">
        <f t="shared" si="261"/>
        <v>1.4740157951999999</v>
      </c>
      <c r="R122" s="170">
        <f>Sizing!X138</f>
        <v>4.09448832</v>
      </c>
      <c r="S122" s="8">
        <f>Sizing!Y138</f>
        <v>12.28346496</v>
      </c>
      <c r="T122" s="8">
        <f>Sizing!Z138</f>
        <v>8.1889766399999999</v>
      </c>
      <c r="U122" s="17">
        <f>Sizing!CN138</f>
        <v>0.25</v>
      </c>
      <c r="V122" s="17">
        <f>Sizing!CO138</f>
        <v>2.3622047244094495E-2</v>
      </c>
      <c r="W122" s="17">
        <f>Sizing!CP138</f>
        <v>1.5748031496062995E-2</v>
      </c>
      <c r="X122" s="170">
        <f>Sizing!DU138</f>
        <v>3.7417273971028842E-2</v>
      </c>
      <c r="Y122" s="170">
        <f>Sizing!DV138</f>
        <v>0.19343545169132995</v>
      </c>
      <c r="Z122" s="170">
        <f>Sizing!DW138</f>
        <v>3.7417273971028842E-2</v>
      </c>
      <c r="AA122" s="272">
        <f>Sizing!DX138</f>
        <v>0.19343545169132995</v>
      </c>
      <c r="AB122" s="272">
        <f t="shared" si="266"/>
        <v>2.1758559812283549</v>
      </c>
      <c r="AC122" s="216">
        <f>Sizing!GJ138</f>
        <v>0.25</v>
      </c>
      <c r="AD122" s="216">
        <f>Sizing!GK138</f>
        <v>1.5748031496062995E-2</v>
      </c>
      <c r="AE122" s="17">
        <f>Sizing!GL138</f>
        <v>1.5748031496062995E-2</v>
      </c>
      <c r="AF122" s="170">
        <f>Sizing!JC138</f>
        <v>6.3172897578446421E-4</v>
      </c>
      <c r="AG122" s="272">
        <f>Sizing!JD138</f>
        <v>2.5134219219710489E-2</v>
      </c>
      <c r="AH122" s="170">
        <f>Sizing!JC138</f>
        <v>6.3172897578446421E-4</v>
      </c>
      <c r="AI122" s="272">
        <f>Sizing!JD138</f>
        <v>2.5134219219710489E-2</v>
      </c>
      <c r="AJ122" s="216">
        <f>Sizing!IT138</f>
        <v>0.25</v>
      </c>
      <c r="AK122" s="216">
        <f>Sizing!IU138</f>
        <v>1.5748031496062995E-2</v>
      </c>
      <c r="AL122" s="17">
        <f>Sizing!IV138</f>
        <v>1.5748031496062995E-2</v>
      </c>
      <c r="AM122" s="170">
        <f t="shared" si="267"/>
        <v>0</v>
      </c>
      <c r="AN122" s="11">
        <f t="shared" si="268"/>
        <v>4.4286610750242136E-2</v>
      </c>
      <c r="AO122" s="11">
        <f t="shared" si="269"/>
        <v>4.4286610750242136E-2</v>
      </c>
      <c r="AP122" s="11">
        <f t="shared" si="270"/>
        <v>8.8573221500484273E-2</v>
      </c>
      <c r="AQ122" s="555">
        <f t="shared" si="271"/>
        <v>1413113.1189985962</v>
      </c>
      <c r="AR122" s="311">
        <f t="shared" si="272"/>
        <v>4.2304501961296177</v>
      </c>
      <c r="AS122" s="11">
        <f t="shared" si="273"/>
        <v>1.3833638962342447E-3</v>
      </c>
      <c r="AT122" s="11">
        <f t="shared" si="274"/>
        <v>8.193657073074824E-2</v>
      </c>
      <c r="AU122" s="11">
        <f t="shared" si="275"/>
        <v>8.3319934626982478E-2</v>
      </c>
      <c r="AV122" s="555">
        <f t="shared" si="276"/>
        <v>1329301.2346271113</v>
      </c>
      <c r="AW122" s="138">
        <f t="shared" si="277"/>
        <v>3.9370078740157494E-2</v>
      </c>
      <c r="AX122" s="138">
        <f t="shared" si="278"/>
        <v>3.1496062992125991E-2</v>
      </c>
      <c r="AY122" s="554">
        <f t="shared" si="279"/>
        <v>3.1496062992125991E-2</v>
      </c>
      <c r="AZ122" s="12">
        <f t="shared" si="280"/>
        <v>113.76348744865184</v>
      </c>
      <c r="BA122" s="11">
        <f t="shared" si="281"/>
        <v>52.45575614618749</v>
      </c>
      <c r="BB122">
        <f t="shared" si="282"/>
        <v>38.854284599496552</v>
      </c>
      <c r="BC122" s="555">
        <f t="shared" si="283"/>
        <v>146519040.97328633</v>
      </c>
      <c r="BD122">
        <f t="shared" si="284"/>
        <v>78</v>
      </c>
      <c r="BE122" s="207">
        <f t="shared" si="285"/>
        <v>1.3648294399999998</v>
      </c>
      <c r="BF122" s="207">
        <f>'Inputs-Imperial'!$E$15*BE122</f>
        <v>1.02362208</v>
      </c>
      <c r="BG122" s="207">
        <f>'Inputs-Imperial'!$E$12*BE122</f>
        <v>0.34120735999999996</v>
      </c>
      <c r="BH122">
        <f>'Inputs-Imperial'!$E$11*BE122</f>
        <v>0.24566929919999997</v>
      </c>
      <c r="BI122">
        <f t="shared" si="286"/>
        <v>0.26057164109050029</v>
      </c>
      <c r="BJ122">
        <f>'Weight '!U124+'Weight '!V124 /12</f>
        <v>2.4934383202099744E-2</v>
      </c>
      <c r="BK122">
        <f>('Weight '!AK124+'Weight '!AL124)/12</f>
        <v>2.6246719160104991E-3</v>
      </c>
      <c r="BL122">
        <f>'Weight '!AG124/12</f>
        <v>1.6119620974277497E-2</v>
      </c>
      <c r="BM122">
        <f>'Weight '!AI124/12</f>
        <v>1.6119620974277497E-2</v>
      </c>
      <c r="BN122" s="554">
        <f t="shared" si="287"/>
        <v>0.40888409838551776</v>
      </c>
      <c r="BO122" s="554">
        <f t="shared" si="288"/>
        <v>1.7907034684842562</v>
      </c>
      <c r="BP122">
        <f t="shared" si="289"/>
        <v>1.6119620974277497E-2</v>
      </c>
      <c r="BQ122">
        <f t="shared" si="289"/>
        <v>1.6119620974277497E-2</v>
      </c>
      <c r="BR122">
        <f t="shared" si="290"/>
        <v>0.21343005725144498</v>
      </c>
      <c r="BS122">
        <f t="shared" si="291"/>
        <v>6.286812975981157E-2</v>
      </c>
      <c r="BT122">
        <f t="shared" si="292"/>
        <v>0.14661867603803325</v>
      </c>
      <c r="BU122">
        <f t="shared" si="293"/>
        <v>1.3718795510278497E-2</v>
      </c>
      <c r="BV122">
        <f t="shared" si="294"/>
        <v>763.87961905686188</v>
      </c>
      <c r="BW122" s="207">
        <f t="shared" si="295"/>
        <v>245.53461327642643</v>
      </c>
      <c r="BX122">
        <f t="shared" si="296"/>
        <v>0.53585848618328413</v>
      </c>
      <c r="BY122" s="575">
        <f t="shared" si="297"/>
        <v>34.13053680968099</v>
      </c>
      <c r="BZ122">
        <f t="shared" si="298"/>
        <v>752.50277345363486</v>
      </c>
      <c r="CA122" s="207">
        <f t="shared" si="299"/>
        <v>249.19148448467112</v>
      </c>
      <c r="CB122">
        <f t="shared" si="300"/>
        <v>0.53335567294201325</v>
      </c>
      <c r="CC122">
        <f t="shared" si="301"/>
        <v>318.6473190293064</v>
      </c>
      <c r="CD122">
        <f t="shared" si="302"/>
        <v>646.28700044386608</v>
      </c>
      <c r="CE122" s="207">
        <f t="shared" si="303"/>
        <v>283.33252987872152</v>
      </c>
      <c r="CF122">
        <f t="shared" si="304"/>
        <v>0.50998906919331943</v>
      </c>
      <c r="CG122">
        <f t="shared" si="305"/>
        <v>204.04952907445943</v>
      </c>
      <c r="CH122">
        <f t="shared" si="306"/>
        <v>578.2704907523796</v>
      </c>
      <c r="CI122" s="207">
        <f t="shared" ref="CI122" si="362" xml:space="preserve"> ($BQ$38-CH122*($BP122+$BR122+$BQ122+$BN122))/($BP122+$BR122+$BQ122+$BO122)</f>
        <v>305.19514669278306</v>
      </c>
      <c r="CJ122">
        <f t="shared" si="308"/>
        <v>0.49502599181512263</v>
      </c>
      <c r="CK122">
        <f t="shared" si="309"/>
        <v>135.87959927710165</v>
      </c>
      <c r="CL122">
        <f t="shared" si="310"/>
        <v>532.97729099334572</v>
      </c>
      <c r="CM122" s="207">
        <f t="shared" ref="CM122" si="363" xml:space="preserve"> ($BQ$38-CL122*($BP122+$BR122+$BQ122+$BN122))/($BP122+$BR122+$BQ122+$BO122)</f>
        <v>319.75378657457117</v>
      </c>
      <c r="CN122">
        <f t="shared" si="312"/>
        <v>0.48506185728698209</v>
      </c>
      <c r="CO122">
        <f t="shared" si="313"/>
        <v>92.742301177123338</v>
      </c>
      <c r="CP122">
        <f t="shared" si="314"/>
        <v>502.06319060097127</v>
      </c>
      <c r="CQ122" s="207">
        <f t="shared" ref="CQ122" si="364" xml:space="preserve"> ($BQ$38-CP122*($BP122+$BR122+$BQ122+$BN122))/($BP122+$BR122+$BQ122+$BO122)</f>
        <v>329.69053772654189</v>
      </c>
      <c r="CR122">
        <f t="shared" si="316"/>
        <v>0.47826100734118809</v>
      </c>
      <c r="CS122">
        <f t="shared" si="317"/>
        <v>64.336223489567672</v>
      </c>
      <c r="CT122">
        <f t="shared" si="318"/>
        <v>480.6177827711154</v>
      </c>
      <c r="CU122" s="636">
        <f t="shared" si="319"/>
        <v>336.58375726885691</v>
      </c>
      <c r="CV122" s="575">
        <f t="shared" si="320"/>
        <v>0.4735431925309217</v>
      </c>
      <c r="CW122">
        <f t="shared" si="321"/>
        <v>45.124699982307177</v>
      </c>
      <c r="CX122" s="576">
        <f t="shared" si="322"/>
        <v>0.34696144342469765</v>
      </c>
    </row>
    <row r="123" spans="1:102" x14ac:dyDescent="0.25">
      <c r="A123" s="186">
        <v>79</v>
      </c>
      <c r="B123" s="187">
        <f>A123/100*'Inputs-Imperial'!$E$5</f>
        <v>7.7755908000000007</v>
      </c>
      <c r="C123" s="188">
        <f>'Inputs-Imperial'!$E$10+('Inputs-Imperial'!$E$9-'Inputs-Imperial'!$E$10)*(100-A123)/100</f>
        <v>1.35498692</v>
      </c>
      <c r="D123" s="187">
        <f t="shared" si="323"/>
        <v>9.8425200000000324E-2</v>
      </c>
      <c r="E123" s="188">
        <f t="shared" si="324"/>
        <v>0.13384923459813644</v>
      </c>
      <c r="F123" s="423">
        <f>Sizing!F139</f>
        <v>16.467565210020027</v>
      </c>
      <c r="G123" s="423">
        <f>Sizing!G139</f>
        <v>164.6756521002003</v>
      </c>
      <c r="H123" s="423">
        <f>Sizing!H139</f>
        <v>161.90055012962287</v>
      </c>
      <c r="I123" s="423">
        <f>Sizing!I139</f>
        <v>-97.471389577387342</v>
      </c>
      <c r="J123" s="189">
        <f>Sizing!J139</f>
        <v>16.19005501296229</v>
      </c>
      <c r="K123" s="128">
        <v>79</v>
      </c>
      <c r="L123" s="12">
        <f t="shared" si="265"/>
        <v>93.307089600000012</v>
      </c>
      <c r="M123" s="11">
        <f t="shared" si="265"/>
        <v>16.25984304</v>
      </c>
      <c r="N123" s="11">
        <f t="shared" si="265"/>
        <v>1.1811024000000039</v>
      </c>
      <c r="O123" s="152">
        <f t="shared" si="325"/>
        <v>19.274289782131646</v>
      </c>
      <c r="P123" s="170">
        <f t="shared" si="260"/>
        <v>2.9267717471999997</v>
      </c>
      <c r="Q123" s="8">
        <f t="shared" si="261"/>
        <v>1.4633858735999998</v>
      </c>
      <c r="R123" s="170">
        <f>Sizing!X139</f>
        <v>4.06496076</v>
      </c>
      <c r="S123" s="8">
        <f>Sizing!Y139</f>
        <v>12.19488228</v>
      </c>
      <c r="T123" s="8">
        <f>Sizing!Z139</f>
        <v>8.1299215199999999</v>
      </c>
      <c r="U123" s="17">
        <f>Sizing!CN139</f>
        <v>0.25</v>
      </c>
      <c r="V123" s="17">
        <f>Sizing!CO139</f>
        <v>2.3622047244094495E-2</v>
      </c>
      <c r="W123" s="17">
        <f>Sizing!CP139</f>
        <v>1.5748031496062995E-2</v>
      </c>
      <c r="X123" s="170">
        <f>Sizing!DU139</f>
        <v>3.7417273971028842E-2</v>
      </c>
      <c r="Y123" s="170">
        <f>Sizing!DV139</f>
        <v>0.19343545169132995</v>
      </c>
      <c r="Z123" s="170">
        <f>Sizing!DW139</f>
        <v>3.7417273971028842E-2</v>
      </c>
      <c r="AA123" s="272">
        <f>Sizing!DX139</f>
        <v>0.19343545169132995</v>
      </c>
      <c r="AB123" s="272">
        <f t="shared" si="266"/>
        <v>2.1545961380283547</v>
      </c>
      <c r="AC123" s="216">
        <f>Sizing!GJ139</f>
        <v>0.25</v>
      </c>
      <c r="AD123" s="216">
        <f>Sizing!GK139</f>
        <v>1.5748031496062995E-2</v>
      </c>
      <c r="AE123" s="17">
        <f>Sizing!GL139</f>
        <v>1.5748031496062995E-2</v>
      </c>
      <c r="AF123" s="170">
        <f>Sizing!JC139</f>
        <v>6.3172897578446421E-4</v>
      </c>
      <c r="AG123" s="272">
        <f>Sizing!JD139</f>
        <v>2.5134219219710489E-2</v>
      </c>
      <c r="AH123" s="170">
        <f>Sizing!JC139</f>
        <v>6.3172897578446421E-4</v>
      </c>
      <c r="AI123" s="272">
        <f>Sizing!JD139</f>
        <v>2.5134219219710489E-2</v>
      </c>
      <c r="AJ123" s="216">
        <f>Sizing!IT139</f>
        <v>0.25</v>
      </c>
      <c r="AK123" s="216">
        <f>Sizing!IU139</f>
        <v>1.5748031496062995E-2</v>
      </c>
      <c r="AL123" s="17">
        <f>Sizing!IV139</f>
        <v>1.5748031496062995E-2</v>
      </c>
      <c r="AM123" s="170">
        <f t="shared" si="267"/>
        <v>0</v>
      </c>
      <c r="AN123" s="11">
        <f t="shared" si="268"/>
        <v>4.3425407915430571E-2</v>
      </c>
      <c r="AO123" s="11">
        <f t="shared" si="269"/>
        <v>4.3425407915430571E-2</v>
      </c>
      <c r="AP123" s="11">
        <f t="shared" si="270"/>
        <v>8.6850815830861142E-2</v>
      </c>
      <c r="AQ123" s="555">
        <f t="shared" si="271"/>
        <v>1385633.5489124083</v>
      </c>
      <c r="AR123" s="311">
        <f t="shared" si="272"/>
        <v>4.199942141830606</v>
      </c>
      <c r="AS123" s="11">
        <f t="shared" si="273"/>
        <v>1.3634834759660385E-3</v>
      </c>
      <c r="AT123" s="11">
        <f t="shared" si="274"/>
        <v>8.0759054485097279E-2</v>
      </c>
      <c r="AU123" s="11">
        <f t="shared" si="275"/>
        <v>8.2122537961063322E-2</v>
      </c>
      <c r="AV123" s="555">
        <f t="shared" si="276"/>
        <v>1310197.7526876372</v>
      </c>
      <c r="AW123" s="138">
        <f t="shared" si="277"/>
        <v>3.9370078740157494E-2</v>
      </c>
      <c r="AX123" s="138">
        <f t="shared" si="278"/>
        <v>3.1496062992125991E-2</v>
      </c>
      <c r="AY123" s="554">
        <f t="shared" si="279"/>
        <v>3.1496062992125991E-2</v>
      </c>
      <c r="AZ123" s="12">
        <f t="shared" si="280"/>
        <v>112.12858433471879</v>
      </c>
      <c r="BA123" s="11">
        <f t="shared" si="281"/>
        <v>52.07746944321017</v>
      </c>
      <c r="BB123">
        <f t="shared" si="282"/>
        <v>38.019734525249838</v>
      </c>
      <c r="BC123" s="555">
        <f t="shared" si="283"/>
        <v>143371962.65790287</v>
      </c>
      <c r="BD123">
        <f t="shared" si="284"/>
        <v>79</v>
      </c>
      <c r="BE123" s="207">
        <f t="shared" si="285"/>
        <v>1.35498692</v>
      </c>
      <c r="BF123" s="207">
        <f>'Inputs-Imperial'!$E$15*BE123</f>
        <v>1.01624019</v>
      </c>
      <c r="BG123" s="207">
        <f>'Inputs-Imperial'!$E$12*BE123</f>
        <v>0.33874673</v>
      </c>
      <c r="BH123">
        <f>'Inputs-Imperial'!$E$11*BE123</f>
        <v>0.24389764559999999</v>
      </c>
      <c r="BI123">
        <f t="shared" si="286"/>
        <v>0.25869251867878995</v>
      </c>
      <c r="BJ123">
        <f>'Weight '!U125+'Weight '!V125 /12</f>
        <v>2.4934383202099744E-2</v>
      </c>
      <c r="BK123">
        <f>('Weight '!AK125+'Weight '!AL125)/12</f>
        <v>2.6246719160104991E-3</v>
      </c>
      <c r="BL123">
        <f>'Weight '!AG125/12</f>
        <v>1.6119620974277497E-2</v>
      </c>
      <c r="BM123">
        <f>'Weight '!AI125/12</f>
        <v>1.6119620974277497E-2</v>
      </c>
      <c r="BN123" s="554">
        <f t="shared" si="287"/>
        <v>0.40364104527984984</v>
      </c>
      <c r="BO123" s="554">
        <f t="shared" si="288"/>
        <v>1.7800841112519212</v>
      </c>
      <c r="BP123">
        <f t="shared" si="289"/>
        <v>1.6119620974277497E-2</v>
      </c>
      <c r="BQ123">
        <f t="shared" si="289"/>
        <v>1.6119620974277497E-2</v>
      </c>
      <c r="BR123">
        <f t="shared" si="290"/>
        <v>0.211658403651445</v>
      </c>
      <c r="BS123">
        <f t="shared" si="291"/>
        <v>6.1964647426274166E-2</v>
      </c>
      <c r="BT123">
        <f t="shared" si="292"/>
        <v>0.14451160868811996</v>
      </c>
      <c r="BU123">
        <f t="shared" si="293"/>
        <v>1.332732126252658E-2</v>
      </c>
      <c r="BV123">
        <f t="shared" si="294"/>
        <v>772.15463267626512</v>
      </c>
      <c r="BW123" s="207">
        <f t="shared" si="295"/>
        <v>247.03779977626598</v>
      </c>
      <c r="BX123">
        <f t="shared" si="296"/>
        <v>0.53241301443981426</v>
      </c>
      <c r="BY123" s="575">
        <f t="shared" si="297"/>
        <v>34.904493147949267</v>
      </c>
      <c r="BZ123">
        <f t="shared" si="298"/>
        <v>760.51980162694872</v>
      </c>
      <c r="CA123" s="207">
        <f t="shared" si="299"/>
        <v>250.76016695708529</v>
      </c>
      <c r="CB123">
        <f t="shared" si="300"/>
        <v>0.52989526749328786</v>
      </c>
      <c r="CC123">
        <f t="shared" si="301"/>
        <v>320.91991528066052</v>
      </c>
      <c r="CD123">
        <f t="shared" si="302"/>
        <v>653.54649653339516</v>
      </c>
      <c r="CE123" s="207">
        <f t="shared" si="303"/>
        <v>284.98446453529624</v>
      </c>
      <c r="CF123">
        <f t="shared" si="304"/>
        <v>0.50674652462650083</v>
      </c>
      <c r="CG123">
        <f t="shared" si="305"/>
        <v>206.28658769183403</v>
      </c>
      <c r="CH123">
        <f t="shared" si="306"/>
        <v>584.78430063611711</v>
      </c>
      <c r="CI123" s="207">
        <f t="shared" ref="CI123" si="365" xml:space="preserve"> ($BQ$38-CH123*($BP123+$BR123+$BQ123+$BN123))/($BP123+$BR123+$BQ123+$BO123)</f>
        <v>306.98376475754867</v>
      </c>
      <c r="CJ123">
        <f t="shared" si="308"/>
        <v>0.49186656564617715</v>
      </c>
      <c r="CK123">
        <f t="shared" si="309"/>
        <v>137.83042094310011</v>
      </c>
      <c r="CL123">
        <f t="shared" si="310"/>
        <v>538.84082698841712</v>
      </c>
      <c r="CM123" s="207">
        <f t="shared" ref="CM123" si="366" xml:space="preserve"> ($BQ$38-CL123*($BP123+$BR123+$BQ123+$BN123))/($BP123+$BR123+$BQ123+$BO123)</f>
        <v>321.68260118707138</v>
      </c>
      <c r="CN123">
        <f t="shared" si="312"/>
        <v>0.48192451835739331</v>
      </c>
      <c r="CO123">
        <f t="shared" si="313"/>
        <v>94.372239108264509</v>
      </c>
      <c r="CP123">
        <f t="shared" si="314"/>
        <v>507.38341395232897</v>
      </c>
      <c r="CQ123" s="207">
        <f t="shared" ref="CQ123" si="367" xml:space="preserve"> ($BQ$38-CP123*($BP123+$BR123+$BQ123+$BN123))/($BP123+$BR123+$BQ123+$BO123)</f>
        <v>331.74686781738848</v>
      </c>
      <c r="CR123">
        <f t="shared" si="316"/>
        <v>0.47511721661991896</v>
      </c>
      <c r="CS123">
        <f t="shared" si="317"/>
        <v>65.670283247363997</v>
      </c>
      <c r="CT123">
        <f t="shared" si="318"/>
        <v>485.49331953654098</v>
      </c>
      <c r="CU123" s="636">
        <f t="shared" si="319"/>
        <v>338.75023285921714</v>
      </c>
      <c r="CV123" s="575">
        <f t="shared" si="320"/>
        <v>0.47038025755786506</v>
      </c>
      <c r="CW123">
        <f t="shared" si="321"/>
        <v>46.203023352980303</v>
      </c>
      <c r="CX123" s="576">
        <f t="shared" si="322"/>
        <v>0.34714745258047586</v>
      </c>
    </row>
    <row r="124" spans="1:102" x14ac:dyDescent="0.25">
      <c r="A124" s="186">
        <v>80</v>
      </c>
      <c r="B124" s="187">
        <f>A124/100*'Inputs-Imperial'!$E$5</f>
        <v>7.874016000000001</v>
      </c>
      <c r="C124" s="188">
        <f>'Inputs-Imperial'!$E$10+('Inputs-Imperial'!$E$9-'Inputs-Imperial'!$E$10)*(100-A124)/100</f>
        <v>1.3451443999999999</v>
      </c>
      <c r="D124" s="187">
        <f t="shared" si="323"/>
        <v>9.8425200000000324E-2</v>
      </c>
      <c r="E124" s="188">
        <f t="shared" si="324"/>
        <v>0.13288048259863242</v>
      </c>
      <c r="F124" s="423">
        <f>Sizing!F140</f>
        <v>15.500603210721277</v>
      </c>
      <c r="G124" s="423">
        <f>Sizing!G140</f>
        <v>155.0060321072128</v>
      </c>
      <c r="H124" s="423">
        <f>Sizing!H140</f>
        <v>145.6923161365302</v>
      </c>
      <c r="I124" s="423">
        <f>Sizing!I140</f>
        <v>-90.562044162016335</v>
      </c>
      <c r="J124" s="189">
        <f>Sizing!J140</f>
        <v>14.56923161365302</v>
      </c>
      <c r="K124" s="128">
        <v>80</v>
      </c>
      <c r="L124" s="12">
        <f t="shared" si="265"/>
        <v>94.488192000000012</v>
      </c>
      <c r="M124" s="11">
        <f t="shared" si="265"/>
        <v>16.1417328</v>
      </c>
      <c r="N124" s="11">
        <f t="shared" si="265"/>
        <v>1.1811024000000039</v>
      </c>
      <c r="O124" s="152">
        <f t="shared" si="325"/>
        <v>19.134789494203069</v>
      </c>
      <c r="P124" s="170">
        <f t="shared" si="260"/>
        <v>2.9055119039999999</v>
      </c>
      <c r="Q124" s="8">
        <f t="shared" si="261"/>
        <v>1.452755952</v>
      </c>
      <c r="R124" s="170">
        <f>Sizing!X140</f>
        <v>4.0354331999999999</v>
      </c>
      <c r="S124" s="8">
        <f>Sizing!Y140</f>
        <v>12.1062996</v>
      </c>
      <c r="T124" s="8">
        <f>Sizing!Z140</f>
        <v>8.0708663999999999</v>
      </c>
      <c r="U124" s="17">
        <f>Sizing!CN140</f>
        <v>0.25</v>
      </c>
      <c r="V124" s="17">
        <f>Sizing!CO140</f>
        <v>2.3622047244094495E-2</v>
      </c>
      <c r="W124" s="17">
        <f>Sizing!CP140</f>
        <v>1.5748031496062995E-2</v>
      </c>
      <c r="X124" s="170">
        <f>Sizing!DU140</f>
        <v>1.6272075519057922E-2</v>
      </c>
      <c r="Y124" s="170">
        <f>Sizing!DV140</f>
        <v>0.12756204576227964</v>
      </c>
      <c r="Z124" s="170">
        <f>Sizing!DW140</f>
        <v>1.6272075519057922E-2</v>
      </c>
      <c r="AA124" s="272">
        <f>Sizing!DX140</f>
        <v>0.12756204576227964</v>
      </c>
      <c r="AB124" s="272">
        <f t="shared" si="266"/>
        <v>2.1992097007574056</v>
      </c>
      <c r="AC124" s="216">
        <f>Sizing!GJ140</f>
        <v>0.25</v>
      </c>
      <c r="AD124" s="216">
        <f>Sizing!GK140</f>
        <v>1.5748031496062995E-2</v>
      </c>
      <c r="AE124" s="17">
        <f>Sizing!GL140</f>
        <v>1.5748031496062995E-2</v>
      </c>
      <c r="AF124" s="170">
        <f>Sizing!JC140</f>
        <v>2.8003815318914239E-4</v>
      </c>
      <c r="AG124" s="272">
        <f>Sizing!JD140</f>
        <v>1.6734340536428149E-2</v>
      </c>
      <c r="AH124" s="170">
        <f>Sizing!JC140</f>
        <v>2.8003815318914239E-4</v>
      </c>
      <c r="AI124" s="272">
        <f>Sizing!JD140</f>
        <v>1.6734340536428149E-2</v>
      </c>
      <c r="AJ124" s="216">
        <f>Sizing!IT140</f>
        <v>0.25</v>
      </c>
      <c r="AK124" s="216">
        <f>Sizing!IU140</f>
        <v>1.5748031496062995E-2</v>
      </c>
      <c r="AL124" s="17">
        <f>Sizing!IV140</f>
        <v>1.5748031496062995E-2</v>
      </c>
      <c r="AM124" s="170">
        <f t="shared" si="267"/>
        <v>0</v>
      </c>
      <c r="AN124" s="11">
        <f t="shared" si="268"/>
        <v>1.9675068128980441E-2</v>
      </c>
      <c r="AO124" s="11">
        <f t="shared" si="269"/>
        <v>1.9675068128980441E-2</v>
      </c>
      <c r="AP124" s="11">
        <f t="shared" si="270"/>
        <v>3.9350136257960883E-2</v>
      </c>
      <c r="AQ124" s="555">
        <f t="shared" si="271"/>
        <v>627799.1568840344</v>
      </c>
      <c r="AR124" s="311">
        <f t="shared" si="272"/>
        <v>4.1719807471016059</v>
      </c>
      <c r="AS124" s="11">
        <f t="shared" si="273"/>
        <v>6.0679326650868329E-4</v>
      </c>
      <c r="AT124" s="11">
        <f t="shared" si="274"/>
        <v>3.5258716516446603E-2</v>
      </c>
      <c r="AU124" s="11">
        <f t="shared" si="275"/>
        <v>3.5865509782955288E-2</v>
      </c>
      <c r="AV124" s="555">
        <f t="shared" si="276"/>
        <v>572204.79886902962</v>
      </c>
      <c r="AW124" s="138">
        <f t="shared" si="277"/>
        <v>3.9370078740157494E-2</v>
      </c>
      <c r="AX124" s="138">
        <f t="shared" si="278"/>
        <v>3.1496062992125991E-2</v>
      </c>
      <c r="AY124" s="554">
        <f t="shared" si="279"/>
        <v>3.1496062992125991E-2</v>
      </c>
      <c r="AZ124" s="12">
        <f t="shared" si="280"/>
        <v>110.50551405393847</v>
      </c>
      <c r="BA124" s="11">
        <f t="shared" si="281"/>
        <v>51.699182740232857</v>
      </c>
      <c r="BB124">
        <f t="shared" si="282"/>
        <v>37.197221020745374</v>
      </c>
      <c r="BC124" s="555">
        <f t="shared" si="283"/>
        <v>140270274.10257858</v>
      </c>
      <c r="BD124">
        <f t="shared" si="284"/>
        <v>80</v>
      </c>
      <c r="BE124" s="207">
        <f t="shared" si="285"/>
        <v>1.3451443999999999</v>
      </c>
      <c r="BF124" s="207">
        <f>'Inputs-Imperial'!$E$15*BE124</f>
        <v>1.0088583</v>
      </c>
      <c r="BG124" s="207">
        <f>'Inputs-Imperial'!$E$12*BE124</f>
        <v>0.33628609999999998</v>
      </c>
      <c r="BH124">
        <f>'Inputs-Imperial'!$E$11*BE124</f>
        <v>0.24212599199999998</v>
      </c>
      <c r="BI124">
        <f t="shared" si="286"/>
        <v>0.25681339626707961</v>
      </c>
      <c r="BJ124">
        <f>'Weight '!U126+'Weight '!V126 /12</f>
        <v>2.4934383202099744E-2</v>
      </c>
      <c r="BK124">
        <f>('Weight '!AK126+'Weight '!AL126)/12</f>
        <v>2.6246719160104991E-3</v>
      </c>
      <c r="BL124">
        <f>'Weight '!AG126/12</f>
        <v>1.0630170480189971E-2</v>
      </c>
      <c r="BM124">
        <f>'Weight '!AI126/12</f>
        <v>1.0630170480189971E-2</v>
      </c>
      <c r="BN124" s="554">
        <f t="shared" si="287"/>
        <v>0.39842059621755244</v>
      </c>
      <c r="BO124" s="554">
        <f t="shared" si="288"/>
        <v>1.7694421499762152</v>
      </c>
      <c r="BP124">
        <f t="shared" si="289"/>
        <v>1.0630170480189971E-2</v>
      </c>
      <c r="BQ124">
        <f t="shared" si="289"/>
        <v>1.0630170480189971E-2</v>
      </c>
      <c r="BR124">
        <f t="shared" si="290"/>
        <v>0.22086565103962005</v>
      </c>
      <c r="BS124">
        <f t="shared" si="291"/>
        <v>6.1067704168733396E-2</v>
      </c>
      <c r="BT124">
        <f t="shared" si="292"/>
        <v>0.14241979152409268</v>
      </c>
      <c r="BU124">
        <f t="shared" si="293"/>
        <v>1.2944285613547829E-2</v>
      </c>
      <c r="BV124">
        <f t="shared" si="294"/>
        <v>780.58334740545399</v>
      </c>
      <c r="BW124" s="207">
        <f t="shared" si="295"/>
        <v>248.56229802326627</v>
      </c>
      <c r="BX124">
        <f t="shared" si="296"/>
        <v>0.52896563454634582</v>
      </c>
      <c r="BY124" s="575">
        <f t="shared" si="297"/>
        <v>35.68614340048029</v>
      </c>
      <c r="BZ124">
        <f t="shared" si="298"/>
        <v>768.68796627196059</v>
      </c>
      <c r="CA124" s="207">
        <f t="shared" si="299"/>
        <v>252.35016165145089</v>
      </c>
      <c r="CB124">
        <f t="shared" si="300"/>
        <v>0.52643385381778141</v>
      </c>
      <c r="CC124">
        <f t="shared" si="301"/>
        <v>323.22487971620313</v>
      </c>
      <c r="CD124">
        <f t="shared" si="302"/>
        <v>660.94633969989286</v>
      </c>
      <c r="CE124" s="207">
        <f t="shared" si="303"/>
        <v>286.65848552555389</v>
      </c>
      <c r="CF124">
        <f t="shared" si="304"/>
        <v>0.50350241759407743</v>
      </c>
      <c r="CG124">
        <f t="shared" si="305"/>
        <v>208.55463047961041</v>
      </c>
      <c r="CH124">
        <f t="shared" si="306"/>
        <v>591.42812954002272</v>
      </c>
      <c r="CI124" s="207">
        <f t="shared" ref="CI124" si="368" xml:space="preserve"> ($BQ$38-CH124*($BP124+$BR124+$BQ124+$BN124))/($BP124+$BR124+$BQ124+$BO124)</f>
        <v>308.79527095562565</v>
      </c>
      <c r="CJ124">
        <f t="shared" si="308"/>
        <v>0.48870634987738304</v>
      </c>
      <c r="CK124">
        <f t="shared" si="309"/>
        <v>139.81135704002872</v>
      </c>
      <c r="CL124">
        <f t="shared" si="310"/>
        <v>544.82434386001319</v>
      </c>
      <c r="CM124" s="207">
        <f t="shared" ref="CM124" si="369" xml:space="preserve"> ($BQ$38-CL124*($BP124+$BR124+$BQ124+$BN124))/($BP124+$BR124+$BQ124+$BO124)</f>
        <v>323.6353826537682</v>
      </c>
      <c r="CN124">
        <f t="shared" si="312"/>
        <v>0.47878732625479586</v>
      </c>
      <c r="CO124">
        <f t="shared" si="313"/>
        <v>96.030708950455846</v>
      </c>
      <c r="CP124">
        <f t="shared" si="314"/>
        <v>512.81410754319461</v>
      </c>
      <c r="CQ124" s="207">
        <f t="shared" ref="CQ124" si="370" xml:space="preserve"> ($BQ$38-CP124*($BP124+$BR124+$BQ124+$BN124))/($BP124+$BR124+$BQ124+$BO124)</f>
        <v>333.82844906445018</v>
      </c>
      <c r="CR124">
        <f t="shared" si="316"/>
        <v>0.47197435418486128</v>
      </c>
      <c r="CS124">
        <f t="shared" si="317"/>
        <v>67.03076077337424</v>
      </c>
      <c r="CT124">
        <f t="shared" si="318"/>
        <v>490.47052061873654</v>
      </c>
      <c r="CU124" s="636">
        <f t="shared" si="319"/>
        <v>340.94335015795394</v>
      </c>
      <c r="CV124" s="575">
        <f t="shared" si="320"/>
        <v>0.46721880561121626</v>
      </c>
      <c r="CW124">
        <f t="shared" si="321"/>
        <v>47.305361027614509</v>
      </c>
      <c r="CX124" s="576">
        <f t="shared" si="322"/>
        <v>0.3473372863249598</v>
      </c>
    </row>
    <row r="125" spans="1:102" x14ac:dyDescent="0.25">
      <c r="A125" s="186">
        <v>81</v>
      </c>
      <c r="B125" s="187">
        <f>A125/100*'Inputs-Imperial'!$E$5</f>
        <v>7.9724412000000004</v>
      </c>
      <c r="C125" s="188">
        <f>'Inputs-Imperial'!$E$10+('Inputs-Imperial'!$E$9-'Inputs-Imperial'!$E$10)*(100-A125)/100</f>
        <v>1.3353018799999998</v>
      </c>
      <c r="D125" s="187">
        <f t="shared" si="323"/>
        <v>9.8425199999999435E-2</v>
      </c>
      <c r="E125" s="188">
        <f t="shared" si="324"/>
        <v>0.13191173059912725</v>
      </c>
      <c r="F125" s="423">
        <f>Sizing!F141</f>
        <v>14.547572095065064</v>
      </c>
      <c r="G125" s="423">
        <f>Sizing!G141</f>
        <v>145.47572095065067</v>
      </c>
      <c r="H125" s="423">
        <f>Sizing!H141</f>
        <v>130.43581642517145</v>
      </c>
      <c r="I125" s="423">
        <f>Sizing!I141</f>
        <v>-83.852319210141957</v>
      </c>
      <c r="J125" s="189">
        <f>Sizing!J141</f>
        <v>13.043581642517145</v>
      </c>
      <c r="K125" s="128">
        <v>81</v>
      </c>
      <c r="L125" s="12">
        <f t="shared" si="265"/>
        <v>95.669294400000013</v>
      </c>
      <c r="M125" s="11">
        <f t="shared" si="265"/>
        <v>16.02362256</v>
      </c>
      <c r="N125" s="11">
        <f t="shared" si="265"/>
        <v>1.1811023999999932</v>
      </c>
      <c r="O125" s="152">
        <f t="shared" si="325"/>
        <v>18.995289206274325</v>
      </c>
      <c r="P125" s="170">
        <f t="shared" si="260"/>
        <v>2.8842520607999997</v>
      </c>
      <c r="Q125" s="8">
        <f t="shared" si="261"/>
        <v>1.4421260303999999</v>
      </c>
      <c r="R125" s="170">
        <f>Sizing!X141</f>
        <v>4.0059056399999999</v>
      </c>
      <c r="S125" s="8">
        <f>Sizing!Y141</f>
        <v>12.01771692</v>
      </c>
      <c r="T125" s="8">
        <f>Sizing!Z141</f>
        <v>8.0118112799999999</v>
      </c>
      <c r="U125" s="17">
        <f>Sizing!CN141</f>
        <v>0.25</v>
      </c>
      <c r="V125" s="17">
        <f>Sizing!CO141</f>
        <v>2.3622047244094495E-2</v>
      </c>
      <c r="W125" s="17">
        <f>Sizing!CP141</f>
        <v>1.5748031496062995E-2</v>
      </c>
      <c r="X125" s="170">
        <f>Sizing!DU141</f>
        <v>1.6272075519057922E-2</v>
      </c>
      <c r="Y125" s="170">
        <f>Sizing!DV141</f>
        <v>0.12756204576227964</v>
      </c>
      <c r="Z125" s="170">
        <f>Sizing!DW141</f>
        <v>1.6272075519057922E-2</v>
      </c>
      <c r="AA125" s="272">
        <f>Sizing!DX141</f>
        <v>0.12756204576227964</v>
      </c>
      <c r="AB125" s="272">
        <f t="shared" si="266"/>
        <v>2.1779498575574054</v>
      </c>
      <c r="AC125" s="216">
        <f>Sizing!GJ141</f>
        <v>0.25</v>
      </c>
      <c r="AD125" s="216">
        <f>Sizing!GK141</f>
        <v>1.5748031496062995E-2</v>
      </c>
      <c r="AE125" s="17">
        <f>Sizing!GL141</f>
        <v>1.5748031496062995E-2</v>
      </c>
      <c r="AF125" s="170">
        <f>Sizing!JC141</f>
        <v>2.8003815318914239E-4</v>
      </c>
      <c r="AG125" s="272">
        <f>Sizing!JD141</f>
        <v>1.6734340536428149E-2</v>
      </c>
      <c r="AH125" s="170">
        <f>Sizing!JC141</f>
        <v>2.8003815318914239E-4</v>
      </c>
      <c r="AI125" s="272">
        <f>Sizing!JD141</f>
        <v>1.6734340536428149E-2</v>
      </c>
      <c r="AJ125" s="216">
        <f>Sizing!IT141</f>
        <v>0.25</v>
      </c>
      <c r="AK125" s="216">
        <f>Sizing!IU141</f>
        <v>1.5748031496062995E-2</v>
      </c>
      <c r="AL125" s="17">
        <f>Sizing!IV141</f>
        <v>1.5748031496062995E-2</v>
      </c>
      <c r="AM125" s="170">
        <f t="shared" si="267"/>
        <v>0</v>
      </c>
      <c r="AN125" s="11">
        <f t="shared" si="268"/>
        <v>1.9296507543228633E-2</v>
      </c>
      <c r="AO125" s="11">
        <f t="shared" si="269"/>
        <v>1.9296507543228633E-2</v>
      </c>
      <c r="AP125" s="11">
        <f t="shared" si="270"/>
        <v>3.8593015086457266E-2</v>
      </c>
      <c r="AQ125" s="555">
        <f t="shared" si="271"/>
        <v>615719.90943205485</v>
      </c>
      <c r="AR125" s="311">
        <f t="shared" si="272"/>
        <v>4.1414540587081792</v>
      </c>
      <c r="AS125" s="11">
        <f t="shared" si="273"/>
        <v>5.9794585249194727E-4</v>
      </c>
      <c r="AT125" s="11">
        <f t="shared" si="274"/>
        <v>3.4744623035293659E-2</v>
      </c>
      <c r="AU125" s="11">
        <f t="shared" si="275"/>
        <v>3.5342568887785607E-2</v>
      </c>
      <c r="AV125" s="555">
        <f t="shared" si="276"/>
        <v>563861.70569813135</v>
      </c>
      <c r="AW125" s="138">
        <f t="shared" si="277"/>
        <v>3.9370078740157494E-2</v>
      </c>
      <c r="AX125" s="138">
        <f t="shared" si="278"/>
        <v>3.1496062992125991E-2</v>
      </c>
      <c r="AY125" s="554">
        <f t="shared" si="279"/>
        <v>3.1496062992125991E-2</v>
      </c>
      <c r="AZ125" s="12">
        <f t="shared" si="280"/>
        <v>108.89427660631084</v>
      </c>
      <c r="BA125" s="11">
        <f t="shared" si="281"/>
        <v>51.320896037255537</v>
      </c>
      <c r="BB125">
        <f t="shared" si="282"/>
        <v>36.386656653273143</v>
      </c>
      <c r="BC125" s="555">
        <f t="shared" si="283"/>
        <v>137213645.59961319</v>
      </c>
      <c r="BD125">
        <f t="shared" si="284"/>
        <v>81</v>
      </c>
      <c r="BE125" s="207">
        <f t="shared" si="285"/>
        <v>1.3353018799999998</v>
      </c>
      <c r="BF125" s="207">
        <f>'Inputs-Imperial'!$E$15*BE125</f>
        <v>1.00147641</v>
      </c>
      <c r="BG125" s="207">
        <f>'Inputs-Imperial'!$E$12*BE125</f>
        <v>0.33382546999999996</v>
      </c>
      <c r="BH125">
        <f>'Inputs-Imperial'!$E$11*BE125</f>
        <v>0.24035433839999995</v>
      </c>
      <c r="BI125">
        <f t="shared" si="286"/>
        <v>0.25493427385536926</v>
      </c>
      <c r="BJ125">
        <f>'Weight '!U127+'Weight '!V127 /12</f>
        <v>2.4934383202099744E-2</v>
      </c>
      <c r="BK125">
        <f>('Weight '!AK127+'Weight '!AL127)/12</f>
        <v>2.6246719160104991E-3</v>
      </c>
      <c r="BL125">
        <f>'Weight '!AG127/12</f>
        <v>1.0630170480189971E-2</v>
      </c>
      <c r="BM125">
        <f>'Weight '!AI127/12</f>
        <v>1.0630170480189971E-2</v>
      </c>
      <c r="BN125" s="554">
        <f t="shared" si="287"/>
        <v>0.39322298110324888</v>
      </c>
      <c r="BO125" s="554">
        <f t="shared" si="288"/>
        <v>1.7587773547525158</v>
      </c>
      <c r="BP125">
        <f t="shared" si="289"/>
        <v>1.0630170480189971E-2</v>
      </c>
      <c r="BQ125">
        <f t="shared" si="289"/>
        <v>1.0630170480189971E-2</v>
      </c>
      <c r="BR125">
        <f t="shared" si="290"/>
        <v>0.21909399743962002</v>
      </c>
      <c r="BS125">
        <f t="shared" si="291"/>
        <v>6.0177299987189264E-2</v>
      </c>
      <c r="BT125">
        <f t="shared" si="292"/>
        <v>0.14034322454595141</v>
      </c>
      <c r="BU125">
        <f t="shared" si="293"/>
        <v>1.2569566415020163E-2</v>
      </c>
      <c r="BV125">
        <f t="shared" si="294"/>
        <v>789.16966344695072</v>
      </c>
      <c r="BW125" s="207">
        <f t="shared" si="295"/>
        <v>250.10858549870156</v>
      </c>
      <c r="BX125">
        <f t="shared" si="296"/>
        <v>0.52551631340504357</v>
      </c>
      <c r="BY125" s="575">
        <f t="shared" si="297"/>
        <v>36.475595698048011</v>
      </c>
      <c r="BZ125">
        <f t="shared" si="298"/>
        <v>777.01113154760139</v>
      </c>
      <c r="CA125" s="207">
        <f t="shared" si="299"/>
        <v>253.96194347220089</v>
      </c>
      <c r="CB125">
        <f t="shared" si="300"/>
        <v>0.5229713927953602</v>
      </c>
      <c r="CC125">
        <f t="shared" si="301"/>
        <v>325.56277055088128</v>
      </c>
      <c r="CD125">
        <f t="shared" si="302"/>
        <v>668.49020803064093</v>
      </c>
      <c r="CE125" s="207">
        <f t="shared" si="303"/>
        <v>288.35507328320796</v>
      </c>
      <c r="CF125">
        <f t="shared" si="304"/>
        <v>0.50025671497681778</v>
      </c>
      <c r="CG125">
        <f t="shared" si="305"/>
        <v>210.85424063610179</v>
      </c>
      <c r="CH125">
        <f t="shared" si="306"/>
        <v>598.20546115194031</v>
      </c>
      <c r="CI125" s="207">
        <f t="shared" ref="CI125" si="371" xml:space="preserve"> ($BQ$38-CH125*($BP125+$BR125+$BQ125+$BN125))/($BP125+$BR125+$BQ125+$BO125)</f>
        <v>310.63015485082042</v>
      </c>
      <c r="CJ125">
        <f t="shared" si="308"/>
        <v>0.48554530883348573</v>
      </c>
      <c r="CK125">
        <f t="shared" si="309"/>
        <v>141.82298939556244</v>
      </c>
      <c r="CL125">
        <f t="shared" si="310"/>
        <v>550.93113135341946</v>
      </c>
      <c r="CM125" s="207">
        <f t="shared" ref="CM125" si="372" xml:space="preserve"> ($BQ$38-CL125*($BP125+$BR125+$BQ125+$BN125))/($BP125+$BR125+$BQ125+$BO125)</f>
        <v>325.61263112171929</v>
      </c>
      <c r="CN125">
        <f t="shared" si="312"/>
        <v>0.47565024771844561</v>
      </c>
      <c r="CO125">
        <f t="shared" si="313"/>
        <v>97.71828368895801</v>
      </c>
      <c r="CP125">
        <f t="shared" si="314"/>
        <v>518.3583701237668</v>
      </c>
      <c r="CQ125" s="207">
        <f t="shared" ref="CQ125" si="373" xml:space="preserve"> ($BQ$38-CP125*($BP125+$BR125+$BQ125+$BN125))/($BP125+$BR125+$BQ125+$BO125)</f>
        <v>335.93579433272254</v>
      </c>
      <c r="CR125">
        <f t="shared" si="316"/>
        <v>0.46883239404549715</v>
      </c>
      <c r="CS125">
        <f t="shared" si="317"/>
        <v>68.418215175720405</v>
      </c>
      <c r="CT125">
        <f t="shared" si="318"/>
        <v>495.55229839852666</v>
      </c>
      <c r="CU125" s="636">
        <f t="shared" si="319"/>
        <v>343.16363722149714</v>
      </c>
      <c r="CV125" s="575">
        <f t="shared" si="320"/>
        <v>0.46405882085097455</v>
      </c>
      <c r="CW125">
        <f t="shared" si="321"/>
        <v>48.432254495703667</v>
      </c>
      <c r="CX125" s="576">
        <f t="shared" si="322"/>
        <v>0.34753101736887737</v>
      </c>
    </row>
    <row r="126" spans="1:102" x14ac:dyDescent="0.25">
      <c r="A126" s="186">
        <v>82</v>
      </c>
      <c r="B126" s="187">
        <f>A126/100*'Inputs-Imperial'!$E$5</f>
        <v>8.0708663999999999</v>
      </c>
      <c r="C126" s="188">
        <f>'Inputs-Imperial'!$E$10+('Inputs-Imperial'!$E$9-'Inputs-Imperial'!$E$10)*(100-A126)/100</f>
        <v>1.32545936</v>
      </c>
      <c r="D126" s="187">
        <f t="shared" si="323"/>
        <v>9.8425199999999435E-2</v>
      </c>
      <c r="E126" s="188">
        <f t="shared" si="324"/>
        <v>0.13094297859962323</v>
      </c>
      <c r="F126" s="423">
        <f>Sizing!F142</f>
        <v>13.608842118548246</v>
      </c>
      <c r="G126" s="423">
        <f>Sizing!G142</f>
        <v>136.08842118548247</v>
      </c>
      <c r="H126" s="423">
        <f>Sizing!H142</f>
        <v>116.11733949545956</v>
      </c>
      <c r="I126" s="423">
        <f>Sizing!I142</f>
        <v>-77.34453241806267</v>
      </c>
      <c r="J126" s="189">
        <f>Sizing!J142</f>
        <v>11.611733949545956</v>
      </c>
      <c r="K126" s="128">
        <v>82</v>
      </c>
      <c r="L126" s="12">
        <f t="shared" si="265"/>
        <v>96.850396799999999</v>
      </c>
      <c r="M126" s="11">
        <f t="shared" si="265"/>
        <v>15.90551232</v>
      </c>
      <c r="N126" s="11">
        <f t="shared" si="265"/>
        <v>1.1811023999999932</v>
      </c>
      <c r="O126" s="152">
        <f t="shared" si="325"/>
        <v>18.855788918345745</v>
      </c>
      <c r="P126" s="170">
        <f t="shared" si="260"/>
        <v>2.8629922176</v>
      </c>
      <c r="Q126" s="8">
        <f t="shared" si="261"/>
        <v>1.4314961088</v>
      </c>
      <c r="R126" s="170">
        <f>Sizing!X142</f>
        <v>3.9763780799999999</v>
      </c>
      <c r="S126" s="8">
        <f>Sizing!Y142</f>
        <v>11.92913424</v>
      </c>
      <c r="T126" s="8">
        <f>Sizing!Z142</f>
        <v>7.9527561599999999</v>
      </c>
      <c r="U126" s="17">
        <f>Sizing!CN142</f>
        <v>0.25</v>
      </c>
      <c r="V126" s="17">
        <f>Sizing!CO142</f>
        <v>2.3622047244094495E-2</v>
      </c>
      <c r="W126" s="17">
        <f>Sizing!CP142</f>
        <v>1.5748031496062995E-2</v>
      </c>
      <c r="X126" s="170">
        <f>Sizing!DU142</f>
        <v>1.6272075519057922E-2</v>
      </c>
      <c r="Y126" s="170">
        <f>Sizing!DV142</f>
        <v>0.12756204576227964</v>
      </c>
      <c r="Z126" s="170">
        <f>Sizing!DW142</f>
        <v>1.6272075519057922E-2</v>
      </c>
      <c r="AA126" s="272">
        <f>Sizing!DX142</f>
        <v>0.12756204576227964</v>
      </c>
      <c r="AB126" s="272">
        <f t="shared" si="266"/>
        <v>2.1566900143574053</v>
      </c>
      <c r="AC126" s="216">
        <f>Sizing!GJ142</f>
        <v>0.25</v>
      </c>
      <c r="AD126" s="216">
        <f>Sizing!GK142</f>
        <v>1.5748031496062995E-2</v>
      </c>
      <c r="AE126" s="17">
        <f>Sizing!GL142</f>
        <v>1.5748031496062995E-2</v>
      </c>
      <c r="AF126" s="170">
        <f>Sizing!JC142</f>
        <v>2.8003815318914239E-4</v>
      </c>
      <c r="AG126" s="272">
        <f>Sizing!JD142</f>
        <v>1.6734340536428149E-2</v>
      </c>
      <c r="AH126" s="170">
        <f>Sizing!JC142</f>
        <v>2.8003815318914239E-4</v>
      </c>
      <c r="AI126" s="272">
        <f>Sizing!JD142</f>
        <v>1.6734340536428149E-2</v>
      </c>
      <c r="AJ126" s="216">
        <f>Sizing!IT142</f>
        <v>0.25</v>
      </c>
      <c r="AK126" s="216">
        <f>Sizing!IU142</f>
        <v>1.5748031496062995E-2</v>
      </c>
      <c r="AL126" s="17">
        <f>Sizing!IV142</f>
        <v>1.5748031496062995E-2</v>
      </c>
      <c r="AM126" s="170">
        <f t="shared" si="267"/>
        <v>0</v>
      </c>
      <c r="AN126" s="11">
        <f t="shared" si="268"/>
        <v>1.8921624291413398E-2</v>
      </c>
      <c r="AO126" s="11">
        <f t="shared" si="269"/>
        <v>1.8921624291413398E-2</v>
      </c>
      <c r="AP126" s="11">
        <f t="shared" si="270"/>
        <v>3.7843248582826797E-2</v>
      </c>
      <c r="AQ126" s="555">
        <f t="shared" si="271"/>
        <v>603757.99967516365</v>
      </c>
      <c r="AR126" s="311">
        <f t="shared" si="272"/>
        <v>4.1109273703147524</v>
      </c>
      <c r="AS126" s="11">
        <f t="shared" si="273"/>
        <v>5.89163413363951E-4</v>
      </c>
      <c r="AT126" s="11">
        <f t="shared" si="274"/>
        <v>3.4234305026462526E-2</v>
      </c>
      <c r="AU126" s="11">
        <f t="shared" si="275"/>
        <v>3.4823468439826477E-2</v>
      </c>
      <c r="AV126" s="555">
        <f t="shared" si="276"/>
        <v>555579.88371331082</v>
      </c>
      <c r="AW126" s="138">
        <f t="shared" si="277"/>
        <v>3.9370078740157494E-2</v>
      </c>
      <c r="AX126" s="138">
        <f t="shared" si="278"/>
        <v>3.1496062992125991E-2</v>
      </c>
      <c r="AY126" s="554">
        <f t="shared" si="279"/>
        <v>3.1496062992125991E-2</v>
      </c>
      <c r="AZ126" s="12">
        <f t="shared" si="280"/>
        <v>107.29487199183593</v>
      </c>
      <c r="BA126" s="11">
        <f t="shared" si="281"/>
        <v>50.942609334278231</v>
      </c>
      <c r="BB126">
        <f t="shared" si="282"/>
        <v>35.587953990123161</v>
      </c>
      <c r="BC126" s="555">
        <f t="shared" si="283"/>
        <v>134201747.44130658</v>
      </c>
      <c r="BD126">
        <f t="shared" si="284"/>
        <v>82</v>
      </c>
      <c r="BE126" s="207">
        <f t="shared" si="285"/>
        <v>1.32545936</v>
      </c>
      <c r="BF126" s="207">
        <f>'Inputs-Imperial'!$E$15*BE126</f>
        <v>0.99409451999999998</v>
      </c>
      <c r="BG126" s="207">
        <f>'Inputs-Imperial'!$E$12*BE126</f>
        <v>0.33136483999999999</v>
      </c>
      <c r="BH126">
        <f>'Inputs-Imperial'!$E$11*BE126</f>
        <v>0.2385826848</v>
      </c>
      <c r="BI126">
        <f t="shared" si="286"/>
        <v>0.25305515144365898</v>
      </c>
      <c r="BJ126">
        <f>'Weight '!U128+'Weight '!V128 /12</f>
        <v>2.4934383202099744E-2</v>
      </c>
      <c r="BK126">
        <f>('Weight '!AK128+'Weight '!AL128)/12</f>
        <v>2.6246719160104991E-3</v>
      </c>
      <c r="BL126">
        <f>'Weight '!AG128/12</f>
        <v>1.0630170480189971E-2</v>
      </c>
      <c r="BM126">
        <f>'Weight '!AI128/12</f>
        <v>1.0630170480189971E-2</v>
      </c>
      <c r="BN126" s="554">
        <f t="shared" si="287"/>
        <v>0.38804843091651819</v>
      </c>
      <c r="BO126" s="554">
        <f t="shared" si="288"/>
        <v>1.7480894946012431</v>
      </c>
      <c r="BP126">
        <f t="shared" si="289"/>
        <v>1.0630170480189971E-2</v>
      </c>
      <c r="BQ126">
        <f t="shared" si="289"/>
        <v>1.0630170480189971E-2</v>
      </c>
      <c r="BR126">
        <f t="shared" si="290"/>
        <v>0.21732234383962007</v>
      </c>
      <c r="BS126">
        <f t="shared" si="291"/>
        <v>5.9293434881641821E-2</v>
      </c>
      <c r="BT126">
        <f t="shared" si="292"/>
        <v>0.13828190775369611</v>
      </c>
      <c r="BU126">
        <f t="shared" si="293"/>
        <v>1.220304240913175E-2</v>
      </c>
      <c r="BV126">
        <f t="shared" si="294"/>
        <v>797.91760648252762</v>
      </c>
      <c r="BW126" s="207">
        <f t="shared" si="295"/>
        <v>251.67715397851566</v>
      </c>
      <c r="BX126">
        <f t="shared" si="296"/>
        <v>0.52206501730143473</v>
      </c>
      <c r="BY126" s="575">
        <f t="shared" si="297"/>
        <v>37.272960237266801</v>
      </c>
      <c r="BZ126">
        <f t="shared" si="298"/>
        <v>785.49328640343867</v>
      </c>
      <c r="CA126" s="207">
        <f t="shared" si="299"/>
        <v>255.59600160415923</v>
      </c>
      <c r="CB126">
        <f t="shared" si="300"/>
        <v>0.51950784462257837</v>
      </c>
      <c r="CC126">
        <f t="shared" si="301"/>
        <v>327.93415851604266</v>
      </c>
      <c r="CD126">
        <f t="shared" si="302"/>
        <v>676.18190023142449</v>
      </c>
      <c r="CE126" s="207">
        <f t="shared" si="303"/>
        <v>290.07472264717137</v>
      </c>
      <c r="CF126">
        <f t="shared" si="304"/>
        <v>0.49700938286148327</v>
      </c>
      <c r="CG126">
        <f t="shared" si="305"/>
        <v>213.18601486743427</v>
      </c>
      <c r="CH126">
        <f t="shared" si="306"/>
        <v>605.11989527561309</v>
      </c>
      <c r="CI126" s="207">
        <f t="shared" ref="CI126" si="374" xml:space="preserve"> ($BQ$38-CH126*($BP126+$BR126+$BQ126+$BN126))/($BP126+$BR126+$BQ126+$BO126)</f>
        <v>312.48892057686373</v>
      </c>
      <c r="CJ126">
        <f t="shared" si="308"/>
        <v>0.48238340603369706</v>
      </c>
      <c r="CK126">
        <f t="shared" si="309"/>
        <v>143.86591396397299</v>
      </c>
      <c r="CL126">
        <f t="shared" si="310"/>
        <v>557.16459062095544</v>
      </c>
      <c r="CM126" s="207">
        <f t="shared" ref="CM126" si="375" xml:space="preserve"> ($BQ$38-CL126*($BP126+$BR126+$BQ126+$BN126))/($BP126+$BR126+$BQ126+$BO126)</f>
        <v>327.61486152064361</v>
      </c>
      <c r="CN126">
        <f t="shared" si="312"/>
        <v>0.47251324862560534</v>
      </c>
      <c r="CO126">
        <f t="shared" si="313"/>
        <v>99.435550618204729</v>
      </c>
      <c r="CP126">
        <f t="shared" si="314"/>
        <v>524.01940708155382</v>
      </c>
      <c r="CQ126" s="207">
        <f t="shared" ref="CQ126" si="376" xml:space="preserve"> ($BQ$38-CP126*($BP126+$BR126+$BQ126+$BN126))/($BP126+$BR126+$BQ126+$BO126)</f>
        <v>338.06943150822144</v>
      </c>
      <c r="CR126">
        <f t="shared" si="316"/>
        <v>0.46569130929668462</v>
      </c>
      <c r="CS126">
        <f t="shared" si="317"/>
        <v>69.833219781042459</v>
      </c>
      <c r="CT126">
        <f t="shared" si="318"/>
        <v>500.74166715453964</v>
      </c>
      <c r="CU126" s="636">
        <f t="shared" si="319"/>
        <v>345.41163738046555</v>
      </c>
      <c r="CV126" s="575">
        <f t="shared" si="320"/>
        <v>0.46090028651330756</v>
      </c>
      <c r="CW126">
        <f t="shared" si="321"/>
        <v>49.584259239500895</v>
      </c>
      <c r="CX126" s="576">
        <f t="shared" si="322"/>
        <v>0.34772871988569121</v>
      </c>
    </row>
    <row r="127" spans="1:102" x14ac:dyDescent="0.25">
      <c r="A127" s="186">
        <v>83</v>
      </c>
      <c r="B127" s="187">
        <f>A127/100*'Inputs-Imperial'!$E$5</f>
        <v>8.1692915999999993</v>
      </c>
      <c r="C127" s="188">
        <f>'Inputs-Imperial'!$E$10+('Inputs-Imperial'!$E$9-'Inputs-Imperial'!$E$10)*(100-A127)/100</f>
        <v>1.3156168399999999</v>
      </c>
      <c r="D127" s="187">
        <f t="shared" si="323"/>
        <v>9.8425199999999435E-2</v>
      </c>
      <c r="E127" s="188">
        <f t="shared" si="324"/>
        <v>0.12997422660011923</v>
      </c>
      <c r="F127" s="423">
        <f>Sizing!F143</f>
        <v>12.684810738488826</v>
      </c>
      <c r="G127" s="423">
        <f>Sizing!G143</f>
        <v>126.84810738488827</v>
      </c>
      <c r="H127" s="423">
        <f>Sizing!H143</f>
        <v>102.7228094225943</v>
      </c>
      <c r="I127" s="423">
        <f>Sizing!I143</f>
        <v>-71.041144208848408</v>
      </c>
      <c r="J127" s="189">
        <f>Sizing!J143</f>
        <v>10.272280942259428</v>
      </c>
      <c r="K127" s="128">
        <v>83</v>
      </c>
      <c r="L127" s="12">
        <f t="shared" si="265"/>
        <v>98.031499199999985</v>
      </c>
      <c r="M127" s="11">
        <f t="shared" si="265"/>
        <v>15.78740208</v>
      </c>
      <c r="N127" s="11">
        <f t="shared" si="265"/>
        <v>1.1811023999999932</v>
      </c>
      <c r="O127" s="152">
        <f t="shared" si="325"/>
        <v>18.716288630417168</v>
      </c>
      <c r="P127" s="170">
        <f t="shared" si="260"/>
        <v>2.8417323743999998</v>
      </c>
      <c r="Q127" s="8">
        <f t="shared" si="261"/>
        <v>1.4208661871999999</v>
      </c>
      <c r="R127" s="170">
        <f>Sizing!X143</f>
        <v>3.9468505199999999</v>
      </c>
      <c r="S127" s="8">
        <f>Sizing!Y143</f>
        <v>11.84055156</v>
      </c>
      <c r="T127" s="8">
        <f>Sizing!Z143</f>
        <v>7.8937010399999998</v>
      </c>
      <c r="U127" s="17">
        <f>Sizing!CN143</f>
        <v>0.25</v>
      </c>
      <c r="V127" s="17">
        <f>Sizing!CO143</f>
        <v>2.3622047244094495E-2</v>
      </c>
      <c r="W127" s="17">
        <f>Sizing!CP143</f>
        <v>1.5748031496062995E-2</v>
      </c>
      <c r="X127" s="170">
        <f>Sizing!DU143</f>
        <v>1.6272075519057922E-2</v>
      </c>
      <c r="Y127" s="170">
        <f>Sizing!DV143</f>
        <v>0.12756204576227964</v>
      </c>
      <c r="Z127" s="170">
        <f>Sizing!DW143</f>
        <v>1.6272075519057922E-2</v>
      </c>
      <c r="AA127" s="272">
        <f>Sizing!DX143</f>
        <v>0.12756204576227964</v>
      </c>
      <c r="AB127" s="272">
        <f t="shared" si="266"/>
        <v>2.1354301711574051</v>
      </c>
      <c r="AC127" s="216">
        <f>Sizing!GJ143</f>
        <v>0.25</v>
      </c>
      <c r="AD127" s="216">
        <f>Sizing!GK143</f>
        <v>1.5748031496062995E-2</v>
      </c>
      <c r="AE127" s="17">
        <f>Sizing!GL143</f>
        <v>1.5748031496062995E-2</v>
      </c>
      <c r="AF127" s="170">
        <f>Sizing!JC143</f>
        <v>2.8003815318914239E-4</v>
      </c>
      <c r="AG127" s="272">
        <f>Sizing!JD143</f>
        <v>1.6734340536428149E-2</v>
      </c>
      <c r="AH127" s="170">
        <f>Sizing!JC143</f>
        <v>2.8003815318914239E-4</v>
      </c>
      <c r="AI127" s="272">
        <f>Sizing!JD143</f>
        <v>1.6734340536428149E-2</v>
      </c>
      <c r="AJ127" s="216">
        <f>Sizing!IT143</f>
        <v>0.25</v>
      </c>
      <c r="AK127" s="216">
        <f>Sizing!IU143</f>
        <v>1.5748031496062995E-2</v>
      </c>
      <c r="AL127" s="17">
        <f>Sizing!IV143</f>
        <v>1.5748031496062995E-2</v>
      </c>
      <c r="AM127" s="170">
        <f t="shared" si="267"/>
        <v>0</v>
      </c>
      <c r="AN127" s="11">
        <f t="shared" si="268"/>
        <v>1.855041837353473E-2</v>
      </c>
      <c r="AO127" s="11">
        <f t="shared" si="269"/>
        <v>1.855041837353473E-2</v>
      </c>
      <c r="AP127" s="11">
        <f t="shared" si="270"/>
        <v>3.710083674706946E-2</v>
      </c>
      <c r="AQ127" s="555">
        <f t="shared" si="271"/>
        <v>591913.42761336069</v>
      </c>
      <c r="AR127" s="311">
        <f t="shared" si="272"/>
        <v>4.0804006819213274</v>
      </c>
      <c r="AS127" s="11">
        <f t="shared" si="273"/>
        <v>5.804459491247101E-4</v>
      </c>
      <c r="AT127" s="11">
        <f t="shared" si="274"/>
        <v>3.3727762489953177E-2</v>
      </c>
      <c r="AU127" s="11">
        <f t="shared" si="275"/>
        <v>3.4308208439077885E-2</v>
      </c>
      <c r="AV127" s="555">
        <f t="shared" si="276"/>
        <v>547359.33291456755</v>
      </c>
      <c r="AW127" s="138">
        <f t="shared" si="277"/>
        <v>3.9370078740157494E-2</v>
      </c>
      <c r="AX127" s="138">
        <f t="shared" si="278"/>
        <v>3.1496062992125991E-2</v>
      </c>
      <c r="AY127" s="554">
        <f t="shared" si="279"/>
        <v>3.1496062992125991E-2</v>
      </c>
      <c r="AZ127" s="12">
        <f t="shared" si="280"/>
        <v>105.70730021051374</v>
      </c>
      <c r="BA127" s="11">
        <f t="shared" si="281"/>
        <v>50.564322631300911</v>
      </c>
      <c r="BB127">
        <f t="shared" si="282"/>
        <v>34.801025598585447</v>
      </c>
      <c r="BC127" s="555">
        <f t="shared" si="283"/>
        <v>131234249.91995855</v>
      </c>
      <c r="BD127">
        <f t="shared" si="284"/>
        <v>83</v>
      </c>
      <c r="BE127" s="207">
        <f t="shared" si="285"/>
        <v>1.3156168399999999</v>
      </c>
      <c r="BF127" s="207">
        <f>'Inputs-Imperial'!$E$15*BE127</f>
        <v>0.98671262999999998</v>
      </c>
      <c r="BG127" s="207">
        <f>'Inputs-Imperial'!$E$12*BE127</f>
        <v>0.32890420999999997</v>
      </c>
      <c r="BH127">
        <f>'Inputs-Imperial'!$E$11*BE127</f>
        <v>0.23681103119999997</v>
      </c>
      <c r="BI127">
        <f t="shared" si="286"/>
        <v>0.25117602903194858</v>
      </c>
      <c r="BJ127">
        <f>'Weight '!U129+'Weight '!V129 /12</f>
        <v>2.4934383202099744E-2</v>
      </c>
      <c r="BK127">
        <f>('Weight '!AK129+'Weight '!AL129)/12</f>
        <v>2.6246719160104991E-3</v>
      </c>
      <c r="BL127">
        <f>'Weight '!AG129/12</f>
        <v>1.0630170480189971E-2</v>
      </c>
      <c r="BM127">
        <f>'Weight '!AI129/12</f>
        <v>1.0630170480189971E-2</v>
      </c>
      <c r="BN127" s="554">
        <f t="shared" si="287"/>
        <v>0.38289717769164255</v>
      </c>
      <c r="BO127" s="554">
        <f t="shared" si="288"/>
        <v>1.7373783374881158</v>
      </c>
      <c r="BP127">
        <f t="shared" si="289"/>
        <v>1.0630170480189971E-2</v>
      </c>
      <c r="BQ127">
        <f t="shared" si="289"/>
        <v>1.0630170480189971E-2</v>
      </c>
      <c r="BR127">
        <f t="shared" si="290"/>
        <v>0.21555069023962004</v>
      </c>
      <c r="BS127">
        <f t="shared" si="291"/>
        <v>5.8416108852090996E-2</v>
      </c>
      <c r="BT127">
        <f t="shared" si="292"/>
        <v>0.13623584114732676</v>
      </c>
      <c r="BU127">
        <f t="shared" si="293"/>
        <v>1.1844593228581004E-2</v>
      </c>
      <c r="BV127">
        <f t="shared" si="294"/>
        <v>806.83133259483122</v>
      </c>
      <c r="BW127" s="207">
        <f t="shared" si="295"/>
        <v>253.26851006813951</v>
      </c>
      <c r="BX127">
        <f t="shared" si="296"/>
        <v>0.51861171188974819</v>
      </c>
      <c r="BY127" s="575">
        <f t="shared" si="297"/>
        <v>38.078349330502647</v>
      </c>
      <c r="BZ127">
        <f t="shared" si="298"/>
        <v>794.13854948466371</v>
      </c>
      <c r="CA127" s="207">
        <f t="shared" si="299"/>
        <v>257.25284004772953</v>
      </c>
      <c r="CB127">
        <f t="shared" si="300"/>
        <v>0.51604316879779322</v>
      </c>
      <c r="CC127">
        <f t="shared" si="301"/>
        <v>330.33962720577426</v>
      </c>
      <c r="CD127">
        <f t="shared" si="302"/>
        <v>684.02534041607225</v>
      </c>
      <c r="CE127" s="207">
        <f t="shared" si="303"/>
        <v>291.81794340078483</v>
      </c>
      <c r="CF127">
        <f t="shared" si="304"/>
        <v>0.49376038652448995</v>
      </c>
      <c r="CG127">
        <f t="shared" si="305"/>
        <v>215.55056377663254</v>
      </c>
      <c r="CH127">
        <f t="shared" si="306"/>
        <v>612.17515249052803</v>
      </c>
      <c r="CI127" s="207">
        <f t="shared" ref="CI127" si="377" xml:space="preserve"> ($BQ$38-CH127*($BP127+$BR127+$BQ127+$BN127))/($BP127+$BR127+$BQ127+$BO127)</f>
        <v>314.37208738214741</v>
      </c>
      <c r="CJ127">
        <f t="shared" si="308"/>
        <v>0.47922060417336865</v>
      </c>
      <c r="CK127">
        <f t="shared" si="309"/>
        <v>145.94074124670738</v>
      </c>
      <c r="CL127">
        <f t="shared" si="310"/>
        <v>563.52823874162561</v>
      </c>
      <c r="CM127" s="207">
        <f t="shared" ref="CM127" si="378" xml:space="preserve"> ($BQ$38-CL127*($BP127+$BR127+$BQ127+$BN127))/($BP127+$BR127+$BQ127+$BO127)</f>
        <v>329.64260411452733</v>
      </c>
      <c r="CN127">
        <f t="shared" si="312"/>
        <v>0.46937629397204012</v>
      </c>
      <c r="CO127">
        <f t="shared" si="313"/>
        <v>101.1831117825439</v>
      </c>
      <c r="CP127">
        <f t="shared" si="314"/>
        <v>529.80053481411096</v>
      </c>
      <c r="CQ127" s="207">
        <f t="shared" ref="CQ127" si="379" xml:space="preserve"> ($BQ$38-CP127*($BP127+$BR127+$BQ127+$BN127))/($BP127+$BR127+$BQ127+$BO127)</f>
        <v>340.22990405771213</v>
      </c>
      <c r="CR127">
        <f t="shared" si="316"/>
        <v>0.46255107209764085</v>
      </c>
      <c r="CS127">
        <f t="shared" si="317"/>
        <v>71.276362584061516</v>
      </c>
      <c r="CT127">
        <f t="shared" si="318"/>
        <v>506.04174728609047</v>
      </c>
      <c r="CU127" s="636">
        <f t="shared" si="319"/>
        <v>347.68790980830067</v>
      </c>
      <c r="CV127" s="575">
        <f t="shared" si="320"/>
        <v>0.45774318488735372</v>
      </c>
      <c r="CW127">
        <f t="shared" si="321"/>
        <v>50.761945183107244</v>
      </c>
      <c r="CX127" s="576">
        <f t="shared" si="322"/>
        <v>0.3479304695486824</v>
      </c>
    </row>
    <row r="128" spans="1:102" x14ac:dyDescent="0.25">
      <c r="A128" s="186">
        <v>84</v>
      </c>
      <c r="B128" s="187">
        <f>A128/100*'Inputs-Imperial'!$E$5</f>
        <v>8.2677168000000005</v>
      </c>
      <c r="C128" s="188">
        <f>'Inputs-Imperial'!$E$10+('Inputs-Imperial'!$E$9-'Inputs-Imperial'!$E$10)*(100-A128)/100</f>
        <v>1.3057743199999998</v>
      </c>
      <c r="D128" s="187">
        <f t="shared" si="323"/>
        <v>9.8425200000001212E-2</v>
      </c>
      <c r="E128" s="188">
        <f t="shared" si="324"/>
        <v>0.12900547460061759</v>
      </c>
      <c r="F128" s="423">
        <f>Sizing!F144</f>
        <v>11.775906525515406</v>
      </c>
      <c r="G128" s="423">
        <f>Sizing!G144</f>
        <v>117.75906525515406</v>
      </c>
      <c r="H128" s="423">
        <f>Sizing!H144</f>
        <v>90.237759083615032</v>
      </c>
      <c r="I128" s="423">
        <f>Sizing!I144</f>
        <v>-64.944781182765979</v>
      </c>
      <c r="J128" s="189">
        <f>Sizing!J144</f>
        <v>9.0237759083615021</v>
      </c>
      <c r="K128" s="128">
        <v>84</v>
      </c>
      <c r="L128" s="12">
        <f t="shared" si="265"/>
        <v>99.212601599999999</v>
      </c>
      <c r="M128" s="11">
        <f t="shared" si="265"/>
        <v>15.669291839999998</v>
      </c>
      <c r="N128" s="11">
        <f t="shared" si="265"/>
        <v>1.1811024000000145</v>
      </c>
      <c r="O128" s="152">
        <f t="shared" si="325"/>
        <v>18.576788342488932</v>
      </c>
      <c r="P128" s="170">
        <f t="shared" si="260"/>
        <v>2.8204725311999996</v>
      </c>
      <c r="Q128" s="8">
        <f t="shared" si="261"/>
        <v>1.4102362655999998</v>
      </c>
      <c r="R128" s="170">
        <f>Sizing!X144</f>
        <v>3.9173229599999995</v>
      </c>
      <c r="S128" s="8">
        <f>Sizing!Y144</f>
        <v>11.751968879999998</v>
      </c>
      <c r="T128" s="8">
        <f>Sizing!Z144</f>
        <v>7.834645919999998</v>
      </c>
      <c r="U128" s="17">
        <f>Sizing!CN144</f>
        <v>0.25</v>
      </c>
      <c r="V128" s="17">
        <f>Sizing!CO144</f>
        <v>2.3622047244094495E-2</v>
      </c>
      <c r="W128" s="17">
        <f>Sizing!CP144</f>
        <v>1.5748031496062995E-2</v>
      </c>
      <c r="X128" s="170">
        <f>Sizing!DU144</f>
        <v>1.6272075519057922E-2</v>
      </c>
      <c r="Y128" s="170">
        <f>Sizing!DV144</f>
        <v>0.12756204576227964</v>
      </c>
      <c r="Z128" s="170">
        <f>Sizing!DW144</f>
        <v>1.6272075519057922E-2</v>
      </c>
      <c r="AA128" s="272">
        <f>Sizing!DX144</f>
        <v>0.12756204576227964</v>
      </c>
      <c r="AB128" s="272">
        <f t="shared" si="266"/>
        <v>2.1141703279574049</v>
      </c>
      <c r="AC128" s="216">
        <f>Sizing!GJ144</f>
        <v>0.25</v>
      </c>
      <c r="AD128" s="216">
        <f>Sizing!GK144</f>
        <v>1.5748031496062995E-2</v>
      </c>
      <c r="AE128" s="17">
        <f>Sizing!GL144</f>
        <v>1.5748031496062995E-2</v>
      </c>
      <c r="AF128" s="170">
        <f>Sizing!JC144</f>
        <v>2.8003815318914239E-4</v>
      </c>
      <c r="AG128" s="272">
        <f>Sizing!JD144</f>
        <v>1.6734340536428149E-2</v>
      </c>
      <c r="AH128" s="170">
        <f>Sizing!JC144</f>
        <v>2.8003815318914239E-4</v>
      </c>
      <c r="AI128" s="272">
        <f>Sizing!JD144</f>
        <v>1.6734340536428149E-2</v>
      </c>
      <c r="AJ128" s="216">
        <f>Sizing!IT144</f>
        <v>0.25</v>
      </c>
      <c r="AK128" s="216">
        <f>Sizing!IU144</f>
        <v>1.5748031496062995E-2</v>
      </c>
      <c r="AL128" s="17">
        <f>Sizing!IV144</f>
        <v>1.5748031496062995E-2</v>
      </c>
      <c r="AM128" s="170">
        <f t="shared" si="267"/>
        <v>0</v>
      </c>
      <c r="AN128" s="11">
        <f t="shared" si="268"/>
        <v>1.8182889789592632E-2</v>
      </c>
      <c r="AO128" s="11">
        <f t="shared" si="269"/>
        <v>1.8182889789592632E-2</v>
      </c>
      <c r="AP128" s="11">
        <f t="shared" si="270"/>
        <v>3.6365779579185263E-2</v>
      </c>
      <c r="AQ128" s="555">
        <f t="shared" si="271"/>
        <v>580186.19324664597</v>
      </c>
      <c r="AR128" s="311">
        <f t="shared" si="272"/>
        <v>4.0498739935278998</v>
      </c>
      <c r="AS128" s="11">
        <f t="shared" si="273"/>
        <v>5.7179345977418955E-4</v>
      </c>
      <c r="AT128" s="11">
        <f t="shared" si="274"/>
        <v>3.3224995425765652E-2</v>
      </c>
      <c r="AU128" s="11">
        <f t="shared" si="275"/>
        <v>3.3796788885539844E-2</v>
      </c>
      <c r="AV128" s="555">
        <f t="shared" si="276"/>
        <v>539200.05330190202</v>
      </c>
      <c r="AW128" s="138">
        <f t="shared" si="277"/>
        <v>3.9370078740157494E-2</v>
      </c>
      <c r="AX128" s="138">
        <f t="shared" si="278"/>
        <v>3.1496062992125991E-2</v>
      </c>
      <c r="AY128" s="554">
        <f t="shared" si="279"/>
        <v>3.1496062992125991E-2</v>
      </c>
      <c r="AZ128" s="12">
        <f t="shared" si="280"/>
        <v>104.13156126234423</v>
      </c>
      <c r="BA128" s="11">
        <f t="shared" si="281"/>
        <v>50.186035928323612</v>
      </c>
      <c r="BB128">
        <f t="shared" si="282"/>
        <v>34.025784045949976</v>
      </c>
      <c r="BC128" s="555">
        <f t="shared" si="283"/>
        <v>128310823.32786882</v>
      </c>
      <c r="BD128">
        <f t="shared" si="284"/>
        <v>84</v>
      </c>
      <c r="BE128" s="207">
        <f t="shared" si="285"/>
        <v>1.3057743199999998</v>
      </c>
      <c r="BF128" s="207">
        <f>'Inputs-Imperial'!$E$15*BE128</f>
        <v>0.97933073999999987</v>
      </c>
      <c r="BG128" s="207">
        <f>'Inputs-Imperial'!$E$12*BE128</f>
        <v>0.32644357999999996</v>
      </c>
      <c r="BH128">
        <f>'Inputs-Imperial'!$E$11*BE128</f>
        <v>0.23503937759999996</v>
      </c>
      <c r="BI128">
        <f t="shared" si="286"/>
        <v>0.24929690662023823</v>
      </c>
      <c r="BJ128">
        <f>'Weight '!U130+'Weight '!V130 /12</f>
        <v>2.4934383202099744E-2</v>
      </c>
      <c r="BK128">
        <f>('Weight '!AK130+'Weight '!AL130)/12</f>
        <v>2.6246719160104991E-3</v>
      </c>
      <c r="BL128">
        <f>'Weight '!AG130/12</f>
        <v>1.0630170480189971E-2</v>
      </c>
      <c r="BM128">
        <f>'Weight '!AI130/12</f>
        <v>1.0630170480189971E-2</v>
      </c>
      <c r="BN128" s="554">
        <f t="shared" si="287"/>
        <v>0.37776945449672944</v>
      </c>
      <c r="BO128" s="554">
        <f t="shared" si="288"/>
        <v>1.7266436503450251</v>
      </c>
      <c r="BP128">
        <f t="shared" si="289"/>
        <v>1.0630170480189971E-2</v>
      </c>
      <c r="BQ128">
        <f t="shared" si="289"/>
        <v>1.0630170480189971E-2</v>
      </c>
      <c r="BR128">
        <f t="shared" si="290"/>
        <v>0.21377903663962003</v>
      </c>
      <c r="BS128">
        <f t="shared" si="291"/>
        <v>5.7545321898536839E-2</v>
      </c>
      <c r="BT128">
        <f t="shared" si="292"/>
        <v>0.1342050247268434</v>
      </c>
      <c r="BU128">
        <f t="shared" si="293"/>
        <v>1.1494099396576586E-2</v>
      </c>
      <c r="BV128">
        <f t="shared" si="294"/>
        <v>815.9151334181114</v>
      </c>
      <c r="BW128" s="207">
        <f t="shared" si="295"/>
        <v>254.88317576146773</v>
      </c>
      <c r="BX128">
        <f t="shared" si="296"/>
        <v>0.51515636217781735</v>
      </c>
      <c r="BY128" s="575">
        <f t="shared" si="297"/>
        <v>38.891877457219351</v>
      </c>
      <c r="BZ128">
        <f t="shared" si="298"/>
        <v>802.95117426570494</v>
      </c>
      <c r="CA128" s="207">
        <f t="shared" si="299"/>
        <v>258.93297817825169</v>
      </c>
      <c r="CB128">
        <f t="shared" si="300"/>
        <v>0.51257732410584123</v>
      </c>
      <c r="CC128">
        <f t="shared" si="301"/>
        <v>332.77977343456473</v>
      </c>
      <c r="CD128">
        <f t="shared" si="302"/>
        <v>692.02458312085002</v>
      </c>
      <c r="CE128" s="207">
        <f t="shared" si="303"/>
        <v>293.58526083533292</v>
      </c>
      <c r="CF128">
        <f t="shared" si="304"/>
        <v>0.49050969041509485</v>
      </c>
      <c r="CG128">
        <f t="shared" si="305"/>
        <v>217.94851226598291</v>
      </c>
      <c r="CH128">
        <f t="shared" si="306"/>
        <v>619.37507903218909</v>
      </c>
      <c r="CI128" s="207">
        <f t="shared" ref="CI128" si="380" xml:space="preserve"> ($BQ$38-CH128*($BP128+$BR128+$BQ128+$BN128))/($BP128+$BR128+$BQ128+$BO128)</f>
        <v>316.28019019892957</v>
      </c>
      <c r="CJ128">
        <f t="shared" si="308"/>
        <v>0.47605686510516182</v>
      </c>
      <c r="CK128">
        <f t="shared" si="309"/>
        <v>148.04809672788485</v>
      </c>
      <c r="CL128">
        <f t="shared" si="310"/>
        <v>570.02571345622744</v>
      </c>
      <c r="CM128" s="207">
        <f t="shared" ref="CM128" si="381" xml:space="preserve"> ($BQ$38-CL128*($BP128+$BR128+$BQ128+$BN128))/($BP128+$BR128+$BQ128+$BO128)</f>
        <v>331.69640507794583</v>
      </c>
      <c r="CN128">
        <f t="shared" si="312"/>
        <v>0.46623934785198184</v>
      </c>
      <c r="CO128">
        <f t="shared" si="313"/>
        <v>102.96158443315294</v>
      </c>
      <c r="CP128">
        <f t="shared" si="314"/>
        <v>535.70518531184314</v>
      </c>
      <c r="CQ128" s="207">
        <f t="shared" ref="CQ128" si="382" xml:space="preserve"> ($BQ$38-CP128*($BP128+$BR128+$BQ128+$BN128))/($BP128+$BR128+$BQ128+$BO128)</f>
        <v>342.41777161346363</v>
      </c>
      <c r="CR128">
        <f t="shared" si="316"/>
        <v>0.45941165365037961</v>
      </c>
      <c r="CS128">
        <f t="shared" si="317"/>
        <v>72.748246714176133</v>
      </c>
      <c r="CT128">
        <f t="shared" si="318"/>
        <v>511.4557697404511</v>
      </c>
      <c r="CU128" s="636">
        <f t="shared" si="319"/>
        <v>349.99303011529202</v>
      </c>
      <c r="CV128" s="575">
        <f t="shared" si="320"/>
        <v>0.45458749729146508</v>
      </c>
      <c r="CW128">
        <f t="shared" si="321"/>
        <v>51.965897159072128</v>
      </c>
      <c r="CX128" s="576">
        <f t="shared" si="322"/>
        <v>0.34813634356928169</v>
      </c>
    </row>
    <row r="129" spans="1:102" x14ac:dyDescent="0.25">
      <c r="A129" s="186">
        <v>85</v>
      </c>
      <c r="B129" s="187">
        <f>A129/100*'Inputs-Imperial'!$E$5</f>
        <v>8.366142</v>
      </c>
      <c r="C129" s="188">
        <f>'Inputs-Imperial'!$E$10+('Inputs-Imperial'!$E$9-'Inputs-Imperial'!$E$10)*(100-A129)/100</f>
        <v>1.2959318</v>
      </c>
      <c r="D129" s="187">
        <f t="shared" si="323"/>
        <v>9.8425199999999435E-2</v>
      </c>
      <c r="E129" s="188">
        <f t="shared" si="324"/>
        <v>0.12803672260111126</v>
      </c>
      <c r="F129" s="423">
        <f>Sizing!F145</f>
        <v>10.882593915499339</v>
      </c>
      <c r="G129" s="423">
        <f>Sizing!G145</f>
        <v>108.82593915499339</v>
      </c>
      <c r="H129" s="423">
        <f>Sizing!H145</f>
        <v>78.647299534063507</v>
      </c>
      <c r="I129" s="423">
        <f>Sizing!I145</f>
        <v>-59.058264856248861</v>
      </c>
      <c r="J129" s="189">
        <f>Sizing!J145</f>
        <v>7.8647299534063499</v>
      </c>
      <c r="K129" s="128">
        <v>85</v>
      </c>
      <c r="L129" s="12">
        <f t="shared" si="265"/>
        <v>100.393704</v>
      </c>
      <c r="M129" s="11">
        <f t="shared" si="265"/>
        <v>15.5511816</v>
      </c>
      <c r="N129" s="11">
        <f t="shared" si="265"/>
        <v>1.1811023999999932</v>
      </c>
      <c r="O129" s="152">
        <f t="shared" si="325"/>
        <v>18.437288054560021</v>
      </c>
      <c r="P129" s="170">
        <f t="shared" si="260"/>
        <v>2.7992126879999999</v>
      </c>
      <c r="Q129" s="8">
        <f t="shared" si="261"/>
        <v>1.3996063439999999</v>
      </c>
      <c r="R129" s="170">
        <f>Sizing!X145</f>
        <v>3.8877953999999999</v>
      </c>
      <c r="S129" s="8">
        <f>Sizing!Y145</f>
        <v>11.6633862</v>
      </c>
      <c r="T129" s="8">
        <f>Sizing!Z145</f>
        <v>7.7755907999999998</v>
      </c>
      <c r="U129" s="17">
        <f>Sizing!CN145</f>
        <v>0.25</v>
      </c>
      <c r="V129" s="17">
        <f>Sizing!CO145</f>
        <v>2.3622047244094495E-2</v>
      </c>
      <c r="W129" s="17">
        <f>Sizing!CP145</f>
        <v>1.5748031496062995E-2</v>
      </c>
      <c r="X129" s="170">
        <f>Sizing!DU145</f>
        <v>1.6272075519057922E-2</v>
      </c>
      <c r="Y129" s="170">
        <f>Sizing!DV145</f>
        <v>0.12756204576227964</v>
      </c>
      <c r="Z129" s="170">
        <f>Sizing!DW145</f>
        <v>1.6272075519057922E-2</v>
      </c>
      <c r="AA129" s="272">
        <f>Sizing!DX145</f>
        <v>0.12756204576227964</v>
      </c>
      <c r="AB129" s="272">
        <f t="shared" si="266"/>
        <v>2.0929104847574056</v>
      </c>
      <c r="AC129" s="216">
        <f>Sizing!GJ145</f>
        <v>0.25</v>
      </c>
      <c r="AD129" s="216">
        <f>Sizing!GK145</f>
        <v>1.5748031496062995E-2</v>
      </c>
      <c r="AE129" s="17">
        <f>Sizing!GL145</f>
        <v>1.5748031496062995E-2</v>
      </c>
      <c r="AF129" s="170">
        <f>Sizing!JC145</f>
        <v>2.8003815318914239E-4</v>
      </c>
      <c r="AG129" s="272">
        <f>Sizing!JD145</f>
        <v>1.6734340536428149E-2</v>
      </c>
      <c r="AH129" s="170">
        <f>Sizing!JC145</f>
        <v>2.8003815318914239E-4</v>
      </c>
      <c r="AI129" s="272">
        <f>Sizing!JD145</f>
        <v>1.6734340536428149E-2</v>
      </c>
      <c r="AJ129" s="216">
        <f>Sizing!IT145</f>
        <v>0.25</v>
      </c>
      <c r="AK129" s="216">
        <f>Sizing!IU145</f>
        <v>1.5748031496062995E-2</v>
      </c>
      <c r="AL129" s="17">
        <f>Sizing!IV145</f>
        <v>1.5748031496062995E-2</v>
      </c>
      <c r="AM129" s="170">
        <f t="shared" si="267"/>
        <v>0</v>
      </c>
      <c r="AN129" s="11">
        <f t="shared" si="268"/>
        <v>1.7819038539587113E-2</v>
      </c>
      <c r="AO129" s="11">
        <f t="shared" si="269"/>
        <v>1.7819038539587113E-2</v>
      </c>
      <c r="AP129" s="11">
        <f t="shared" si="270"/>
        <v>3.5638077079174227E-2</v>
      </c>
      <c r="AQ129" s="555">
        <f t="shared" si="271"/>
        <v>568576.29657501983</v>
      </c>
      <c r="AR129" s="311">
        <f t="shared" si="272"/>
        <v>4.0193473051344739</v>
      </c>
      <c r="AS129" s="11">
        <f t="shared" si="273"/>
        <v>5.6320594531241656E-4</v>
      </c>
      <c r="AT129" s="11">
        <f t="shared" si="274"/>
        <v>3.2726003833899953E-2</v>
      </c>
      <c r="AU129" s="11">
        <f t="shared" si="275"/>
        <v>3.3289209779212368E-2</v>
      </c>
      <c r="AV129" s="555">
        <f t="shared" si="276"/>
        <v>531102.04487531434</v>
      </c>
      <c r="AW129" s="138">
        <f t="shared" si="277"/>
        <v>3.9370078740157494E-2</v>
      </c>
      <c r="AX129" s="138">
        <f t="shared" si="278"/>
        <v>3.1496062992125991E-2</v>
      </c>
      <c r="AY129" s="554">
        <f t="shared" si="279"/>
        <v>3.1496062992125991E-2</v>
      </c>
      <c r="AZ129" s="12">
        <f t="shared" si="280"/>
        <v>102.56765514732747</v>
      </c>
      <c r="BA129" s="11">
        <f t="shared" si="281"/>
        <v>49.807749225346271</v>
      </c>
      <c r="BB129">
        <f t="shared" si="282"/>
        <v>33.26214189950683</v>
      </c>
      <c r="BC129" s="555">
        <f t="shared" si="283"/>
        <v>125431137.95733747</v>
      </c>
      <c r="BD129">
        <f t="shared" si="284"/>
        <v>85</v>
      </c>
      <c r="BE129" s="207">
        <f t="shared" si="285"/>
        <v>1.2959318</v>
      </c>
      <c r="BF129" s="207">
        <f>'Inputs-Imperial'!$E$15*BE129</f>
        <v>0.97194884999999998</v>
      </c>
      <c r="BG129" s="207">
        <f>'Inputs-Imperial'!$E$12*BE129</f>
        <v>0.32398294999999999</v>
      </c>
      <c r="BH129">
        <f>'Inputs-Imperial'!$E$11*BE129</f>
        <v>0.23326772399999998</v>
      </c>
      <c r="BI129">
        <f t="shared" si="286"/>
        <v>0.24741778420852792</v>
      </c>
      <c r="BJ129">
        <f>'Weight '!U131+'Weight '!V131 /12</f>
        <v>2.4934383202099744E-2</v>
      </c>
      <c r="BK129">
        <f>('Weight '!AK131+'Weight '!AL131)/12</f>
        <v>2.6246719160104991E-3</v>
      </c>
      <c r="BL129">
        <f>'Weight '!AG131/12</f>
        <v>1.0630170480189971E-2</v>
      </c>
      <c r="BM129">
        <f>'Weight '!AI131/12</f>
        <v>1.0630170480189971E-2</v>
      </c>
      <c r="BN129" s="554">
        <f t="shared" si="287"/>
        <v>0.37266549541219773</v>
      </c>
      <c r="BO129" s="554">
        <f t="shared" si="288"/>
        <v>1.7158851990915538</v>
      </c>
      <c r="BP129">
        <f t="shared" si="289"/>
        <v>1.0630170480189971E-2</v>
      </c>
      <c r="BQ129">
        <f t="shared" si="289"/>
        <v>1.0630170480189971E-2</v>
      </c>
      <c r="BR129">
        <f t="shared" si="290"/>
        <v>0.21200738303962005</v>
      </c>
      <c r="BS129">
        <f t="shared" si="291"/>
        <v>5.6681074020979348E-2</v>
      </c>
      <c r="BT129">
        <f t="shared" si="292"/>
        <v>0.13218945849224603</v>
      </c>
      <c r="BU129">
        <f t="shared" si="293"/>
        <v>1.1151442326837411E-2</v>
      </c>
      <c r="BV129">
        <f t="shared" si="294"/>
        <v>825.17344153046906</v>
      </c>
      <c r="BW129" s="207">
        <f t="shared" si="295"/>
        <v>256.52168902527637</v>
      </c>
      <c r="BX129">
        <f t="shared" si="296"/>
        <v>0.51169893251153431</v>
      </c>
      <c r="BY129" s="575">
        <f t="shared" si="297"/>
        <v>39.713661316809862</v>
      </c>
      <c r="BZ129">
        <f t="shared" si="298"/>
        <v>811.93555442486581</v>
      </c>
      <c r="CA129" s="207">
        <f t="shared" si="299"/>
        <v>260.63695133080694</v>
      </c>
      <c r="CB129">
        <f t="shared" si="300"/>
        <v>0.50911026860226294</v>
      </c>
      <c r="CC129">
        <f t="shared" si="301"/>
        <v>335.25520760673459</v>
      </c>
      <c r="CD129">
        <f t="shared" si="302"/>
        <v>700.1838185559543</v>
      </c>
      <c r="CE129" s="207">
        <f t="shared" si="303"/>
        <v>295.37721633913151</v>
      </c>
      <c r="CF129">
        <f t="shared" si="304"/>
        <v>0.4872572581380904</v>
      </c>
      <c r="CG129">
        <f t="shared" si="305"/>
        <v>220.38049995320119</v>
      </c>
      <c r="CH129">
        <f t="shared" si="306"/>
        <v>626.72365190488722</v>
      </c>
      <c r="CI129" s="207">
        <f t="shared" ref="CI129" si="383" xml:space="preserve"> ($BQ$38-CH129*($BP129+$BR129+$BQ129+$BN129))/($BP129+$BR129+$BQ129+$BO129)</f>
        <v>318.21378023830329</v>
      </c>
      <c r="CJ129">
        <f t="shared" si="308"/>
        <v>0.47289214981969502</v>
      </c>
      <c r="CK129">
        <f t="shared" si="309"/>
        <v>150.188621325318</v>
      </c>
      <c r="CL129">
        <f t="shared" si="310"/>
        <v>576.66077812978119</v>
      </c>
      <c r="CM129" s="207">
        <f t="shared" ref="CM129" si="384" xml:space="preserve"> ($BQ$38-CL129*($BP129+$BR129+$BQ129+$BN129))/($BP129+$BR129+$BQ129+$BO129)</f>
        <v>333.77682709840417</v>
      </c>
      <c r="CN129">
        <f t="shared" si="312"/>
        <v>0.46310237343754318</v>
      </c>
      <c r="CO129">
        <f t="shared" si="313"/>
        <v>104.77160150180683</v>
      </c>
      <c r="CP129">
        <f t="shared" si="314"/>
        <v>541.7369109625123</v>
      </c>
      <c r="CQ129" s="207">
        <f t="shared" ref="CQ129" si="385" xml:space="preserve"> ($BQ$38-CP129*($BP129+$BR129+$BQ129+$BN129))/($BP129+$BR129+$BQ129+$BO129)</f>
        <v>344.63361058434168</v>
      </c>
      <c r="CR129">
        <f t="shared" si="316"/>
        <v>0.45627302417758225</v>
      </c>
      <c r="CS129">
        <f t="shared" si="317"/>
        <v>74.249490919834386</v>
      </c>
      <c r="CT129">
        <f t="shared" si="318"/>
        <v>516.98708065590085</v>
      </c>
      <c r="CU129" s="636">
        <f t="shared" si="319"/>
        <v>352.32759096932057</v>
      </c>
      <c r="CV129" s="575">
        <f t="shared" si="320"/>
        <v>0.45143320404887022</v>
      </c>
      <c r="CW129">
        <f t="shared" si="321"/>
        <v>53.19671539329137</v>
      </c>
      <c r="CX129" s="576">
        <f t="shared" si="322"/>
        <v>0.34834642073670097</v>
      </c>
    </row>
    <row r="130" spans="1:102" x14ac:dyDescent="0.25">
      <c r="A130" s="186">
        <v>86</v>
      </c>
      <c r="B130" s="187">
        <f>A130/100*'Inputs-Imperial'!$E$5</f>
        <v>8.4645671999999994</v>
      </c>
      <c r="C130" s="188">
        <f>'Inputs-Imperial'!$E$10+('Inputs-Imperial'!$E$9-'Inputs-Imperial'!$E$10)*(100-A130)/100</f>
        <v>1.2860892799999999</v>
      </c>
      <c r="D130" s="187">
        <f t="shared" si="323"/>
        <v>9.8425199999999435E-2</v>
      </c>
      <c r="E130" s="188">
        <f t="shared" si="324"/>
        <v>0.12706797060160727</v>
      </c>
      <c r="F130" s="423">
        <f>Sizing!F146</f>
        <v>10.005379050767861</v>
      </c>
      <c r="G130" s="423">
        <f>Sizing!G146</f>
        <v>100.05379050767861</v>
      </c>
      <c r="H130" s="423">
        <f>Sizing!H146</f>
        <v>67.936084707545518</v>
      </c>
      <c r="I130" s="423">
        <f>Sizing!I146</f>
        <v>-53.384647310139613</v>
      </c>
      <c r="J130" s="189">
        <f>Sizing!J146</f>
        <v>6.7936084707545508</v>
      </c>
      <c r="K130" s="128">
        <v>86</v>
      </c>
      <c r="L130" s="12">
        <f t="shared" si="265"/>
        <v>101.5748064</v>
      </c>
      <c r="M130" s="11">
        <f t="shared" si="265"/>
        <v>15.43307136</v>
      </c>
      <c r="N130" s="11">
        <f t="shared" si="265"/>
        <v>1.1811023999999932</v>
      </c>
      <c r="O130" s="152">
        <f t="shared" si="325"/>
        <v>18.297787766631448</v>
      </c>
      <c r="P130" s="170">
        <f t="shared" si="260"/>
        <v>2.7779528447999997</v>
      </c>
      <c r="Q130" s="8">
        <f t="shared" si="261"/>
        <v>1.3889764223999999</v>
      </c>
      <c r="R130" s="170">
        <f>Sizing!X146</f>
        <v>3.8582678399999999</v>
      </c>
      <c r="S130" s="8">
        <f>Sizing!Y146</f>
        <v>11.57480352</v>
      </c>
      <c r="T130" s="8">
        <f>Sizing!Z146</f>
        <v>7.7165356799999998</v>
      </c>
      <c r="U130" s="17">
        <f>Sizing!CN146</f>
        <v>0.25</v>
      </c>
      <c r="V130" s="17">
        <f>Sizing!CO146</f>
        <v>2.3622047244094495E-2</v>
      </c>
      <c r="W130" s="17">
        <f>Sizing!CP146</f>
        <v>1.5748031496062995E-2</v>
      </c>
      <c r="X130" s="170">
        <f>Sizing!DU146</f>
        <v>1.6272075519057922E-2</v>
      </c>
      <c r="Y130" s="170">
        <f>Sizing!DV146</f>
        <v>0.12756204576227964</v>
      </c>
      <c r="Z130" s="170">
        <f>Sizing!DW146</f>
        <v>1.6272075519057922E-2</v>
      </c>
      <c r="AA130" s="272">
        <f>Sizing!DX146</f>
        <v>0.12756204576227964</v>
      </c>
      <c r="AB130" s="272">
        <f t="shared" si="266"/>
        <v>2.0716506415574054</v>
      </c>
      <c r="AC130" s="216">
        <f>Sizing!GJ146</f>
        <v>0.25</v>
      </c>
      <c r="AD130" s="216">
        <f>Sizing!GK146</f>
        <v>1.5748031496062995E-2</v>
      </c>
      <c r="AE130" s="17">
        <f>Sizing!GL146</f>
        <v>1.5748031496062995E-2</v>
      </c>
      <c r="AF130" s="170">
        <f>Sizing!JC146</f>
        <v>2.8003815318914239E-4</v>
      </c>
      <c r="AG130" s="272">
        <f>Sizing!JD146</f>
        <v>1.6734340536428149E-2</v>
      </c>
      <c r="AH130" s="170">
        <f>Sizing!JC146</f>
        <v>2.8003815318914239E-4</v>
      </c>
      <c r="AI130" s="272">
        <f>Sizing!JD146</f>
        <v>1.6734340536428149E-2</v>
      </c>
      <c r="AJ130" s="216">
        <f>Sizing!IT146</f>
        <v>0.25</v>
      </c>
      <c r="AK130" s="216">
        <f>Sizing!IU146</f>
        <v>1.5748031496062995E-2</v>
      </c>
      <c r="AL130" s="17">
        <f>Sizing!IV146</f>
        <v>1.5748031496062995E-2</v>
      </c>
      <c r="AM130" s="170">
        <f t="shared" si="267"/>
        <v>0</v>
      </c>
      <c r="AN130" s="11">
        <f t="shared" si="268"/>
        <v>1.7458864623518151E-2</v>
      </c>
      <c r="AO130" s="11">
        <f t="shared" si="269"/>
        <v>1.7458864623518151E-2</v>
      </c>
      <c r="AP130" s="11">
        <f t="shared" si="270"/>
        <v>3.4917729247036303E-2</v>
      </c>
      <c r="AQ130" s="555">
        <f t="shared" si="271"/>
        <v>557083.73759848159</v>
      </c>
      <c r="AR130" s="311">
        <f t="shared" si="272"/>
        <v>3.9888206167410472</v>
      </c>
      <c r="AS130" s="11">
        <f t="shared" si="273"/>
        <v>5.5468340573937964E-4</v>
      </c>
      <c r="AT130" s="11">
        <f t="shared" si="274"/>
        <v>3.2230787714356043E-2</v>
      </c>
      <c r="AU130" s="11">
        <f t="shared" si="275"/>
        <v>3.2785471120095423E-2</v>
      </c>
      <c r="AV130" s="555">
        <f t="shared" si="276"/>
        <v>523065.30763480399</v>
      </c>
      <c r="AW130" s="138">
        <f t="shared" si="277"/>
        <v>3.9370078740157494E-2</v>
      </c>
      <c r="AX130" s="138">
        <f t="shared" si="278"/>
        <v>3.1496062992125991E-2</v>
      </c>
      <c r="AY130" s="554">
        <f t="shared" si="279"/>
        <v>3.1496062992125991E-2</v>
      </c>
      <c r="AZ130" s="12">
        <f t="shared" si="280"/>
        <v>101.01558186546342</v>
      </c>
      <c r="BA130" s="11">
        <f t="shared" si="281"/>
        <v>49.429462522368972</v>
      </c>
      <c r="BB130">
        <f t="shared" si="282"/>
        <v>32.510011726545933</v>
      </c>
      <c r="BC130" s="555">
        <f t="shared" si="283"/>
        <v>122594864.100664</v>
      </c>
      <c r="BD130">
        <f t="shared" si="284"/>
        <v>86</v>
      </c>
      <c r="BE130" s="207">
        <f t="shared" si="285"/>
        <v>1.2860892799999999</v>
      </c>
      <c r="BF130" s="207">
        <f>'Inputs-Imperial'!$E$15*BE130</f>
        <v>0.96456695999999997</v>
      </c>
      <c r="BG130" s="207">
        <f>'Inputs-Imperial'!$E$12*BE130</f>
        <v>0.32152231999999997</v>
      </c>
      <c r="BH130">
        <f>'Inputs-Imperial'!$E$11*BE130</f>
        <v>0.23149607039999998</v>
      </c>
      <c r="BI130">
        <f t="shared" si="286"/>
        <v>0.24553866179681758</v>
      </c>
      <c r="BJ130">
        <f>'Weight '!U132+'Weight '!V132 /12</f>
        <v>2.4934383202099744E-2</v>
      </c>
      <c r="BK130">
        <f>('Weight '!AK132+'Weight '!AL132)/12</f>
        <v>2.6246719160104991E-3</v>
      </c>
      <c r="BL130">
        <f>'Weight '!AG132/12</f>
        <v>1.0630170480189971E-2</v>
      </c>
      <c r="BM130">
        <f>'Weight '!AI132/12</f>
        <v>1.0630170480189971E-2</v>
      </c>
      <c r="BN130" s="554">
        <f t="shared" si="287"/>
        <v>0.36758553550862799</v>
      </c>
      <c r="BO130" s="554">
        <f t="shared" si="288"/>
        <v>1.7051027486571206</v>
      </c>
      <c r="BP130">
        <f t="shared" si="289"/>
        <v>1.0630170480189971E-2</v>
      </c>
      <c r="BQ130">
        <f t="shared" si="289"/>
        <v>1.0630170480189971E-2</v>
      </c>
      <c r="BR130">
        <f t="shared" si="290"/>
        <v>0.21023572943962004</v>
      </c>
      <c r="BS130">
        <f t="shared" si="291"/>
        <v>5.5823365219418483E-2</v>
      </c>
      <c r="BT130">
        <f t="shared" si="292"/>
        <v>0.13018914244353469</v>
      </c>
      <c r="BU130">
        <f t="shared" si="293"/>
        <v>1.0816504323592623E-2</v>
      </c>
      <c r="BV130">
        <f t="shared" si="294"/>
        <v>834.61083610078344</v>
      </c>
      <c r="BW130" s="207">
        <f t="shared" si="295"/>
        <v>258.18460441044624</v>
      </c>
      <c r="BX130">
        <f t="shared" si="296"/>
        <v>0.50823938655883805</v>
      </c>
      <c r="BY130" s="575">
        <f t="shared" si="297"/>
        <v>40.543819882960918</v>
      </c>
      <c r="BZ130">
        <f t="shared" si="298"/>
        <v>821.09622947312982</v>
      </c>
      <c r="CA130" s="207">
        <f t="shared" si="299"/>
        <v>262.36531141183747</v>
      </c>
      <c r="CB130">
        <f t="shared" si="300"/>
        <v>0.50564195959705582</v>
      </c>
      <c r="CC130">
        <f t="shared" si="301"/>
        <v>337.7665540980629</v>
      </c>
      <c r="CD130">
        <f t="shared" si="302"/>
        <v>708.50737810710882</v>
      </c>
      <c r="CE130" s="207">
        <f t="shared" si="303"/>
        <v>297.19436801355698</v>
      </c>
      <c r="CF130">
        <f t="shared" si="304"/>
        <v>0.48400305243598502</v>
      </c>
      <c r="CG130">
        <f t="shared" si="305"/>
        <v>222.84718160194038</v>
      </c>
      <c r="CH130">
        <f t="shared" si="306"/>
        <v>634.22498423979539</v>
      </c>
      <c r="CI130" s="207">
        <f t="shared" ref="CI130" si="386" xml:space="preserve"> ($BQ$38-CH130*($BP130+$BR130+$BQ130+$BN130))/($BP130+$BR130+$BQ130+$BO130)</f>
        <v>320.17342561229799</v>
      </c>
      <c r="CJ130">
        <f t="shared" si="308"/>
        <v>0.46972641842564822</v>
      </c>
      <c r="CK130">
        <f t="shared" si="309"/>
        <v>152.36297185769888</v>
      </c>
      <c r="CL130">
        <f t="shared" si="310"/>
        <v>583.43732695389576</v>
      </c>
      <c r="CM130" s="207">
        <f t="shared" ref="CM130" si="387" xml:space="preserve"> ($BQ$38-CL130*($BP130+$BR130+$BQ130+$BN130))/($BP130+$BR130+$BQ130+$BO130)</f>
        <v>335.88445000607896</v>
      </c>
      <c r="CN130">
        <f t="shared" si="312"/>
        <v>0.45996533295755776</v>
      </c>
      <c r="CO130">
        <f t="shared" si="313"/>
        <v>106.61381209221463</v>
      </c>
      <c r="CP130">
        <f t="shared" si="314"/>
        <v>547.89938958982418</v>
      </c>
      <c r="CQ130" s="207">
        <f t="shared" ref="CQ130" si="388" xml:space="preserve"> ($BQ$38-CP130*($BP130+$BR130+$BQ130+$BN130))/($BP130+$BR130+$BQ130+$BO130)</f>
        <v>346.87801479463633</v>
      </c>
      <c r="CR130">
        <f t="shared" si="316"/>
        <v>0.45313515289987949</v>
      </c>
      <c r="CS130">
        <f t="shared" si="317"/>
        <v>75.780730071456091</v>
      </c>
      <c r="CT130">
        <f t="shared" si="318"/>
        <v>522.63914623267215</v>
      </c>
      <c r="CU130" s="636">
        <f t="shared" si="319"/>
        <v>354.6922027447319</v>
      </c>
      <c r="CV130" s="575">
        <f t="shared" si="320"/>
        <v>0.44828028446273305</v>
      </c>
      <c r="CW130">
        <f t="shared" si="321"/>
        <v>54.455016009026131</v>
      </c>
      <c r="CX130" s="576">
        <f t="shared" si="322"/>
        <v>0.34856078145891478</v>
      </c>
    </row>
    <row r="131" spans="1:102" x14ac:dyDescent="0.25">
      <c r="A131" s="186">
        <v>87</v>
      </c>
      <c r="B131" s="187">
        <f>A131/100*'Inputs-Imperial'!$E$5</f>
        <v>8.5629924000000006</v>
      </c>
      <c r="C131" s="188">
        <f>'Inputs-Imperial'!$E$10+('Inputs-Imperial'!$E$9-'Inputs-Imperial'!$E$10)*(100-A131)/100</f>
        <v>1.2762467599999998</v>
      </c>
      <c r="D131" s="187">
        <f t="shared" si="323"/>
        <v>9.8425200000001212E-2</v>
      </c>
      <c r="E131" s="188">
        <f t="shared" si="324"/>
        <v>0.12609921860210555</v>
      </c>
      <c r="F131" s="423">
        <f>Sizing!F147</f>
        <v>9.1448170561837525</v>
      </c>
      <c r="G131" s="423">
        <f>Sizing!G147</f>
        <v>91.448170561837543</v>
      </c>
      <c r="H131" s="423">
        <f>Sizing!H147</f>
        <v>58.088270366069025</v>
      </c>
      <c r="I131" s="423">
        <f>Sizing!I147</f>
        <v>-47.927256016256493</v>
      </c>
      <c r="J131" s="189">
        <f>Sizing!J147</f>
        <v>5.8088270366069015</v>
      </c>
      <c r="K131" s="128">
        <v>87</v>
      </c>
      <c r="L131" s="12">
        <f t="shared" si="265"/>
        <v>102.75590880000001</v>
      </c>
      <c r="M131" s="11">
        <f t="shared" si="265"/>
        <v>15.314961119999998</v>
      </c>
      <c r="N131" s="11">
        <f t="shared" si="265"/>
        <v>1.1811024000000145</v>
      </c>
      <c r="O131" s="152">
        <f t="shared" si="325"/>
        <v>18.158287478703198</v>
      </c>
      <c r="P131" s="170">
        <f t="shared" si="260"/>
        <v>2.7566930015999995</v>
      </c>
      <c r="Q131" s="8">
        <f t="shared" si="261"/>
        <v>1.3783465007999998</v>
      </c>
      <c r="R131" s="170">
        <f>Sizing!X147</f>
        <v>3.8287402799999994</v>
      </c>
      <c r="S131" s="8">
        <f>Sizing!Y147</f>
        <v>11.486220839999998</v>
      </c>
      <c r="T131" s="8">
        <f>Sizing!Z147</f>
        <v>7.657480559999998</v>
      </c>
      <c r="U131" s="17">
        <f>Sizing!CN147</f>
        <v>0.25</v>
      </c>
      <c r="V131" s="17">
        <f>Sizing!CO147</f>
        <v>2.3622047244094495E-2</v>
      </c>
      <c r="W131" s="17">
        <f>Sizing!CP147</f>
        <v>1.5748031496062995E-2</v>
      </c>
      <c r="X131" s="170">
        <f>Sizing!DU147</f>
        <v>1.6272075519057922E-2</v>
      </c>
      <c r="Y131" s="170">
        <f>Sizing!DV147</f>
        <v>0.12756204576227964</v>
      </c>
      <c r="Z131" s="170">
        <f>Sizing!DW147</f>
        <v>1.6272075519057922E-2</v>
      </c>
      <c r="AA131" s="272">
        <f>Sizing!DX147</f>
        <v>0.12756204576227964</v>
      </c>
      <c r="AB131" s="272">
        <f t="shared" si="266"/>
        <v>2.0503907983574052</v>
      </c>
      <c r="AC131" s="216">
        <f>Sizing!GJ147</f>
        <v>0.25</v>
      </c>
      <c r="AD131" s="216">
        <f>Sizing!GK147</f>
        <v>1.5748031496062995E-2</v>
      </c>
      <c r="AE131" s="17">
        <f>Sizing!GL147</f>
        <v>1.5748031496062995E-2</v>
      </c>
      <c r="AF131" s="170">
        <f>Sizing!JC147</f>
        <v>2.8003815318914239E-4</v>
      </c>
      <c r="AG131" s="272">
        <f>Sizing!JD147</f>
        <v>1.6734340536428149E-2</v>
      </c>
      <c r="AH131" s="170">
        <f>Sizing!JC147</f>
        <v>2.8003815318914239E-4</v>
      </c>
      <c r="AI131" s="272">
        <f>Sizing!JD147</f>
        <v>1.6734340536428149E-2</v>
      </c>
      <c r="AJ131" s="216">
        <f>Sizing!IT147</f>
        <v>0.25</v>
      </c>
      <c r="AK131" s="216">
        <f>Sizing!IU147</f>
        <v>1.5748031496062995E-2</v>
      </c>
      <c r="AL131" s="17">
        <f>Sizing!IV147</f>
        <v>1.5748031496062995E-2</v>
      </c>
      <c r="AM131" s="170">
        <f t="shared" si="267"/>
        <v>0</v>
      </c>
      <c r="AN131" s="11">
        <f t="shared" si="268"/>
        <v>1.7102368041385759E-2</v>
      </c>
      <c r="AO131" s="11">
        <f t="shared" si="269"/>
        <v>1.7102368041385759E-2</v>
      </c>
      <c r="AP131" s="11">
        <f t="shared" si="270"/>
        <v>3.4204736082771518E-2</v>
      </c>
      <c r="AQ131" s="555">
        <f t="shared" si="271"/>
        <v>545708.5163170317</v>
      </c>
      <c r="AR131" s="311">
        <f t="shared" si="272"/>
        <v>3.9582939283476208</v>
      </c>
      <c r="AS131" s="11">
        <f t="shared" si="273"/>
        <v>5.4622584105508984E-4</v>
      </c>
      <c r="AT131" s="11">
        <f t="shared" si="274"/>
        <v>3.1739347067133938E-2</v>
      </c>
      <c r="AU131" s="11">
        <f t="shared" si="275"/>
        <v>3.2285572908189029E-2</v>
      </c>
      <c r="AV131" s="555">
        <f t="shared" si="276"/>
        <v>515089.84158037126</v>
      </c>
      <c r="AW131" s="138">
        <f t="shared" si="277"/>
        <v>3.9370078740157494E-2</v>
      </c>
      <c r="AX131" s="138">
        <f t="shared" si="278"/>
        <v>3.1496062992125991E-2</v>
      </c>
      <c r="AY131" s="554">
        <f t="shared" si="279"/>
        <v>3.1496062992125991E-2</v>
      </c>
      <c r="AZ131" s="12">
        <f t="shared" si="280"/>
        <v>99.475341416752045</v>
      </c>
      <c r="BA131" s="11">
        <f t="shared" si="281"/>
        <v>49.051175819391631</v>
      </c>
      <c r="BB131">
        <f t="shared" si="282"/>
        <v>31.769306094357336</v>
      </c>
      <c r="BC131" s="555">
        <f t="shared" si="283"/>
        <v>119801672.0501484</v>
      </c>
      <c r="BD131">
        <f t="shared" si="284"/>
        <v>87</v>
      </c>
      <c r="BE131" s="207">
        <f t="shared" si="285"/>
        <v>1.2762467599999998</v>
      </c>
      <c r="BF131" s="207">
        <f>'Inputs-Imperial'!$E$15*BE131</f>
        <v>0.95718506999999986</v>
      </c>
      <c r="BG131" s="207">
        <f>'Inputs-Imperial'!$E$12*BE131</f>
        <v>0.31906168999999995</v>
      </c>
      <c r="BH131">
        <f>'Inputs-Imperial'!$E$11*BE131</f>
        <v>0.22972441679999997</v>
      </c>
      <c r="BI131">
        <f t="shared" si="286"/>
        <v>0.24365953938510723</v>
      </c>
      <c r="BJ131">
        <f>'Weight '!U133+'Weight '!V133 /12</f>
        <v>2.4934383202099744E-2</v>
      </c>
      <c r="BK131">
        <f>('Weight '!AK133+'Weight '!AL133)/12</f>
        <v>2.6246719160104991E-3</v>
      </c>
      <c r="BL131">
        <f>'Weight '!AG133/12</f>
        <v>1.0630170480189971E-2</v>
      </c>
      <c r="BM131">
        <f>'Weight '!AI133/12</f>
        <v>1.0630170480189971E-2</v>
      </c>
      <c r="BN131" s="554">
        <f t="shared" si="287"/>
        <v>0.36252981082397118</v>
      </c>
      <c r="BO131" s="554">
        <f t="shared" si="288"/>
        <v>1.694296063003774</v>
      </c>
      <c r="BP131">
        <f t="shared" si="289"/>
        <v>1.0630170480189971E-2</v>
      </c>
      <c r="BQ131">
        <f t="shared" si="289"/>
        <v>1.0630170480189971E-2</v>
      </c>
      <c r="BR131">
        <f t="shared" si="290"/>
        <v>0.20846407583962004</v>
      </c>
      <c r="BS131">
        <f t="shared" si="291"/>
        <v>5.4972195493854278E-2</v>
      </c>
      <c r="BT131">
        <f t="shared" si="292"/>
        <v>0.12820407658070926</v>
      </c>
      <c r="BU131">
        <f t="shared" si="293"/>
        <v>1.0489168581581611E-2</v>
      </c>
      <c r="BV131">
        <f t="shared" si="294"/>
        <v>844.23204880431103</v>
      </c>
      <c r="BW131" s="207">
        <f t="shared" si="295"/>
        <v>259.87249369143609</v>
      </c>
      <c r="BX131">
        <f t="shared" si="296"/>
        <v>0.50477768729322181</v>
      </c>
      <c r="BY131" s="575">
        <f t="shared" si="297"/>
        <v>41.382474459604026</v>
      </c>
      <c r="BZ131">
        <f t="shared" si="298"/>
        <v>830.43789065110968</v>
      </c>
      <c r="CA131" s="207">
        <f t="shared" si="299"/>
        <v>264.11862753902403</v>
      </c>
      <c r="CB131">
        <f t="shared" si="300"/>
        <v>0.50217235363794377</v>
      </c>
      <c r="CC131">
        <f t="shared" si="301"/>
        <v>340.31445165008739</v>
      </c>
      <c r="CD131">
        <f t="shared" si="302"/>
        <v>716.99974010108053</v>
      </c>
      <c r="CE131" s="207">
        <f t="shared" si="303"/>
        <v>299.03729131746326</v>
      </c>
      <c r="CF131">
        <f t="shared" si="304"/>
        <v>0.4807470351706547</v>
      </c>
      <c r="CG131">
        <f t="shared" si="305"/>
        <v>225.34922756721335</v>
      </c>
      <c r="CH131">
        <f t="shared" si="306"/>
        <v>641.88333091200946</v>
      </c>
      <c r="CI131" s="207">
        <f t="shared" ref="CI131" si="389" xml:space="preserve"> ($BQ$38-CH131*($BP131+$BR131+$BQ131+$BN131))/($BP131+$BR131+$BQ131+$BO131)</f>
        <v>322.15971198457413</v>
      </c>
      <c r="CJ131">
        <f t="shared" si="308"/>
        <v>0.46655963012930346</v>
      </c>
      <c r="CK131">
        <f t="shared" si="309"/>
        <v>154.57182152860582</v>
      </c>
      <c r="CL131">
        <f t="shared" si="310"/>
        <v>590.35939040247422</v>
      </c>
      <c r="CM131" s="207">
        <f t="shared" ref="CM131" si="390" xml:space="preserve"> ($BQ$38-CL131*($BP131+$BR131+$BQ131+$BN131))/($BP131+$BR131+$BQ131+$BO131)</f>
        <v>338.01987143242491</v>
      </c>
      <c r="CN131">
        <f t="shared" si="312"/>
        <v>0.45682818767582667</v>
      </c>
      <c r="CO131">
        <f t="shared" si="313"/>
        <v>108.48888198967167</v>
      </c>
      <c r="CP131">
        <f t="shared" si="314"/>
        <v>554.19642973925033</v>
      </c>
      <c r="CQ131" s="207">
        <f t="shared" ref="CQ131" si="391" xml:space="preserve"> ($BQ$38-CP131*($BP131+$BR131+$BQ131+$BN131))/($BP131+$BR131+$BQ131+$BO131)</f>
        <v>349.15159615210052</v>
      </c>
      <c r="CR131">
        <f t="shared" si="316"/>
        <v>0.44999800801252271</v>
      </c>
      <c r="CS131">
        <f t="shared" si="317"/>
        <v>77.342615683722897</v>
      </c>
      <c r="CT131">
        <f t="shared" si="318"/>
        <v>528.41555784467607</v>
      </c>
      <c r="CU131" s="636">
        <f t="shared" si="319"/>
        <v>357.08749420083171</v>
      </c>
      <c r="CV131" s="575">
        <f t="shared" si="320"/>
        <v>0.44512871679058913</v>
      </c>
      <c r="CW131">
        <f t="shared" si="321"/>
        <v>55.741431550910292</v>
      </c>
      <c r="CX131" s="576">
        <f t="shared" si="322"/>
        <v>0.34877950780504957</v>
      </c>
    </row>
    <row r="132" spans="1:102" x14ac:dyDescent="0.25">
      <c r="A132" s="186">
        <v>88</v>
      </c>
      <c r="B132" s="187">
        <f>A132/100*'Inputs-Imperial'!$E$5</f>
        <v>8.6614176</v>
      </c>
      <c r="C132" s="188">
        <f>'Inputs-Imperial'!$E$10+('Inputs-Imperial'!$E$9-'Inputs-Imperial'!$E$10)*(100-A132)/100</f>
        <v>1.26640424</v>
      </c>
      <c r="D132" s="187">
        <f t="shared" si="323"/>
        <v>9.8425199999999435E-2</v>
      </c>
      <c r="E132" s="188">
        <f t="shared" si="324"/>
        <v>0.12513046660259927</v>
      </c>
      <c r="F132" s="423">
        <f>Sizing!F148</f>
        <v>8.3015212404117804</v>
      </c>
      <c r="G132" s="423">
        <f>Sizing!G148</f>
        <v>83.015212404117818</v>
      </c>
      <c r="H132" s="423">
        <f>Sizing!H148</f>
        <v>49.087465888886101</v>
      </c>
      <c r="I132" s="423">
        <f>Sizing!I148</f>
        <v>-42.68975108966756</v>
      </c>
      <c r="J132" s="189">
        <f>Sizing!J148</f>
        <v>4.9087465888886097</v>
      </c>
      <c r="K132" s="128">
        <v>88</v>
      </c>
      <c r="L132" s="12">
        <f t="shared" si="265"/>
        <v>103.9370112</v>
      </c>
      <c r="M132" s="11">
        <f t="shared" si="265"/>
        <v>15.19685088</v>
      </c>
      <c r="N132" s="11">
        <f t="shared" si="265"/>
        <v>1.1811023999999932</v>
      </c>
      <c r="O132" s="152">
        <f t="shared" si="325"/>
        <v>18.018787190774294</v>
      </c>
      <c r="P132" s="170">
        <f t="shared" si="260"/>
        <v>2.7354331583999998</v>
      </c>
      <c r="Q132" s="8">
        <f t="shared" si="261"/>
        <v>1.3677165791999999</v>
      </c>
      <c r="R132" s="170">
        <f>Sizing!X148</f>
        <v>3.7992127199999999</v>
      </c>
      <c r="S132" s="8">
        <f>Sizing!Y148</f>
        <v>11.39763816</v>
      </c>
      <c r="T132" s="8">
        <f>Sizing!Z148</f>
        <v>7.5984254399999998</v>
      </c>
      <c r="U132" s="17">
        <f>Sizing!CN148</f>
        <v>0.25</v>
      </c>
      <c r="V132" s="17">
        <f>Sizing!CO148</f>
        <v>2.3622047244094495E-2</v>
      </c>
      <c r="W132" s="17">
        <f>Sizing!CP148</f>
        <v>1.5748031496062995E-2</v>
      </c>
      <c r="X132" s="170">
        <f>Sizing!DU148</f>
        <v>1.6272075519057922E-2</v>
      </c>
      <c r="Y132" s="170">
        <f>Sizing!DV148</f>
        <v>0.12756204576227964</v>
      </c>
      <c r="Z132" s="170">
        <f>Sizing!DW148</f>
        <v>1.6272075519057922E-2</v>
      </c>
      <c r="AA132" s="272">
        <f>Sizing!DX148</f>
        <v>0.12756204576227964</v>
      </c>
      <c r="AB132" s="272">
        <f t="shared" si="266"/>
        <v>2.029130955157405</v>
      </c>
      <c r="AC132" s="216">
        <f>Sizing!GJ148</f>
        <v>0.25</v>
      </c>
      <c r="AD132" s="216">
        <f>Sizing!GK148</f>
        <v>1.5748031496062995E-2</v>
      </c>
      <c r="AE132" s="17">
        <f>Sizing!GL148</f>
        <v>1.5748031496062995E-2</v>
      </c>
      <c r="AF132" s="170">
        <f>Sizing!JC148</f>
        <v>2.8003815318914239E-4</v>
      </c>
      <c r="AG132" s="272">
        <f>Sizing!JD148</f>
        <v>1.6734340536428149E-2</v>
      </c>
      <c r="AH132" s="170">
        <f>Sizing!JC148</f>
        <v>2.8003815318914239E-4</v>
      </c>
      <c r="AI132" s="272">
        <f>Sizing!JD148</f>
        <v>1.6734340536428149E-2</v>
      </c>
      <c r="AJ132" s="216">
        <f>Sizing!IT148</f>
        <v>0.25</v>
      </c>
      <c r="AK132" s="216">
        <f>Sizing!IU148</f>
        <v>1.5748031496062995E-2</v>
      </c>
      <c r="AL132" s="17">
        <f>Sizing!IV148</f>
        <v>1.5748031496062995E-2</v>
      </c>
      <c r="AM132" s="170">
        <f t="shared" si="267"/>
        <v>0</v>
      </c>
      <c r="AN132" s="11">
        <f t="shared" si="268"/>
        <v>1.6749548793189933E-2</v>
      </c>
      <c r="AO132" s="11">
        <f t="shared" si="269"/>
        <v>1.6749548793189933E-2</v>
      </c>
      <c r="AP132" s="11">
        <f t="shared" si="270"/>
        <v>3.3499097586379867E-2</v>
      </c>
      <c r="AQ132" s="555">
        <f t="shared" si="271"/>
        <v>534450.63273066992</v>
      </c>
      <c r="AR132" s="311">
        <f t="shared" si="272"/>
        <v>3.9277672399541941</v>
      </c>
      <c r="AS132" s="11">
        <f t="shared" si="273"/>
        <v>5.3783325125952863E-4</v>
      </c>
      <c r="AT132" s="11">
        <f t="shared" si="274"/>
        <v>3.1251681892233665E-2</v>
      </c>
      <c r="AU132" s="11">
        <f t="shared" si="275"/>
        <v>3.1789515143493194E-2</v>
      </c>
      <c r="AV132" s="555">
        <f t="shared" si="276"/>
        <v>507175.64671201626</v>
      </c>
      <c r="AW132" s="138">
        <f t="shared" si="277"/>
        <v>3.9370078740157494E-2</v>
      </c>
      <c r="AX132" s="138">
        <f t="shared" si="278"/>
        <v>3.1496062992125991E-2</v>
      </c>
      <c r="AY132" s="554">
        <f t="shared" si="279"/>
        <v>3.1496062992125991E-2</v>
      </c>
      <c r="AZ132" s="12">
        <f t="shared" si="280"/>
        <v>97.946933801193438</v>
      </c>
      <c r="BA132" s="11">
        <f t="shared" si="281"/>
        <v>48.672889116414339</v>
      </c>
      <c r="BB132">
        <f t="shared" si="282"/>
        <v>31.039937570231046</v>
      </c>
      <c r="BC132" s="555">
        <f t="shared" si="283"/>
        <v>117051232.09809045</v>
      </c>
      <c r="BD132">
        <f t="shared" si="284"/>
        <v>88</v>
      </c>
      <c r="BE132" s="207">
        <f t="shared" si="285"/>
        <v>1.26640424</v>
      </c>
      <c r="BF132" s="207">
        <f>'Inputs-Imperial'!$E$15*BE132</f>
        <v>0.94980317999999997</v>
      </c>
      <c r="BG132" s="207">
        <f>'Inputs-Imperial'!$E$12*BE132</f>
        <v>0.31660105999999999</v>
      </c>
      <c r="BH132">
        <f>'Inputs-Imperial'!$E$11*BE132</f>
        <v>0.22795276319999999</v>
      </c>
      <c r="BI132">
        <f t="shared" si="286"/>
        <v>0.24178041697339692</v>
      </c>
      <c r="BJ132">
        <f>'Weight '!U134+'Weight '!V134 /12</f>
        <v>2.4934383202099744E-2</v>
      </c>
      <c r="BK132">
        <f>('Weight '!AK134+'Weight '!AL134)/12</f>
        <v>2.6246719160104991E-3</v>
      </c>
      <c r="BL132">
        <f>'Weight '!AG134/12</f>
        <v>1.0630170480189971E-2</v>
      </c>
      <c r="BM132">
        <f>'Weight '!AI134/12</f>
        <v>1.0630170480189971E-2</v>
      </c>
      <c r="BN132" s="554">
        <f t="shared" si="287"/>
        <v>0.35749855834011057</v>
      </c>
      <c r="BO132" s="554">
        <f t="shared" si="288"/>
        <v>1.6834649051496315</v>
      </c>
      <c r="BP132">
        <f t="shared" si="289"/>
        <v>1.0630170480189971E-2</v>
      </c>
      <c r="BQ132">
        <f t="shared" si="289"/>
        <v>1.0630170480189971E-2</v>
      </c>
      <c r="BR132">
        <f t="shared" si="290"/>
        <v>0.20669242223962006</v>
      </c>
      <c r="BS132">
        <f t="shared" si="291"/>
        <v>5.4127564844286741E-2</v>
      </c>
      <c r="BT132">
        <f t="shared" si="292"/>
        <v>0.12623426090376988</v>
      </c>
      <c r="BU132">
        <f t="shared" si="293"/>
        <v>1.0169319186054042E-2</v>
      </c>
      <c r="BV132">
        <f t="shared" si="294"/>
        <v>854.04197002183014</v>
      </c>
      <c r="BW132" s="207">
        <f t="shared" si="295"/>
        <v>261.58594653554354</v>
      </c>
      <c r="BX132">
        <f t="shared" si="296"/>
        <v>0.50131379697674316</v>
      </c>
      <c r="BY132" s="575">
        <f t="shared" si="297"/>
        <v>42.22974873850572</v>
      </c>
      <c r="BZ132">
        <f t="shared" si="298"/>
        <v>839.96538710899495</v>
      </c>
      <c r="CA132" s="207">
        <f t="shared" si="299"/>
        <v>265.89748671095896</v>
      </c>
      <c r="CB132">
        <f t="shared" si="300"/>
        <v>0.49870140649314132</v>
      </c>
      <c r="CC132">
        <f t="shared" si="301"/>
        <v>342.89955377755672</v>
      </c>
      <c r="CD132">
        <f t="shared" si="302"/>
        <v>725.66553584980943</v>
      </c>
      <c r="CE132" s="207">
        <f t="shared" si="303"/>
        <v>300.90657974152936</v>
      </c>
      <c r="CF132">
        <f t="shared" si="304"/>
        <v>0.4774891673044428</v>
      </c>
      <c r="CG132">
        <f t="shared" si="305"/>
        <v>227.88732425632082</v>
      </c>
      <c r="CH132">
        <f t="shared" si="306"/>
        <v>649.70309443103588</v>
      </c>
      <c r="CI132" s="207">
        <f t="shared" ref="CI132" si="392" xml:space="preserve"> ($BQ$38-CH132*($BP132+$BR132+$BQ132+$BN132))/($BP132+$BR132+$BQ132+$BO132)</f>
        <v>324.17324325125446</v>
      </c>
      <c r="CJ132">
        <f t="shared" si="308"/>
        <v>0.46339174321349907</v>
      </c>
      <c r="CK132">
        <f t="shared" si="309"/>
        <v>156.81586042803488</v>
      </c>
      <c r="CL132">
        <f t="shared" si="310"/>
        <v>597.43114095502426</v>
      </c>
      <c r="CM132" s="207">
        <f t="shared" ref="CM132" si="393" xml:space="preserve"> ($BQ$38-CL132*($BP132+$BR132+$BQ132+$BN132))/($BP132+$BR132+$BQ132+$BO132)</f>
        <v>340.18370749920581</v>
      </c>
      <c r="CN132">
        <f t="shared" si="312"/>
        <v>0.45369089786874561</v>
      </c>
      <c r="CO132">
        <f t="shared" si="313"/>
        <v>110.39749418981053</v>
      </c>
      <c r="CP132">
        <f t="shared" si="314"/>
        <v>560.63197622508744</v>
      </c>
      <c r="CQ132" s="207">
        <f t="shared" ref="CQ132" si="394" xml:space="preserve"> ($BQ$38-CP132*($BP132+$BR132+$BQ132+$BN132))/($BP132+$BR132+$BQ132+$BO132)</f>
        <v>351.45498534677085</v>
      </c>
      <c r="CR132">
        <f t="shared" si="316"/>
        <v>0.4468615566614183</v>
      </c>
      <c r="CS132">
        <f t="shared" si="317"/>
        <v>78.935816458089448</v>
      </c>
      <c r="CT132">
        <f t="shared" si="318"/>
        <v>534.32003740572429</v>
      </c>
      <c r="CU132" s="636">
        <f t="shared" si="319"/>
        <v>359.51411319159149</v>
      </c>
      <c r="CV132" s="575">
        <f t="shared" si="320"/>
        <v>0.44197847821813047</v>
      </c>
      <c r="CW132">
        <f t="shared" si="321"/>
        <v>57.056611529854109</v>
      </c>
      <c r="CX132" s="576">
        <f t="shared" si="322"/>
        <v>0.3490026835492358</v>
      </c>
    </row>
    <row r="133" spans="1:102" x14ac:dyDescent="0.25">
      <c r="A133" s="186">
        <v>89</v>
      </c>
      <c r="B133" s="187">
        <f>A133/100*'Inputs-Imperial'!$E$5</f>
        <v>8.7598428000000013</v>
      </c>
      <c r="C133" s="188">
        <f>'Inputs-Imperial'!$E$10+('Inputs-Imperial'!$E$9-'Inputs-Imperial'!$E$10)*(100-A133)/100</f>
        <v>1.2565617199999999</v>
      </c>
      <c r="D133" s="187">
        <f t="shared" si="323"/>
        <v>9.8425200000001212E-2</v>
      </c>
      <c r="E133" s="188">
        <f t="shared" si="324"/>
        <v>0.12416171460309751</v>
      </c>
      <c r="F133" s="423">
        <f>Sizing!F149</f>
        <v>7.4761749352439946</v>
      </c>
      <c r="G133" s="423">
        <f>Sizing!G149</f>
        <v>74.761749352439949</v>
      </c>
      <c r="H133" s="423">
        <f>Sizing!H149</f>
        <v>40.916677004968221</v>
      </c>
      <c r="I133" s="423">
        <f>Sizing!I149</f>
        <v>-37.676199732695018</v>
      </c>
      <c r="J133" s="189">
        <f>Sizing!J149</f>
        <v>4.0916677004968216</v>
      </c>
      <c r="K133" s="128">
        <v>89</v>
      </c>
      <c r="L133" s="12">
        <f t="shared" si="265"/>
        <v>105.11811360000002</v>
      </c>
      <c r="M133" s="11">
        <f t="shared" si="265"/>
        <v>15.078740639999999</v>
      </c>
      <c r="N133" s="11">
        <f t="shared" si="265"/>
        <v>1.1811024000000145</v>
      </c>
      <c r="O133" s="152">
        <f t="shared" si="325"/>
        <v>17.87928690284604</v>
      </c>
      <c r="P133" s="170">
        <f t="shared" si="260"/>
        <v>2.7141733151999996</v>
      </c>
      <c r="Q133" s="8">
        <f t="shared" si="261"/>
        <v>1.3570866575999998</v>
      </c>
      <c r="R133" s="170">
        <f>Sizing!X149</f>
        <v>3.7696851599999999</v>
      </c>
      <c r="S133" s="8">
        <f>Sizing!Y149</f>
        <v>11.30905548</v>
      </c>
      <c r="T133" s="8">
        <f>Sizing!Z149</f>
        <v>7.5393703199999997</v>
      </c>
      <c r="U133" s="17">
        <f>Sizing!CN149</f>
        <v>0.25</v>
      </c>
      <c r="V133" s="17">
        <f>Sizing!CO149</f>
        <v>2.3622047244094495E-2</v>
      </c>
      <c r="W133" s="17">
        <f>Sizing!CP149</f>
        <v>1.5748031496062995E-2</v>
      </c>
      <c r="X133" s="170">
        <f>Sizing!DU149</f>
        <v>1.6272075519057922E-2</v>
      </c>
      <c r="Y133" s="170">
        <f>Sizing!DV149</f>
        <v>0.12756204576227964</v>
      </c>
      <c r="Z133" s="170">
        <f>Sizing!DW149</f>
        <v>1.6272075519057922E-2</v>
      </c>
      <c r="AA133" s="272">
        <f>Sizing!DX149</f>
        <v>0.12756204576227964</v>
      </c>
      <c r="AB133" s="272">
        <f t="shared" si="266"/>
        <v>2.0078711119574049</v>
      </c>
      <c r="AC133" s="216">
        <f>Sizing!GJ149</f>
        <v>0.25</v>
      </c>
      <c r="AD133" s="216">
        <f>Sizing!GK149</f>
        <v>1.5748031496062995E-2</v>
      </c>
      <c r="AE133" s="17">
        <f>Sizing!GL149</f>
        <v>1.5748031496062995E-2</v>
      </c>
      <c r="AF133" s="170">
        <f>Sizing!JC149</f>
        <v>2.8003815318914239E-4</v>
      </c>
      <c r="AG133" s="272">
        <f>Sizing!JD149</f>
        <v>1.6734340536428149E-2</v>
      </c>
      <c r="AH133" s="170">
        <f>Sizing!JC149</f>
        <v>2.8003815318914239E-4</v>
      </c>
      <c r="AI133" s="272">
        <f>Sizing!JD149</f>
        <v>1.6734340536428149E-2</v>
      </c>
      <c r="AJ133" s="216">
        <f>Sizing!IT149</f>
        <v>0.25</v>
      </c>
      <c r="AK133" s="216">
        <f>Sizing!IU149</f>
        <v>1.5748031496062995E-2</v>
      </c>
      <c r="AL133" s="17">
        <f>Sizing!IV149</f>
        <v>1.5748031496062995E-2</v>
      </c>
      <c r="AM133" s="170">
        <f t="shared" si="267"/>
        <v>0</v>
      </c>
      <c r="AN133" s="11">
        <f t="shared" si="268"/>
        <v>1.6400406878930674E-2</v>
      </c>
      <c r="AO133" s="11">
        <f t="shared" si="269"/>
        <v>1.6400406878930674E-2</v>
      </c>
      <c r="AP133" s="11">
        <f t="shared" si="270"/>
        <v>3.2800813757861348E-2</v>
      </c>
      <c r="AQ133" s="555">
        <f t="shared" si="271"/>
        <v>523310.08683939639</v>
      </c>
      <c r="AR133" s="311">
        <f t="shared" si="272"/>
        <v>3.8972405515607687</v>
      </c>
      <c r="AS133" s="11">
        <f t="shared" si="273"/>
        <v>5.2950563635272214E-4</v>
      </c>
      <c r="AT133" s="11">
        <f t="shared" si="274"/>
        <v>3.0767792189655176E-2</v>
      </c>
      <c r="AU133" s="11">
        <f t="shared" si="275"/>
        <v>3.1297297826007896E-2</v>
      </c>
      <c r="AV133" s="555">
        <f t="shared" si="276"/>
        <v>499322.72302973864</v>
      </c>
      <c r="AW133" s="138">
        <f t="shared" si="277"/>
        <v>3.9370078740157494E-2</v>
      </c>
      <c r="AX133" s="138">
        <f t="shared" si="278"/>
        <v>3.1496062992125991E-2</v>
      </c>
      <c r="AY133" s="554">
        <f t="shared" si="279"/>
        <v>3.1496062992125991E-2</v>
      </c>
      <c r="AZ133" s="12">
        <f t="shared" si="280"/>
        <v>96.430359018787499</v>
      </c>
      <c r="BA133" s="11">
        <f t="shared" si="281"/>
        <v>48.29460241343704</v>
      </c>
      <c r="BB133">
        <f t="shared" si="282"/>
        <v>30.321818721457038</v>
      </c>
      <c r="BC133" s="555">
        <f t="shared" si="283"/>
        <v>114343214.53678985</v>
      </c>
      <c r="BD133">
        <f t="shared" si="284"/>
        <v>89</v>
      </c>
      <c r="BE133" s="207">
        <f t="shared" si="285"/>
        <v>1.2565617199999999</v>
      </c>
      <c r="BF133" s="207">
        <f>'Inputs-Imperial'!$E$15*BE133</f>
        <v>0.94242128999999997</v>
      </c>
      <c r="BG133" s="207">
        <f>'Inputs-Imperial'!$E$12*BE133</f>
        <v>0.31414042999999997</v>
      </c>
      <c r="BH133">
        <f>'Inputs-Imperial'!$E$11*BE133</f>
        <v>0.22618110959999996</v>
      </c>
      <c r="BI133">
        <f t="shared" si="286"/>
        <v>0.23990129456168655</v>
      </c>
      <c r="BJ133">
        <f>'Weight '!U135+'Weight '!V135 /12</f>
        <v>2.4934383202099744E-2</v>
      </c>
      <c r="BK133">
        <f>('Weight '!AK135+'Weight '!AL135)/12</f>
        <v>2.6246719160104991E-3</v>
      </c>
      <c r="BL133">
        <f>'Weight '!AG135/12</f>
        <v>1.0630170480189971E-2</v>
      </c>
      <c r="BM133">
        <f>'Weight '!AI135/12</f>
        <v>1.0630170480189971E-2</v>
      </c>
      <c r="BN133" s="554">
        <f t="shared" si="287"/>
        <v>0.3524920159587735</v>
      </c>
      <c r="BO133" s="554">
        <f t="shared" si="288"/>
        <v>1.6726090371929658</v>
      </c>
      <c r="BP133">
        <f t="shared" si="289"/>
        <v>1.0630170480189971E-2</v>
      </c>
      <c r="BQ133">
        <f t="shared" si="289"/>
        <v>1.0630170480189971E-2</v>
      </c>
      <c r="BR133">
        <f t="shared" si="290"/>
        <v>0.20492076863962003</v>
      </c>
      <c r="BS133">
        <f t="shared" si="291"/>
        <v>5.3289473270715836E-2</v>
      </c>
      <c r="BT133">
        <f t="shared" si="292"/>
        <v>0.12427969541271641</v>
      </c>
      <c r="BU133">
        <f t="shared" si="293"/>
        <v>9.8568411127697899E-3</v>
      </c>
      <c r="BV133">
        <f t="shared" si="294"/>
        <v>864.04565533813968</v>
      </c>
      <c r="BW133" s="207">
        <f t="shared" si="295"/>
        <v>263.32557120358672</v>
      </c>
      <c r="BX133">
        <f t="shared" si="296"/>
        <v>0.49784767714251721</v>
      </c>
      <c r="BY133" s="575">
        <f t="shared" si="297"/>
        <v>43.085768858552768</v>
      </c>
      <c r="BZ133">
        <f t="shared" si="298"/>
        <v>849.68373238528875</v>
      </c>
      <c r="CA133" s="207">
        <f t="shared" si="299"/>
        <v>267.70249450824861</v>
      </c>
      <c r="CB133">
        <f t="shared" si="300"/>
        <v>0.49522907313359676</v>
      </c>
      <c r="CC133">
        <f t="shared" si="301"/>
        <v>345.52252918954082</v>
      </c>
      <c r="CD133">
        <f t="shared" si="302"/>
        <v>734.50955598877511</v>
      </c>
      <c r="CE133" s="207">
        <f t="shared" si="303"/>
        <v>302.80284551417532</v>
      </c>
      <c r="CF133">
        <f t="shared" si="304"/>
        <v>0.47422940888068732</v>
      </c>
      <c r="CG133">
        <f t="shared" si="305"/>
        <v>230.46217460590435</v>
      </c>
      <c r="CH133">
        <f t="shared" si="306"/>
        <v>657.68883112014032</v>
      </c>
      <c r="CI133" s="207">
        <f t="shared" ref="CI133" si="395" xml:space="preserve"> ($BQ$38-CH133*($BP133+$BR133+$BQ133+$BN133))/($BP133+$BR133+$BQ133+$BO133)</f>
        <v>326.21464225353895</v>
      </c>
      <c r="CJ133">
        <f t="shared" si="308"/>
        <v>0.46022271501597395</v>
      </c>
      <c r="CK133">
        <f t="shared" si="309"/>
        <v>159.09579605217758</v>
      </c>
      <c r="CL133">
        <f t="shared" si="310"/>
        <v>604.65689910274784</v>
      </c>
      <c r="CM133" s="207">
        <f t="shared" ref="CM133" si="396" xml:space="preserve"> ($BQ$38-CL133*($BP133+$BR133+$BQ133+$BN133))/($BP133+$BR133+$BQ133+$BO133)</f>
        <v>342.37659353960231</v>
      </c>
      <c r="CN133">
        <f t="shared" si="312"/>
        <v>0.45055342280228922</v>
      </c>
      <c r="CO133">
        <f t="shared" si="313"/>
        <v>112.34034944727475</v>
      </c>
      <c r="CP133">
        <f t="shared" si="314"/>
        <v>567.21011595365621</v>
      </c>
      <c r="CQ133" s="207">
        <f t="shared" ref="CQ133" si="397" xml:space="preserve"> ($BQ$38-CP133*($BP133+$BR133+$BQ133+$BN133))/($BP133+$BR133+$BQ133+$BO133)</f>
        <v>353.78883258223993</v>
      </c>
      <c r="CR133">
        <f t="shared" si="316"/>
        <v>0.44372576491850135</v>
      </c>
      <c r="CS133">
        <f t="shared" si="317"/>
        <v>80.561018846415891</v>
      </c>
      <c r="CT133">
        <f t="shared" si="318"/>
        <v>540.35644300485092</v>
      </c>
      <c r="CU133" s="636">
        <f t="shared" si="319"/>
        <v>361.97272740825025</v>
      </c>
      <c r="CV133" s="575">
        <f t="shared" si="320"/>
        <v>0.43882954483231701</v>
      </c>
      <c r="CW133">
        <f t="shared" si="321"/>
        <v>58.401222989803827</v>
      </c>
      <c r="CX133" s="576">
        <f t="shared" si="322"/>
        <v>0.34923039421598573</v>
      </c>
    </row>
    <row r="134" spans="1:102" x14ac:dyDescent="0.25">
      <c r="A134" s="186">
        <v>90</v>
      </c>
      <c r="B134" s="187">
        <f>A134/100*'Inputs-Imperial'!$E$5</f>
        <v>8.8582680000000007</v>
      </c>
      <c r="C134" s="188">
        <f>'Inputs-Imperial'!$E$10+('Inputs-Imperial'!$E$9-'Inputs-Imperial'!$E$10)*(100-A134)/100</f>
        <v>1.2467192</v>
      </c>
      <c r="D134" s="187">
        <f t="shared" si="323"/>
        <v>9.8425199999999435E-2</v>
      </c>
      <c r="E134" s="188">
        <f t="shared" si="324"/>
        <v>0.12319296260359129</v>
      </c>
      <c r="F134" s="423">
        <f>Sizing!F150</f>
        <v>6.6695470390419782</v>
      </c>
      <c r="G134" s="423">
        <f>Sizing!G150</f>
        <v>66.695470390419786</v>
      </c>
      <c r="H134" s="423">
        <f>Sizing!H150</f>
        <v>33.558236872604489</v>
      </c>
      <c r="I134" s="423">
        <f>Sizing!I150</f>
        <v>-32.891175072015713</v>
      </c>
      <c r="J134" s="189">
        <f>Sizing!J150</f>
        <v>3.355823687260449</v>
      </c>
      <c r="K134" s="128">
        <v>90</v>
      </c>
      <c r="L134" s="12">
        <f t="shared" si="265"/>
        <v>106.299216</v>
      </c>
      <c r="M134" s="11">
        <f t="shared" si="265"/>
        <v>14.960630399999999</v>
      </c>
      <c r="N134" s="11">
        <f t="shared" si="265"/>
        <v>1.1811023999999932</v>
      </c>
      <c r="O134" s="152">
        <f t="shared" si="325"/>
        <v>17.739786614917143</v>
      </c>
      <c r="P134" s="170">
        <f t="shared" si="260"/>
        <v>2.6929134719999999</v>
      </c>
      <c r="Q134" s="8">
        <f t="shared" si="261"/>
        <v>1.3464567359999999</v>
      </c>
      <c r="R134" s="170">
        <f>Sizing!X150</f>
        <v>3.7401575999999999</v>
      </c>
      <c r="S134" s="8">
        <f>Sizing!Y150</f>
        <v>11.2204728</v>
      </c>
      <c r="T134" s="8">
        <f>Sizing!Z150</f>
        <v>7.4803151999999997</v>
      </c>
      <c r="U134" s="17">
        <f>Sizing!CN150</f>
        <v>0.25</v>
      </c>
      <c r="V134" s="17">
        <f>Sizing!CO150</f>
        <v>2.3622047244094495E-2</v>
      </c>
      <c r="W134" s="17">
        <f>Sizing!CP150</f>
        <v>1.5748031496062995E-2</v>
      </c>
      <c r="X134" s="170">
        <f>Sizing!DU150</f>
        <v>3.9589056222337476E-3</v>
      </c>
      <c r="Y134" s="170">
        <f>Sizing!DV150</f>
        <v>6.2919834887209827E-2</v>
      </c>
      <c r="Z134" s="170">
        <f>Sizing!DW150</f>
        <v>3.9589056222337476E-3</v>
      </c>
      <c r="AA134" s="272">
        <f>Sizing!DX150</f>
        <v>6.2919834887209827E-2</v>
      </c>
      <c r="AB134" s="272">
        <f t="shared" si="266"/>
        <v>2.0512534796324751</v>
      </c>
      <c r="AC134" s="216">
        <f>Sizing!GJ150</f>
        <v>0.25</v>
      </c>
      <c r="AD134" s="216">
        <f>Sizing!GK150</f>
        <v>1.5748031496062995E-2</v>
      </c>
      <c r="AE134" s="17">
        <f>Sizing!GL150</f>
        <v>1.5748031496062995E-2</v>
      </c>
      <c r="AF134" s="170">
        <f>Sizing!JC150</f>
        <v>6.9595306634633145E-5</v>
      </c>
      <c r="AG134" s="272">
        <f>Sizing!JD150</f>
        <v>8.3423801540467545E-3</v>
      </c>
      <c r="AH134" s="170">
        <f>Sizing!JC150</f>
        <v>6.9595306634633145E-5</v>
      </c>
      <c r="AI134" s="272">
        <f>Sizing!JD150</f>
        <v>8.3423801540467545E-3</v>
      </c>
      <c r="AJ134" s="216">
        <f>Sizing!IT150</f>
        <v>0.25</v>
      </c>
      <c r="AK134" s="216">
        <f>Sizing!IU150</f>
        <v>1.5748031496062995E-2</v>
      </c>
      <c r="AL134" s="17">
        <f>Sizing!IV150</f>
        <v>1.5748031496062995E-2</v>
      </c>
      <c r="AM134" s="170">
        <f t="shared" si="267"/>
        <v>0</v>
      </c>
      <c r="AN134" s="11">
        <f t="shared" si="268"/>
        <v>4.1644132421820032E-3</v>
      </c>
      <c r="AO134" s="11">
        <f t="shared" si="269"/>
        <v>4.1644132421820032E-3</v>
      </c>
      <c r="AP134" s="11">
        <f t="shared" si="270"/>
        <v>8.3288264843640065E-3</v>
      </c>
      <c r="AQ134" s="555">
        <f t="shared" si="271"/>
        <v>132879.59692031055</v>
      </c>
      <c r="AR134" s="311">
        <f t="shared" si="272"/>
        <v>3.8693855285173067</v>
      </c>
      <c r="AS134" s="11">
        <f t="shared" si="273"/>
        <v>1.3222631956476873E-4</v>
      </c>
      <c r="AT134" s="11">
        <f t="shared" si="274"/>
        <v>7.5216497382560666E-3</v>
      </c>
      <c r="AU134" s="11">
        <f t="shared" si="275"/>
        <v>7.6538760578208354E-3</v>
      </c>
      <c r="AV134" s="555">
        <f t="shared" si="276"/>
        <v>122111.31632416401</v>
      </c>
      <c r="AW134" s="138">
        <f t="shared" si="277"/>
        <v>3.9370078740157494E-2</v>
      </c>
      <c r="AX134" s="138">
        <f t="shared" si="278"/>
        <v>3.1496062992125991E-2</v>
      </c>
      <c r="AY134" s="554">
        <f t="shared" si="279"/>
        <v>3.1496062992125991E-2</v>
      </c>
      <c r="AZ134" s="12">
        <f t="shared" si="280"/>
        <v>94.925617069534297</v>
      </c>
      <c r="BA134" s="11">
        <f t="shared" si="281"/>
        <v>47.916315710459735</v>
      </c>
      <c r="BB134">
        <f t="shared" si="282"/>
        <v>29.614862115325369</v>
      </c>
      <c r="BC134" s="555">
        <f t="shared" si="283"/>
        <v>111677289.6585466</v>
      </c>
      <c r="BD134">
        <f t="shared" si="284"/>
        <v>90</v>
      </c>
      <c r="BE134" s="207">
        <f t="shared" si="285"/>
        <v>1.2467192</v>
      </c>
      <c r="BF134" s="207">
        <f>'Inputs-Imperial'!$E$15*BE134</f>
        <v>0.93503939999999997</v>
      </c>
      <c r="BG134" s="207">
        <f>'Inputs-Imperial'!$E$12*BE134</f>
        <v>0.31167980000000001</v>
      </c>
      <c r="BH134">
        <f>'Inputs-Imperial'!$E$11*BE134</f>
        <v>0.22440945600000001</v>
      </c>
      <c r="BI134">
        <f t="shared" si="286"/>
        <v>0.23802217214997626</v>
      </c>
      <c r="BJ134">
        <f>'Weight '!U136+'Weight '!V136 /12</f>
        <v>2.4934383202099744E-2</v>
      </c>
      <c r="BK134">
        <f>('Weight '!AK136+'Weight '!AL136)/12</f>
        <v>2.6246719160104991E-3</v>
      </c>
      <c r="BL134">
        <f>'Weight '!AG136/12</f>
        <v>5.2433195739341526E-3</v>
      </c>
      <c r="BM134">
        <f>'Weight '!AI136/12</f>
        <v>5.2433195739341526E-3</v>
      </c>
      <c r="BN134" s="554">
        <f t="shared" si="287"/>
        <v>0.34751042247679281</v>
      </c>
      <c r="BO134" s="554">
        <f t="shared" si="288"/>
        <v>1.6617282203369426</v>
      </c>
      <c r="BP134">
        <f t="shared" si="289"/>
        <v>5.2433195739341526E-3</v>
      </c>
      <c r="BQ134">
        <f t="shared" si="289"/>
        <v>5.2433195739341526E-3</v>
      </c>
      <c r="BR134">
        <f t="shared" si="290"/>
        <v>0.21392281685213171</v>
      </c>
      <c r="BS134">
        <f t="shared" si="291"/>
        <v>5.2457920773141598E-2</v>
      </c>
      <c r="BT134">
        <f t="shared" si="292"/>
        <v>0.122340380107549</v>
      </c>
      <c r="BU134">
        <f t="shared" si="293"/>
        <v>9.5516202279989949E-3</v>
      </c>
      <c r="BV134">
        <f t="shared" si="294"/>
        <v>874.24833235673032</v>
      </c>
      <c r="BW134" s="207">
        <f t="shared" si="295"/>
        <v>265.09199528374154</v>
      </c>
      <c r="BX134">
        <f t="shared" si="296"/>
        <v>0.49437928857667796</v>
      </c>
      <c r="BY134" s="575">
        <f t="shared" si="297"/>
        <v>43.950663466790331</v>
      </c>
      <c r="BZ134">
        <f t="shared" si="298"/>
        <v>859.59811120113352</v>
      </c>
      <c r="CA134" s="207">
        <f t="shared" si="299"/>
        <v>269.53427582777869</v>
      </c>
      <c r="CB134">
        <f t="shared" si="300"/>
        <v>0.49175530771469561</v>
      </c>
      <c r="CC134">
        <f t="shared" si="301"/>
        <v>348.18406222472817</v>
      </c>
      <c r="CD134">
        <f t="shared" si="302"/>
        <v>743.53675712622407</v>
      </c>
      <c r="CE134" s="207">
        <f t="shared" si="303"/>
        <v>304.72672034078272</v>
      </c>
      <c r="CF134">
        <f t="shared" si="304"/>
        <v>0.47096771900365586</v>
      </c>
      <c r="CG134">
        <f t="shared" si="305"/>
        <v>233.0744985757741</v>
      </c>
      <c r="CH134">
        <f t="shared" si="306"/>
        <v>665.84525760096608</v>
      </c>
      <c r="CI134" s="207">
        <f t="shared" ref="CI134" si="398" xml:space="preserve"> ($BQ$38-CH134*($BP134+$BR134+$BQ134+$BN134))/($BP134+$BR134+$BQ134+$BO134)</f>
        <v>328.28455152384839</v>
      </c>
      <c r="CJ134">
        <f t="shared" si="308"/>
        <v>0.45705250190707936</v>
      </c>
      <c r="CK134">
        <f t="shared" si="309"/>
        <v>161.41235384220923</v>
      </c>
      <c r="CL134">
        <f t="shared" si="310"/>
        <v>612.04113965356305</v>
      </c>
      <c r="CM134" s="207">
        <f t="shared" ref="CM134" si="399" xml:space="preserve"> ($BQ$38-CL134*($BP134+$BR134+$BQ134+$BN134))/($BP134+$BR134+$BQ134+$BO134)</f>
        <v>344.59918485315615</v>
      </c>
      <c r="CN134">
        <f t="shared" si="312"/>
        <v>0.44741572070832647</v>
      </c>
      <c r="CO134">
        <f t="shared" si="313"/>
        <v>114.31816684517145</v>
      </c>
      <c r="CP134">
        <f t="shared" si="314"/>
        <v>573.93508403850592</v>
      </c>
      <c r="CQ134" s="207">
        <f t="shared" ref="CQ134" si="400" xml:space="preserve"> ($BQ$38-CP134*($BP134+$BR134+$BQ134+$BN134))/($BP134+$BR134+$BQ134+$BO134)</f>
        <v>356.15380834115018</v>
      </c>
      <c r="CR134">
        <f t="shared" si="316"/>
        <v>0.44059059775642168</v>
      </c>
      <c r="CS134">
        <f t="shared" si="317"/>
        <v>82.218927636661888</v>
      </c>
      <c r="CT134">
        <f t="shared" si="318"/>
        <v>546.52877482628526</v>
      </c>
      <c r="CU134" s="636">
        <f t="shared" si="319"/>
        <v>364.464025156601</v>
      </c>
      <c r="CV134" s="575">
        <f t="shared" si="320"/>
        <v>0.43568189159378712</v>
      </c>
      <c r="CW134">
        <f t="shared" si="321"/>
        <v>59.775951097359048</v>
      </c>
      <c r="CX134" s="576">
        <f t="shared" si="322"/>
        <v>0.3494627271271567</v>
      </c>
    </row>
    <row r="135" spans="1:102" x14ac:dyDescent="0.25">
      <c r="A135" s="186">
        <v>91</v>
      </c>
      <c r="B135" s="187">
        <f>A135/100*'Inputs-Imperial'!$E$5</f>
        <v>8.9566932000000001</v>
      </c>
      <c r="C135" s="188">
        <f>'Inputs-Imperial'!$E$10+('Inputs-Imperial'!$E$9-'Inputs-Imperial'!$E$10)*(100-A135)/100</f>
        <v>1.23687668</v>
      </c>
      <c r="D135" s="187">
        <f t="shared" si="323"/>
        <v>9.8425199999999435E-2</v>
      </c>
      <c r="E135" s="188">
        <f t="shared" si="324"/>
        <v>0.12222421060408731</v>
      </c>
      <c r="F135" s="423">
        <f>Sizing!F151</f>
        <v>5.8825129118367974</v>
      </c>
      <c r="G135" s="423">
        <f>Sizing!G151</f>
        <v>58.825129118367968</v>
      </c>
      <c r="H135" s="423">
        <f>Sizing!H151</f>
        <v>26.99372186033338</v>
      </c>
      <c r="I135" s="423">
        <f>Sizing!I151</f>
        <v>-28.33989064669283</v>
      </c>
      <c r="J135" s="189">
        <f>Sizing!J151</f>
        <v>2.6993721860333384</v>
      </c>
      <c r="K135" s="128">
        <v>91</v>
      </c>
      <c r="L135" s="12">
        <f t="shared" si="265"/>
        <v>107.4803184</v>
      </c>
      <c r="M135" s="11">
        <f t="shared" si="265"/>
        <v>14.842520159999999</v>
      </c>
      <c r="N135" s="11">
        <f t="shared" si="265"/>
        <v>1.1811023999999932</v>
      </c>
      <c r="O135" s="152">
        <f t="shared" si="325"/>
        <v>17.600286326988574</v>
      </c>
      <c r="P135" s="170">
        <f t="shared" si="260"/>
        <v>2.6716536287999997</v>
      </c>
      <c r="Q135" s="8">
        <f t="shared" si="261"/>
        <v>1.3358268143999998</v>
      </c>
      <c r="R135" s="170">
        <f>Sizing!X151</f>
        <v>3.7106300399999999</v>
      </c>
      <c r="S135" s="8">
        <f>Sizing!Y151</f>
        <v>11.13189012</v>
      </c>
      <c r="T135" s="8">
        <f>Sizing!Z151</f>
        <v>7.4212600799999997</v>
      </c>
      <c r="U135" s="17">
        <f>Sizing!CN151</f>
        <v>0.25</v>
      </c>
      <c r="V135" s="17">
        <f>Sizing!CO151</f>
        <v>2.3622047244094495E-2</v>
      </c>
      <c r="W135" s="17">
        <f>Sizing!CP151</f>
        <v>1.5748031496062995E-2</v>
      </c>
      <c r="X135" s="170">
        <f>Sizing!DU151</f>
        <v>3.9589056222337476E-3</v>
      </c>
      <c r="Y135" s="170">
        <f>Sizing!DV151</f>
        <v>6.2919834887209827E-2</v>
      </c>
      <c r="Z135" s="170">
        <f>Sizing!DW151</f>
        <v>3.9589056222337476E-3</v>
      </c>
      <c r="AA135" s="272">
        <f>Sizing!DX151</f>
        <v>6.2919834887209827E-2</v>
      </c>
      <c r="AB135" s="272">
        <f t="shared" si="266"/>
        <v>2.0299936364324749</v>
      </c>
      <c r="AC135" s="216">
        <f>Sizing!GJ151</f>
        <v>0.25</v>
      </c>
      <c r="AD135" s="216">
        <f>Sizing!GK151</f>
        <v>1.5748031496062995E-2</v>
      </c>
      <c r="AE135" s="17">
        <f>Sizing!GL151</f>
        <v>1.5748031496062995E-2</v>
      </c>
      <c r="AF135" s="170">
        <f>Sizing!JC151</f>
        <v>6.9595306634633145E-5</v>
      </c>
      <c r="AG135" s="272">
        <f>Sizing!JD151</f>
        <v>8.3423801540467545E-3</v>
      </c>
      <c r="AH135" s="170">
        <f>Sizing!JC151</f>
        <v>6.9595306634633145E-5</v>
      </c>
      <c r="AI135" s="272">
        <f>Sizing!JD151</f>
        <v>8.3423801540467545E-3</v>
      </c>
      <c r="AJ135" s="216">
        <f>Sizing!IT151</f>
        <v>0.25</v>
      </c>
      <c r="AK135" s="216">
        <f>Sizing!IU151</f>
        <v>1.5748031496062995E-2</v>
      </c>
      <c r="AL135" s="17">
        <f>Sizing!IV151</f>
        <v>1.5748031496062995E-2</v>
      </c>
      <c r="AM135" s="170">
        <f t="shared" si="267"/>
        <v>0</v>
      </c>
      <c r="AN135" s="11">
        <f t="shared" si="268"/>
        <v>4.0785379740511402E-3</v>
      </c>
      <c r="AO135" s="11">
        <f t="shared" si="269"/>
        <v>4.0785379740511402E-3</v>
      </c>
      <c r="AP135" s="11">
        <f t="shared" si="270"/>
        <v>8.1570759481022805E-3</v>
      </c>
      <c r="AQ135" s="555">
        <f t="shared" si="271"/>
        <v>130139.45794969444</v>
      </c>
      <c r="AR135" s="311">
        <f t="shared" si="272"/>
        <v>3.8388377480290119</v>
      </c>
      <c r="AS135" s="11">
        <f t="shared" si="273"/>
        <v>1.3014677682424481E-4</v>
      </c>
      <c r="AT135" s="11">
        <f t="shared" si="274"/>
        <v>7.4033556485359866E-3</v>
      </c>
      <c r="AU135" s="11">
        <f t="shared" si="275"/>
        <v>7.5335024253602315E-3</v>
      </c>
      <c r="AV135" s="555">
        <f t="shared" si="276"/>
        <v>120190.85372463369</v>
      </c>
      <c r="AW135" s="138">
        <f t="shared" si="277"/>
        <v>3.9370078740157494E-2</v>
      </c>
      <c r="AX135" s="138">
        <f t="shared" si="278"/>
        <v>3.1496062992125991E-2</v>
      </c>
      <c r="AY135" s="554">
        <f t="shared" si="279"/>
        <v>3.1496062992125991E-2</v>
      </c>
      <c r="AZ135" s="12">
        <f t="shared" si="280"/>
        <v>93.432707953433791</v>
      </c>
      <c r="BA135" s="11">
        <f t="shared" si="281"/>
        <v>47.538029007482415</v>
      </c>
      <c r="BB135">
        <f t="shared" si="282"/>
        <v>28.918980319126018</v>
      </c>
      <c r="BC135" s="555">
        <f t="shared" si="283"/>
        <v>109053127.7556604</v>
      </c>
      <c r="BD135">
        <f t="shared" si="284"/>
        <v>91</v>
      </c>
      <c r="BE135" s="207">
        <f t="shared" si="285"/>
        <v>1.23687668</v>
      </c>
      <c r="BF135" s="207">
        <f>'Inputs-Imperial'!$E$15*BE135</f>
        <v>0.92765750999999996</v>
      </c>
      <c r="BG135" s="207">
        <f>'Inputs-Imperial'!$E$12*BE135</f>
        <v>0.30921916999999999</v>
      </c>
      <c r="BH135">
        <f>'Inputs-Imperial'!$E$11*BE135</f>
        <v>0.22263780239999997</v>
      </c>
      <c r="BI135">
        <f t="shared" si="286"/>
        <v>0.23614304973826589</v>
      </c>
      <c r="BJ135">
        <f>'Weight '!U137+'Weight '!V137 /12</f>
        <v>2.4934383202099744E-2</v>
      </c>
      <c r="BK135">
        <f>('Weight '!AK137+'Weight '!AL137)/12</f>
        <v>2.6246719160104991E-3</v>
      </c>
      <c r="BL135">
        <f>'Weight '!AG137/12</f>
        <v>5.2433195739341526E-3</v>
      </c>
      <c r="BM135">
        <f>'Weight '!AI137/12</f>
        <v>5.2433195739341526E-3</v>
      </c>
      <c r="BN135" s="554">
        <f t="shared" si="287"/>
        <v>0.34255401756070891</v>
      </c>
      <c r="BO135" s="554">
        <f t="shared" si="288"/>
        <v>1.6508222149150236</v>
      </c>
      <c r="BP135">
        <f t="shared" si="289"/>
        <v>5.2433195739341526E-3</v>
      </c>
      <c r="BQ135">
        <f t="shared" si="289"/>
        <v>5.2433195739341526E-3</v>
      </c>
      <c r="BR135">
        <f t="shared" si="290"/>
        <v>0.21215116325213168</v>
      </c>
      <c r="BS135">
        <f t="shared" si="291"/>
        <v>5.1632907351563999E-2</v>
      </c>
      <c r="BT135">
        <f t="shared" si="292"/>
        <v>0.12041631498826752</v>
      </c>
      <c r="BU135">
        <f t="shared" si="293"/>
        <v>9.2535432885220373E-3</v>
      </c>
      <c r="BV135">
        <f t="shared" si="294"/>
        <v>884.6554078485409</v>
      </c>
      <c r="BW135" s="207">
        <f t="shared" si="295"/>
        <v>266.88586646038078</v>
      </c>
      <c r="BX135">
        <f t="shared" si="296"/>
        <v>0.4909085912997877</v>
      </c>
      <c r="BY135" s="575">
        <f t="shared" si="297"/>
        <v>44.824563781275259</v>
      </c>
      <c r="BZ135">
        <f t="shared" si="298"/>
        <v>869.71388658811577</v>
      </c>
      <c r="CA135" s="207">
        <f t="shared" si="299"/>
        <v>271.39347565198983</v>
      </c>
      <c r="CB135">
        <f t="shared" si="300"/>
        <v>0.48828006355740416</v>
      </c>
      <c r="CC135">
        <f t="shared" si="301"/>
        <v>350.88485330146341</v>
      </c>
      <c r="CD135">
        <f t="shared" si="302"/>
        <v>752.75226882096126</v>
      </c>
      <c r="CE135" s="207">
        <f t="shared" si="303"/>
        <v>306.67885617807502</v>
      </c>
      <c r="CF135">
        <f t="shared" si="304"/>
        <v>0.46770405581786323</v>
      </c>
      <c r="CG135">
        <f t="shared" si="305"/>
        <v>235.7250336601885</v>
      </c>
      <c r="CH135">
        <f t="shared" si="306"/>
        <v>674.17725760089843</v>
      </c>
      <c r="CI135" s="207">
        <f t="shared" ref="CI135" si="401" xml:space="preserve"> ($BQ$38-CH135*($BP135+$BR135+$BQ135+$BN135))/($BP135+$BR135+$BQ135+$BO135)</f>
        <v>330.38363406735573</v>
      </c>
      <c r="CJ135">
        <f t="shared" si="308"/>
        <v>0.45388105926683092</v>
      </c>
      <c r="CK135">
        <f t="shared" si="309"/>
        <v>163.76627774288539</v>
      </c>
      <c r="CL135">
        <f t="shared" si="310"/>
        <v>619.58849835326998</v>
      </c>
      <c r="CM135" s="207">
        <f t="shared" ref="CM135" si="402" xml:space="preserve"> ($BQ$38-CL135*($BP135+$BR135+$BQ135+$BN135))/($BP135+$BR135+$BQ135+$BO135)</f>
        <v>346.85215749641804</v>
      </c>
      <c r="CN135">
        <f t="shared" si="312"/>
        <v>0.4442777487602404</v>
      </c>
      <c r="CO135">
        <f t="shared" si="313"/>
        <v>116.33168438621195</v>
      </c>
      <c r="CP135">
        <f t="shared" si="314"/>
        <v>580.81127022453268</v>
      </c>
      <c r="CQ135" s="207">
        <f t="shared" ref="CQ135" si="403" xml:space="preserve"> ($BQ$38-CP135*($BP135+$BR135+$BQ135+$BN135))/($BP135+$BR135+$BQ135+$BO135)</f>
        <v>358.55060418679511</v>
      </c>
      <c r="CR135">
        <f t="shared" si="316"/>
        <v>0.43745601902251346</v>
      </c>
      <c r="CS135">
        <f t="shared" si="317"/>
        <v>83.910266561633648</v>
      </c>
      <c r="CT135">
        <f t="shared" si="318"/>
        <v>552.84118137065479</v>
      </c>
      <c r="CU135" s="636">
        <f t="shared" si="319"/>
        <v>366.98871617086729</v>
      </c>
      <c r="CV135" s="575">
        <f t="shared" si="320"/>
        <v>0.43253549230853827</v>
      </c>
      <c r="CW135">
        <f t="shared" si="321"/>
        <v>61.181499755307094</v>
      </c>
      <c r="CX135" s="576">
        <f t="shared" si="322"/>
        <v>0.3496997714505688</v>
      </c>
    </row>
    <row r="136" spans="1:102" x14ac:dyDescent="0.25">
      <c r="A136" s="186">
        <v>92</v>
      </c>
      <c r="B136" s="187">
        <f>A136/100*'Inputs-Imperial'!$E$5</f>
        <v>9.0551184000000013</v>
      </c>
      <c r="C136" s="188">
        <f>'Inputs-Imperial'!$E$10+('Inputs-Imperial'!$E$9-'Inputs-Imperial'!$E$10)*(100-A136)/100</f>
        <v>1.2270341599999999</v>
      </c>
      <c r="D136" s="187">
        <f t="shared" si="323"/>
        <v>9.8425200000001212E-2</v>
      </c>
      <c r="E136" s="188">
        <f t="shared" si="324"/>
        <v>0.12125545860458548</v>
      </c>
      <c r="F136" s="423">
        <f>Sizing!F152</f>
        <v>5.11608326942227</v>
      </c>
      <c r="G136" s="423">
        <f>Sizing!G152</f>
        <v>51.160832694222698</v>
      </c>
      <c r="H136" s="423">
        <f>Sizing!H152</f>
        <v>21.203846761832118</v>
      </c>
      <c r="I136" s="423">
        <f>Sizing!I152</f>
        <v>-24.028388871857111</v>
      </c>
      <c r="J136" s="189">
        <f>Sizing!J152</f>
        <v>2.1203846761832121</v>
      </c>
      <c r="K136" s="128">
        <v>92</v>
      </c>
      <c r="L136" s="12">
        <f t="shared" si="265"/>
        <v>108.66142080000002</v>
      </c>
      <c r="M136" s="11">
        <f t="shared" si="265"/>
        <v>14.724409919999999</v>
      </c>
      <c r="N136" s="11">
        <f t="shared" si="265"/>
        <v>1.1811024000000145</v>
      </c>
      <c r="O136" s="152">
        <f t="shared" si="325"/>
        <v>17.460786039060309</v>
      </c>
      <c r="P136" s="170">
        <f t="shared" si="260"/>
        <v>2.6503937855999999</v>
      </c>
      <c r="Q136" s="8">
        <f t="shared" si="261"/>
        <v>1.3251968928</v>
      </c>
      <c r="R136" s="170">
        <f>Sizing!X152</f>
        <v>3.6811024799999998</v>
      </c>
      <c r="S136" s="8">
        <f>Sizing!Y152</f>
        <v>11.04330744</v>
      </c>
      <c r="T136" s="8">
        <f>Sizing!Z152</f>
        <v>7.3622049599999997</v>
      </c>
      <c r="U136" s="17">
        <f>Sizing!CN152</f>
        <v>0.25</v>
      </c>
      <c r="V136" s="17">
        <f>Sizing!CO152</f>
        <v>2.3622047244094495E-2</v>
      </c>
      <c r="W136" s="17">
        <f>Sizing!CP152</f>
        <v>1.5748031496062995E-2</v>
      </c>
      <c r="X136" s="170">
        <f>Sizing!DU152</f>
        <v>3.9589056222337476E-3</v>
      </c>
      <c r="Y136" s="170">
        <f>Sizing!DV152</f>
        <v>6.2919834887209827E-2</v>
      </c>
      <c r="Z136" s="170">
        <f>Sizing!DW152</f>
        <v>3.9589056222337476E-3</v>
      </c>
      <c r="AA136" s="272">
        <f>Sizing!DX152</f>
        <v>6.2919834887209827E-2</v>
      </c>
      <c r="AB136" s="272">
        <f t="shared" si="266"/>
        <v>2.0087337932324747</v>
      </c>
      <c r="AC136" s="216">
        <f>Sizing!GJ152</f>
        <v>0.25</v>
      </c>
      <c r="AD136" s="216">
        <f>Sizing!GK152</f>
        <v>1.5748031496062995E-2</v>
      </c>
      <c r="AE136" s="17">
        <f>Sizing!GL152</f>
        <v>1.5748031496062995E-2</v>
      </c>
      <c r="AF136" s="170">
        <f>Sizing!JC152</f>
        <v>6.9595306634633145E-5</v>
      </c>
      <c r="AG136" s="272">
        <f>Sizing!JD152</f>
        <v>8.3423801540467545E-3</v>
      </c>
      <c r="AH136" s="170">
        <f>Sizing!JC152</f>
        <v>6.9595306634633145E-5</v>
      </c>
      <c r="AI136" s="272">
        <f>Sizing!JD152</f>
        <v>8.3423801540467545E-3</v>
      </c>
      <c r="AJ136" s="216">
        <f>Sizing!IT152</f>
        <v>0.25</v>
      </c>
      <c r="AK136" s="216">
        <f>Sizing!IU152</f>
        <v>1.5748031496062995E-2</v>
      </c>
      <c r="AL136" s="17">
        <f>Sizing!IV152</f>
        <v>1.5748031496062995E-2</v>
      </c>
      <c r="AM136" s="170">
        <f t="shared" si="267"/>
        <v>0</v>
      </c>
      <c r="AN136" s="11">
        <f t="shared" si="268"/>
        <v>3.9935573808484543E-3</v>
      </c>
      <c r="AO136" s="11">
        <f t="shared" si="269"/>
        <v>3.9935573808484543E-3</v>
      </c>
      <c r="AP136" s="11">
        <f t="shared" si="270"/>
        <v>7.9871147616969087E-3</v>
      </c>
      <c r="AQ136" s="555">
        <f t="shared" si="271"/>
        <v>127427.86658876958</v>
      </c>
      <c r="AR136" s="311">
        <f t="shared" si="272"/>
        <v>3.808289967540718</v>
      </c>
      <c r="AS136" s="11">
        <f t="shared" si="273"/>
        <v>1.2808371658893156E-4</v>
      </c>
      <c r="AT136" s="11">
        <f t="shared" si="274"/>
        <v>7.2859991605838323E-3</v>
      </c>
      <c r="AU136" s="11">
        <f t="shared" si="275"/>
        <v>7.4140828771727639E-3</v>
      </c>
      <c r="AV136" s="555">
        <f t="shared" si="276"/>
        <v>118285.61275733217</v>
      </c>
      <c r="AW136" s="138">
        <f t="shared" si="277"/>
        <v>3.9370078740157494E-2</v>
      </c>
      <c r="AX136" s="138">
        <f t="shared" si="278"/>
        <v>3.1496062992125991E-2</v>
      </c>
      <c r="AY136" s="554">
        <f t="shared" si="279"/>
        <v>3.1496062992125991E-2</v>
      </c>
      <c r="AZ136" s="12">
        <f t="shared" si="280"/>
        <v>91.951631670486009</v>
      </c>
      <c r="BA136" s="11">
        <f t="shared" si="281"/>
        <v>47.15974230450508</v>
      </c>
      <c r="BB136">
        <f t="shared" si="282"/>
        <v>28.234085900149015</v>
      </c>
      <c r="BC136" s="555">
        <f t="shared" si="283"/>
        <v>106470399.12043115</v>
      </c>
      <c r="BD136">
        <f t="shared" si="284"/>
        <v>92</v>
      </c>
      <c r="BE136" s="207">
        <f t="shared" si="285"/>
        <v>1.2270341599999999</v>
      </c>
      <c r="BF136" s="207">
        <f>'Inputs-Imperial'!$E$15*BE136</f>
        <v>0.92027561999999996</v>
      </c>
      <c r="BG136" s="207">
        <f>'Inputs-Imperial'!$E$12*BE136</f>
        <v>0.30675853999999997</v>
      </c>
      <c r="BH136">
        <f>'Inputs-Imperial'!$E$11*BE136</f>
        <v>0.22086614879999997</v>
      </c>
      <c r="BI136">
        <f t="shared" si="286"/>
        <v>0.23426392732655554</v>
      </c>
      <c r="BJ136">
        <f>'Weight '!U138+'Weight '!V138 /12</f>
        <v>2.4934383202099744E-2</v>
      </c>
      <c r="BK136">
        <f>('Weight '!AK138+'Weight '!AL138)/12</f>
        <v>2.6246719160104991E-3</v>
      </c>
      <c r="BL136">
        <f>'Weight '!AG138/12</f>
        <v>5.2433195739341526E-3</v>
      </c>
      <c r="BM136">
        <f>'Weight '!AI138/12</f>
        <v>5.2433195739341526E-3</v>
      </c>
      <c r="BN136" s="554">
        <f t="shared" si="287"/>
        <v>0.33762304172071483</v>
      </c>
      <c r="BO136" s="554">
        <f t="shared" si="288"/>
        <v>1.6398907804170146</v>
      </c>
      <c r="BP136">
        <f t="shared" si="289"/>
        <v>5.2433195739341526E-3</v>
      </c>
      <c r="BQ136">
        <f t="shared" si="289"/>
        <v>5.2433195739341526E-3</v>
      </c>
      <c r="BR136">
        <f t="shared" si="290"/>
        <v>0.21037950965213167</v>
      </c>
      <c r="BS136">
        <f t="shared" si="291"/>
        <v>5.0814433005983047E-2</v>
      </c>
      <c r="BT136">
        <f t="shared" si="292"/>
        <v>0.11850750005487207</v>
      </c>
      <c r="BU136">
        <f t="shared" si="293"/>
        <v>8.9624979416295519E-3</v>
      </c>
      <c r="BV136">
        <f t="shared" si="294"/>
        <v>895.27247525385121</v>
      </c>
      <c r="BW136" s="207">
        <f t="shared" si="295"/>
        <v>268.70785331988225</v>
      </c>
      <c r="BX136">
        <f t="shared" si="296"/>
        <v>0.48743554454767385</v>
      </c>
      <c r="BY136" s="575">
        <f t="shared" si="297"/>
        <v>45.707603655802927</v>
      </c>
      <c r="BZ136">
        <f t="shared" si="298"/>
        <v>880.03660736858353</v>
      </c>
      <c r="CA136" s="207">
        <f t="shared" si="299"/>
        <v>273.28075985512982</v>
      </c>
      <c r="CB136">
        <f t="shared" si="300"/>
        <v>0.48480329312883241</v>
      </c>
      <c r="CC136">
        <f t="shared" si="301"/>
        <v>353.62561938309227</v>
      </c>
      <c r="CD136">
        <f t="shared" si="302"/>
        <v>762.16140090755277</v>
      </c>
      <c r="CE136" s="207">
        <f t="shared" si="303"/>
        <v>308.65992604562439</v>
      </c>
      <c r="CF136">
        <f t="shared" si="304"/>
        <v>0.46443837648674874</v>
      </c>
      <c r="CG136">
        <f t="shared" si="305"/>
        <v>238.41453541729277</v>
      </c>
      <c r="CH136">
        <f t="shared" si="306"/>
        <v>682.68988910178848</v>
      </c>
      <c r="CI136" s="207">
        <f t="shared" ref="CI136" si="404" xml:space="preserve"> ($BQ$38-CH136*($BP136+$BR136+$BQ136+$BN136))/($BP136+$BR136+$BQ136+$BO136)</f>
        <v>332.51257418088352</v>
      </c>
      <c r="CJ136">
        <f t="shared" si="308"/>
        <v>0.4507083414612762</v>
      </c>
      <c r="CK136">
        <f t="shared" si="309"/>
        <v>166.15833078178142</v>
      </c>
      <c r="CL136">
        <f t="shared" si="310"/>
        <v>627.30377884119468</v>
      </c>
      <c r="CM136" s="207">
        <f t="shared" ref="CM136" si="405" xml:space="preserve"> ($BQ$38-CL136*($BP136+$BR136+$BQ136+$BN136))/($BP136+$BR136+$BQ136+$BO136)</f>
        <v>349.13620911129124</v>
      </c>
      <c r="CN136">
        <f t="shared" si="312"/>
        <v>0.44113946304782342</v>
      </c>
      <c r="CO136">
        <f t="shared" si="313"/>
        <v>118.38165960648271</v>
      </c>
      <c r="CP136">
        <f t="shared" si="314"/>
        <v>587.84322563903379</v>
      </c>
      <c r="CQ136" s="207">
        <f t="shared" ref="CQ136" si="406" xml:space="preserve"> ($BQ$38-CP136*($BP136+$BR136+$BQ136+$BN136))/($BP136+$BR136+$BQ136+$BO136)</f>
        <v>360.97993360283346</v>
      </c>
      <c r="CR136">
        <f t="shared" si="316"/>
        <v>0.43432199141202027</v>
      </c>
      <c r="CS136">
        <f t="shared" si="317"/>
        <v>85.63577893182385</v>
      </c>
      <c r="CT136">
        <f t="shared" si="318"/>
        <v>559.29796599509245</v>
      </c>
      <c r="CU136" s="636">
        <f t="shared" si="319"/>
        <v>369.54753246619316</v>
      </c>
      <c r="CV136" s="575">
        <f t="shared" si="320"/>
        <v>0.42939031959884993</v>
      </c>
      <c r="CW136">
        <f t="shared" si="321"/>
        <v>62.618592241186633</v>
      </c>
      <c r="CX136" s="576">
        <f t="shared" si="322"/>
        <v>0.34994161825034276</v>
      </c>
    </row>
    <row r="137" spans="1:102" x14ac:dyDescent="0.25">
      <c r="A137" s="186">
        <v>93</v>
      </c>
      <c r="B137" s="187">
        <f>A137/100*'Inputs-Imperial'!$E$5</f>
        <v>9.1535436000000008</v>
      </c>
      <c r="C137" s="188">
        <f>'Inputs-Imperial'!$E$10+('Inputs-Imperial'!$E$9-'Inputs-Imperial'!$E$10)*(100-A137)/100</f>
        <v>1.21719164</v>
      </c>
      <c r="D137" s="187">
        <f t="shared" si="323"/>
        <v>9.8425199999999435E-2</v>
      </c>
      <c r="E137" s="188">
        <f t="shared" si="324"/>
        <v>0.1202867066050793</v>
      </c>
      <c r="F137" s="423">
        <f>Sizing!F153</f>
        <v>4.3714455346696566</v>
      </c>
      <c r="G137" s="423">
        <f>Sizing!G153</f>
        <v>43.71445534669656</v>
      </c>
      <c r="H137" s="423">
        <f>Sizing!H153</f>
        <v>16.16833157173674</v>
      </c>
      <c r="I137" s="423">
        <f>Sizing!I153</f>
        <v>-19.963814796789094</v>
      </c>
      <c r="J137" s="189">
        <f>Sizing!J153</f>
        <v>1.6168331571736743</v>
      </c>
      <c r="K137" s="128">
        <v>93</v>
      </c>
      <c r="L137" s="12">
        <f t="shared" si="265"/>
        <v>109.84252320000002</v>
      </c>
      <c r="M137" s="11">
        <f t="shared" si="265"/>
        <v>14.606299679999999</v>
      </c>
      <c r="N137" s="11">
        <f t="shared" si="265"/>
        <v>1.1811023999999932</v>
      </c>
      <c r="O137" s="152">
        <f t="shared" si="325"/>
        <v>17.32128575113142</v>
      </c>
      <c r="P137" s="170">
        <f t="shared" si="260"/>
        <v>2.6291339423999998</v>
      </c>
      <c r="Q137" s="8">
        <f t="shared" si="261"/>
        <v>1.3145669711999999</v>
      </c>
      <c r="R137" s="170">
        <f>Sizing!X153</f>
        <v>3.6515749199999998</v>
      </c>
      <c r="S137" s="8">
        <f>Sizing!Y153</f>
        <v>10.95472476</v>
      </c>
      <c r="T137" s="8">
        <f>Sizing!Z153</f>
        <v>7.3031498399999997</v>
      </c>
      <c r="U137" s="17">
        <f>Sizing!CN153</f>
        <v>0.25</v>
      </c>
      <c r="V137" s="17">
        <f>Sizing!CO153</f>
        <v>2.3622047244094495E-2</v>
      </c>
      <c r="W137" s="17">
        <f>Sizing!CP153</f>
        <v>1.5748031496062995E-2</v>
      </c>
      <c r="X137" s="170">
        <f>Sizing!DU153</f>
        <v>3.9589056222337476E-3</v>
      </c>
      <c r="Y137" s="170">
        <f>Sizing!DV153</f>
        <v>6.2919834887209827E-2</v>
      </c>
      <c r="Z137" s="170">
        <f>Sizing!DW153</f>
        <v>3.9589056222337476E-3</v>
      </c>
      <c r="AA137" s="272">
        <f>Sizing!DX153</f>
        <v>6.2919834887209827E-2</v>
      </c>
      <c r="AB137" s="272">
        <f t="shared" si="266"/>
        <v>1.9874739500324745</v>
      </c>
      <c r="AC137" s="216">
        <f>Sizing!GJ153</f>
        <v>0.25</v>
      </c>
      <c r="AD137" s="216">
        <f>Sizing!GK153</f>
        <v>1.5748031496062995E-2</v>
      </c>
      <c r="AE137" s="17">
        <f>Sizing!GL153</f>
        <v>1.5748031496062995E-2</v>
      </c>
      <c r="AF137" s="170">
        <f>Sizing!JC153</f>
        <v>6.9595306634633145E-5</v>
      </c>
      <c r="AG137" s="272">
        <f>Sizing!JD153</f>
        <v>8.3423801540467545E-3</v>
      </c>
      <c r="AH137" s="170">
        <f>Sizing!JC153</f>
        <v>6.9595306634633145E-5</v>
      </c>
      <c r="AI137" s="272">
        <f>Sizing!JD153</f>
        <v>8.3423801540467545E-3</v>
      </c>
      <c r="AJ137" s="216">
        <f>Sizing!IT153</f>
        <v>0.25</v>
      </c>
      <c r="AK137" s="216">
        <f>Sizing!IU153</f>
        <v>1.5748031496062995E-2</v>
      </c>
      <c r="AL137" s="17">
        <f>Sizing!IV153</f>
        <v>1.5748031496062995E-2</v>
      </c>
      <c r="AM137" s="170">
        <f t="shared" si="267"/>
        <v>0</v>
      </c>
      <c r="AN137" s="11">
        <f t="shared" si="268"/>
        <v>3.9094714625739456E-3</v>
      </c>
      <c r="AO137" s="11">
        <f t="shared" si="269"/>
        <v>3.9094714625739456E-3</v>
      </c>
      <c r="AP137" s="11">
        <f t="shared" si="270"/>
        <v>7.8189429251478912E-3</v>
      </c>
      <c r="AQ137" s="555">
        <f t="shared" si="271"/>
        <v>124744.82283753598</v>
      </c>
      <c r="AR137" s="311">
        <f t="shared" si="272"/>
        <v>3.7777421870524233</v>
      </c>
      <c r="AS137" s="11">
        <f t="shared" si="273"/>
        <v>1.2603713885882544E-4</v>
      </c>
      <c r="AT137" s="11">
        <f t="shared" si="274"/>
        <v>7.1695802743996055E-3</v>
      </c>
      <c r="AU137" s="11">
        <f t="shared" si="275"/>
        <v>7.2956174132584308E-3</v>
      </c>
      <c r="AV137" s="555">
        <f t="shared" si="276"/>
        <v>116395.59342225939</v>
      </c>
      <c r="AW137" s="138">
        <f t="shared" si="277"/>
        <v>3.9370078740157494E-2</v>
      </c>
      <c r="AX137" s="138">
        <f t="shared" si="278"/>
        <v>3.1496062992125991E-2</v>
      </c>
      <c r="AY137" s="554">
        <f t="shared" si="279"/>
        <v>3.1496062992125991E-2</v>
      </c>
      <c r="AZ137" s="12">
        <f t="shared" si="280"/>
        <v>90.482388220690922</v>
      </c>
      <c r="BA137" s="11">
        <f t="shared" si="281"/>
        <v>46.78145560152776</v>
      </c>
      <c r="BB137">
        <f t="shared" si="282"/>
        <v>27.560091425684334</v>
      </c>
      <c r="BC137" s="555">
        <f t="shared" si="283"/>
        <v>103928774.04515852</v>
      </c>
      <c r="BD137">
        <f t="shared" si="284"/>
        <v>93</v>
      </c>
      <c r="BE137" s="207">
        <f t="shared" si="285"/>
        <v>1.21719164</v>
      </c>
      <c r="BF137" s="207">
        <f>'Inputs-Imperial'!$E$15*BE137</f>
        <v>0.91289372999999996</v>
      </c>
      <c r="BG137" s="207">
        <f>'Inputs-Imperial'!$E$12*BE137</f>
        <v>0.30429791</v>
      </c>
      <c r="BH137">
        <f>'Inputs-Imperial'!$E$11*BE137</f>
        <v>0.21909449519999999</v>
      </c>
      <c r="BI137">
        <f t="shared" si="286"/>
        <v>0.23238480491484523</v>
      </c>
      <c r="BJ137">
        <f>'Weight '!U139+'Weight '!V139 /12</f>
        <v>2.4934383202099744E-2</v>
      </c>
      <c r="BK137">
        <f>('Weight '!AK139+'Weight '!AL139)/12</f>
        <v>2.6246719160104991E-3</v>
      </c>
      <c r="BL137">
        <f>'Weight '!AG139/12</f>
        <v>5.2433195739341526E-3</v>
      </c>
      <c r="BM137">
        <f>'Weight '!AI139/12</f>
        <v>5.2433195739341526E-3</v>
      </c>
      <c r="BN137" s="554">
        <f t="shared" si="287"/>
        <v>0.3327177362839388</v>
      </c>
      <c r="BO137" s="554">
        <f t="shared" si="288"/>
        <v>1.6289336755157873</v>
      </c>
      <c r="BP137">
        <f t="shared" si="289"/>
        <v>5.2433195739341526E-3</v>
      </c>
      <c r="BQ137">
        <f t="shared" si="289"/>
        <v>5.2433195739341526E-3</v>
      </c>
      <c r="BR137">
        <f t="shared" si="290"/>
        <v>0.2086078560521317</v>
      </c>
      <c r="BS137">
        <f t="shared" si="291"/>
        <v>5.0002497736398768E-2</v>
      </c>
      <c r="BT137">
        <f t="shared" si="292"/>
        <v>0.11661393530736254</v>
      </c>
      <c r="BU137">
        <f t="shared" si="293"/>
        <v>8.6783727251224085E-3</v>
      </c>
      <c r="BV137">
        <f t="shared" si="294"/>
        <v>906.10532255763019</v>
      </c>
      <c r="BW137" s="207">
        <f t="shared" si="295"/>
        <v>270.5586461954947</v>
      </c>
      <c r="BX137">
        <f t="shared" si="296"/>
        <v>0.4839601067516755</v>
      </c>
      <c r="BY137" s="575">
        <f t="shared" si="297"/>
        <v>46.599919646577661</v>
      </c>
      <c r="BZ137">
        <f t="shared" si="298"/>
        <v>890.57201600877102</v>
      </c>
      <c r="CA137" s="207">
        <f t="shared" si="299"/>
        <v>275.19681604857118</v>
      </c>
      <c r="CB137">
        <f t="shared" si="300"/>
        <v>0.48132494802219683</v>
      </c>
      <c r="CC137">
        <f t="shared" si="301"/>
        <v>356.40709445922431</v>
      </c>
      <c r="CD137">
        <f t="shared" si="302"/>
        <v>771.76965118902956</v>
      </c>
      <c r="CE137" s="207">
        <f t="shared" si="303"/>
        <v>310.67062487658205</v>
      </c>
      <c r="CF137">
        <f t="shared" si="304"/>
        <v>0.46117063717069012</v>
      </c>
      <c r="CG137">
        <f t="shared" si="305"/>
        <v>241.14377801746124</v>
      </c>
      <c r="CH137">
        <f t="shared" si="306"/>
        <v>691.3883918498758</v>
      </c>
      <c r="CI137" s="207">
        <f t="shared" ref="CI137" si="407" xml:space="preserve"> ($BQ$38-CH137*($BP137+$BR137+$BQ137+$BN137))/($BP137+$BR137+$BQ137+$BO137)</f>
        <v>334.67207831127064</v>
      </c>
      <c r="CJ137">
        <f t="shared" si="308"/>
        <v>0.4475343018181494</v>
      </c>
      <c r="CK137">
        <f t="shared" si="309"/>
        <v>168.58929567005023</v>
      </c>
      <c r="CL137">
        <f t="shared" si="310"/>
        <v>635.1919599598591</v>
      </c>
      <c r="CM137" s="207">
        <f t="shared" ref="CM137" si="408" xml:space="preserve"> ($BQ$38-CL137*($BP137+$BR137+$BQ137+$BN137))/($BP137+$BR137+$BQ137+$BO137)</f>
        <v>351.45205979318411</v>
      </c>
      <c r="CN137">
        <f t="shared" si="312"/>
        <v>0.4380008185514197</v>
      </c>
      <c r="CO137">
        <f t="shared" si="313"/>
        <v>120.46887021284446</v>
      </c>
      <c r="CP137">
        <f t="shared" si="314"/>
        <v>595.035669888911</v>
      </c>
      <c r="CQ137" s="207">
        <f t="shared" ref="CQ137" si="409" xml:space="preserve"> ($BQ$38-CP137*($BP137+$BR137+$BQ137+$BN137))/($BP137+$BR137+$BQ137+$BO137)</f>
        <v>363.44253287324739</v>
      </c>
      <c r="CR137">
        <f t="shared" si="316"/>
        <v>0.43118847644054387</v>
      </c>
      <c r="CS137">
        <f t="shared" si="317"/>
        <v>87.396228293436025</v>
      </c>
      <c r="CT137">
        <f t="shared" si="318"/>
        <v>565.90359379109896</v>
      </c>
      <c r="CU137" s="636">
        <f t="shared" si="319"/>
        <v>372.14122923190035</v>
      </c>
      <c r="CV137" s="575">
        <f t="shared" si="320"/>
        <v>0.42624634487341628</v>
      </c>
      <c r="CW137">
        <f t="shared" si="321"/>
        <v>64.08797187204874</v>
      </c>
      <c r="CX137" s="576">
        <f t="shared" si="322"/>
        <v>0.35018836053903252</v>
      </c>
    </row>
    <row r="138" spans="1:102" x14ac:dyDescent="0.25">
      <c r="A138" s="186">
        <v>94</v>
      </c>
      <c r="B138" s="187">
        <f>A138/100*'Inputs-Imperial'!$E$5</f>
        <v>9.2519688000000002</v>
      </c>
      <c r="C138" s="188">
        <f>'Inputs-Imperial'!$E$10+('Inputs-Imperial'!$E$9-'Inputs-Imperial'!$E$10)*(100-A138)/100</f>
        <v>1.2073491199999999</v>
      </c>
      <c r="D138" s="187">
        <f t="shared" si="323"/>
        <v>9.8425199999999435E-2</v>
      </c>
      <c r="E138" s="188">
        <f t="shared" si="324"/>
        <v>0.11931795460557533</v>
      </c>
      <c r="F138" s="423">
        <f>Sizing!F154</f>
        <v>3.6500256004101281</v>
      </c>
      <c r="G138" s="423">
        <f>Sizing!G154</f>
        <v>36.500256004101274</v>
      </c>
      <c r="H138" s="423">
        <f>Sizing!H154</f>
        <v>11.865727561347086</v>
      </c>
      <c r="I138" s="423">
        <f>Sizing!I154</f>
        <v>-16.154832006045154</v>
      </c>
      <c r="J138" s="189">
        <f>Sizing!J154</f>
        <v>1.1865727561347088</v>
      </c>
      <c r="K138" s="128">
        <v>94</v>
      </c>
      <c r="L138" s="12">
        <f t="shared" si="265"/>
        <v>111.0236256</v>
      </c>
      <c r="M138" s="11">
        <f t="shared" si="265"/>
        <v>14.488189439999999</v>
      </c>
      <c r="N138" s="11">
        <f t="shared" si="265"/>
        <v>1.1811023999999932</v>
      </c>
      <c r="O138" s="152">
        <f t="shared" si="325"/>
        <v>17.18178546320285</v>
      </c>
      <c r="P138" s="170">
        <f t="shared" si="260"/>
        <v>2.6078740991999996</v>
      </c>
      <c r="Q138" s="8">
        <f t="shared" si="261"/>
        <v>1.3039370495999998</v>
      </c>
      <c r="R138" s="170">
        <f>Sizing!X154</f>
        <v>3.6220473599999998</v>
      </c>
      <c r="S138" s="8">
        <f>Sizing!Y154</f>
        <v>10.866142079999999</v>
      </c>
      <c r="T138" s="8">
        <f>Sizing!Z154</f>
        <v>7.2440947199999997</v>
      </c>
      <c r="U138" s="17">
        <f>Sizing!CN154</f>
        <v>0.25</v>
      </c>
      <c r="V138" s="17">
        <f>Sizing!CO154</f>
        <v>2.3622047244094495E-2</v>
      </c>
      <c r="W138" s="17">
        <f>Sizing!CP154</f>
        <v>1.5748031496062995E-2</v>
      </c>
      <c r="X138" s="170">
        <f>Sizing!DU154</f>
        <v>3.9589056222337476E-3</v>
      </c>
      <c r="Y138" s="170">
        <f>Sizing!DV154</f>
        <v>6.2919834887209827E-2</v>
      </c>
      <c r="Z138" s="170">
        <f>Sizing!DW154</f>
        <v>3.9589056222337476E-3</v>
      </c>
      <c r="AA138" s="272">
        <f>Sizing!DX154</f>
        <v>6.2919834887209827E-2</v>
      </c>
      <c r="AB138" s="272">
        <f t="shared" si="266"/>
        <v>1.9662141068324743</v>
      </c>
      <c r="AC138" s="216">
        <f>Sizing!GJ154</f>
        <v>0.25</v>
      </c>
      <c r="AD138" s="216">
        <f>Sizing!GK154</f>
        <v>1.5748031496062995E-2</v>
      </c>
      <c r="AE138" s="17">
        <f>Sizing!GL154</f>
        <v>1.5748031496062995E-2</v>
      </c>
      <c r="AF138" s="170">
        <f>Sizing!JC154</f>
        <v>6.9595306634633145E-5</v>
      </c>
      <c r="AG138" s="272">
        <f>Sizing!JD154</f>
        <v>8.3423801540467545E-3</v>
      </c>
      <c r="AH138" s="170">
        <f>Sizing!JC154</f>
        <v>6.9595306634633145E-5</v>
      </c>
      <c r="AI138" s="272">
        <f>Sizing!JD154</f>
        <v>8.3423801540467545E-3</v>
      </c>
      <c r="AJ138" s="216">
        <f>Sizing!IT154</f>
        <v>0.25</v>
      </c>
      <c r="AK138" s="216">
        <f>Sizing!IU154</f>
        <v>1.5748031496062995E-2</v>
      </c>
      <c r="AL138" s="17">
        <f>Sizing!IV154</f>
        <v>1.5748031496062995E-2</v>
      </c>
      <c r="AM138" s="170">
        <f t="shared" si="267"/>
        <v>0</v>
      </c>
      <c r="AN138" s="11">
        <f t="shared" si="268"/>
        <v>3.8262802192276153E-3</v>
      </c>
      <c r="AO138" s="11">
        <f t="shared" si="269"/>
        <v>3.8262802192276153E-3</v>
      </c>
      <c r="AP138" s="11">
        <f t="shared" si="270"/>
        <v>7.6525604384552305E-3</v>
      </c>
      <c r="AQ138" s="555">
        <f t="shared" si="271"/>
        <v>122090.32669599367</v>
      </c>
      <c r="AR138" s="311">
        <f t="shared" si="272"/>
        <v>3.7471944065641285</v>
      </c>
      <c r="AS138" s="11">
        <f t="shared" si="273"/>
        <v>1.2400704363392821E-4</v>
      </c>
      <c r="AT138" s="11">
        <f t="shared" si="274"/>
        <v>7.0540989899833062E-3</v>
      </c>
      <c r="AU138" s="11">
        <f t="shared" si="275"/>
        <v>7.1781060336172341E-3</v>
      </c>
      <c r="AV138" s="555">
        <f t="shared" si="276"/>
        <v>114520.7957194154</v>
      </c>
      <c r="AW138" s="138">
        <f t="shared" si="277"/>
        <v>3.9370078740157494E-2</v>
      </c>
      <c r="AX138" s="138">
        <f t="shared" si="278"/>
        <v>3.1496062992125991E-2</v>
      </c>
      <c r="AY138" s="554">
        <f t="shared" si="279"/>
        <v>3.1496062992125991E-2</v>
      </c>
      <c r="AZ138" s="12">
        <f t="shared" si="280"/>
        <v>89.024977604048544</v>
      </c>
      <c r="BA138" s="11">
        <f t="shared" si="281"/>
        <v>46.403168898550476</v>
      </c>
      <c r="BB138">
        <f t="shared" si="282"/>
        <v>26.896909463021981</v>
      </c>
      <c r="BC138" s="555">
        <f t="shared" si="283"/>
        <v>101427922.82214235</v>
      </c>
      <c r="BD138">
        <f t="shared" si="284"/>
        <v>94</v>
      </c>
      <c r="BE138" s="207">
        <f t="shared" si="285"/>
        <v>1.2073491199999999</v>
      </c>
      <c r="BF138" s="207">
        <f>'Inputs-Imperial'!$E$15*BE138</f>
        <v>0.90551183999999996</v>
      </c>
      <c r="BG138" s="207">
        <f>'Inputs-Imperial'!$E$12*BE138</f>
        <v>0.30183727999999999</v>
      </c>
      <c r="BH138">
        <f>'Inputs-Imperial'!$E$11*BE138</f>
        <v>0.21732284159999998</v>
      </c>
      <c r="BI138">
        <f t="shared" si="286"/>
        <v>0.23050568250313488</v>
      </c>
      <c r="BJ138">
        <f>'Weight '!U140+'Weight '!V140 /12</f>
        <v>2.4934383202099744E-2</v>
      </c>
      <c r="BK138">
        <f>('Weight '!AK140+'Weight '!AL140)/12</f>
        <v>2.6246719160104991E-3</v>
      </c>
      <c r="BL138">
        <f>'Weight '!AG140/12</f>
        <v>5.2433195739341526E-3</v>
      </c>
      <c r="BM138">
        <f>'Weight '!AI140/12</f>
        <v>5.2433195739341526E-3</v>
      </c>
      <c r="BN138" s="554">
        <f t="shared" si="287"/>
        <v>0.3278383433670628</v>
      </c>
      <c r="BO138" s="554">
        <f t="shared" si="288"/>
        <v>1.6179506580946601</v>
      </c>
      <c r="BP138">
        <f t="shared" si="289"/>
        <v>5.2433195739341526E-3</v>
      </c>
      <c r="BQ138">
        <f t="shared" si="289"/>
        <v>5.2433195739341526E-3</v>
      </c>
      <c r="BR138">
        <f t="shared" si="290"/>
        <v>0.20683620245213169</v>
      </c>
      <c r="BS138">
        <f t="shared" si="291"/>
        <v>4.9197101542811136E-2</v>
      </c>
      <c r="BT138">
        <f t="shared" si="292"/>
        <v>0.11473562074573902</v>
      </c>
      <c r="BU138">
        <f t="shared" si="293"/>
        <v>8.4010570673117291E-3</v>
      </c>
      <c r="BV138">
        <f t="shared" si="294"/>
        <v>917.15994055998078</v>
      </c>
      <c r="BW138" s="207">
        <f t="shared" si="295"/>
        <v>272.43895805349257</v>
      </c>
      <c r="BX138">
        <f t="shared" si="296"/>
        <v>0.48048223551827635</v>
      </c>
      <c r="BY138" s="575">
        <f t="shared" si="297"/>
        <v>47.501651080890326</v>
      </c>
      <c r="BZ138">
        <f t="shared" si="298"/>
        <v>901.32605686635065</v>
      </c>
      <c r="CA138" s="207">
        <f t="shared" si="299"/>
        <v>277.14235446742555</v>
      </c>
      <c r="CB138">
        <f t="shared" si="300"/>
        <v>0.4778449789361594</v>
      </c>
      <c r="CC138">
        <f t="shared" si="301"/>
        <v>359.23003004353382</v>
      </c>
      <c r="CD138">
        <f t="shared" si="302"/>
        <v>781.58271351850601</v>
      </c>
      <c r="CE138" s="207">
        <f t="shared" si="303"/>
        <v>312.71167040986654</v>
      </c>
      <c r="CF138">
        <f t="shared" si="304"/>
        <v>0.45790079300432562</v>
      </c>
      <c r="CG138">
        <f t="shared" si="305"/>
        <v>243.91355481131535</v>
      </c>
      <c r="CH138">
        <f t="shared" si="306"/>
        <v>700.2781952480675</v>
      </c>
      <c r="CI138" s="207">
        <f t="shared" ref="CI138" si="410" xml:space="preserve"> ($BQ$38-CH138*($BP138+$BR138+$BQ138+$BN138))/($BP138+$BR138+$BQ138+$BO138)</f>
        <v>336.86287595545031</v>
      </c>
      <c r="CJ138">
        <f t="shared" si="308"/>
        <v>0.44435889260178446</v>
      </c>
      <c r="CK138">
        <f t="shared" si="309"/>
        <v>171.05997542561661</v>
      </c>
      <c r="CL138">
        <f t="shared" si="310"/>
        <v>643.25820343952864</v>
      </c>
      <c r="CM138" s="207">
        <f t="shared" ref="CM138" si="411" xml:space="preserve"> ($BQ$38-CL138*($BP138+$BR138+$BQ138+$BN138))/($BP138+$BR138+$BQ138+$BO138)</f>
        <v>353.80045300122947</v>
      </c>
      <c r="CN138">
        <f t="shared" si="312"/>
        <v>0.43486176911528202</v>
      </c>
      <c r="CO138">
        <f t="shared" si="313"/>
        <v>122.59411474499933</v>
      </c>
      <c r="CP138">
        <f t="shared" si="314"/>
        <v>602.39349852452892</v>
      </c>
      <c r="CQ138" s="207">
        <f t="shared" ref="CQ138" si="412" xml:space="preserve"> ($BQ$38-CP138*($BP138+$BR138+$BQ138+$BN138))/($BP138+$BR138+$BQ138+$BO138)</f>
        <v>365.93916200481783</v>
      </c>
      <c r="CR138">
        <f t="shared" si="316"/>
        <v>0.42805543441568433</v>
      </c>
      <c r="CS138">
        <f t="shared" si="317"/>
        <v>89.192399112742592</v>
      </c>
      <c r="CT138">
        <f t="shared" si="318"/>
        <v>572.66269882028143</v>
      </c>
      <c r="CU138" s="636">
        <f t="shared" si="319"/>
        <v>374.77058576780604</v>
      </c>
      <c r="CV138" s="575">
        <f t="shared" si="320"/>
        <v>0.42310353829665637</v>
      </c>
      <c r="CW138">
        <f t="shared" si="321"/>
        <v>65.590402696647658</v>
      </c>
      <c r="CX138" s="576">
        <f t="shared" si="322"/>
        <v>0.3504400933316259</v>
      </c>
    </row>
    <row r="139" spans="1:102" x14ac:dyDescent="0.25">
      <c r="A139" s="186">
        <v>95</v>
      </c>
      <c r="B139" s="187">
        <f>A139/100*'Inputs-Imperial'!$E$5</f>
        <v>9.3503939999999997</v>
      </c>
      <c r="C139" s="188">
        <f>'Inputs-Imperial'!$E$10+('Inputs-Imperial'!$E$9-'Inputs-Imperial'!$E$10)*(100-A139)/100</f>
        <v>1.1975065999999999</v>
      </c>
      <c r="D139" s="187">
        <f t="shared" si="323"/>
        <v>9.8425199999999435E-2</v>
      </c>
      <c r="E139" s="188">
        <f t="shared" si="324"/>
        <v>0.1183492026060713</v>
      </c>
      <c r="F139" s="423">
        <f>Sizing!F155</f>
        <v>2.9535852726511846</v>
      </c>
      <c r="G139" s="423">
        <f>Sizing!G155</f>
        <v>29.535852726511841</v>
      </c>
      <c r="H139" s="423">
        <f>Sizing!H155</f>
        <v>8.2731825640922381</v>
      </c>
      <c r="I139" s="423">
        <f>Sizing!I155</f>
        <v>-12.612292049519903</v>
      </c>
      <c r="J139" s="189">
        <f>Sizing!J155</f>
        <v>0.82731825640922396</v>
      </c>
      <c r="K139" s="128">
        <v>95</v>
      </c>
      <c r="L139" s="12">
        <f t="shared" si="265"/>
        <v>112.20472799999999</v>
      </c>
      <c r="M139" s="11">
        <f t="shared" si="265"/>
        <v>14.370079199999999</v>
      </c>
      <c r="N139" s="11">
        <f t="shared" si="265"/>
        <v>1.1811023999999932</v>
      </c>
      <c r="O139" s="152">
        <f t="shared" si="325"/>
        <v>17.042285175274269</v>
      </c>
      <c r="P139" s="170">
        <f t="shared" si="260"/>
        <v>2.5866142559999998</v>
      </c>
      <c r="Q139" s="8">
        <f t="shared" si="261"/>
        <v>1.2933071279999999</v>
      </c>
      <c r="R139" s="170">
        <f>Sizing!X155</f>
        <v>3.5925197999999998</v>
      </c>
      <c r="S139" s="8">
        <f>Sizing!Y155</f>
        <v>10.777559399999999</v>
      </c>
      <c r="T139" s="8">
        <f>Sizing!Z155</f>
        <v>7.1850395999999996</v>
      </c>
      <c r="U139" s="17">
        <f>Sizing!CN155</f>
        <v>0.25</v>
      </c>
      <c r="V139" s="17">
        <f>Sizing!CO155</f>
        <v>2.3622047244094495E-2</v>
      </c>
      <c r="W139" s="17">
        <f>Sizing!CP155</f>
        <v>1.5748031496062995E-2</v>
      </c>
      <c r="X139" s="170">
        <f>Sizing!DU155</f>
        <v>3.9589056222337476E-3</v>
      </c>
      <c r="Y139" s="170">
        <f>Sizing!DV155</f>
        <v>6.2919834887209827E-2</v>
      </c>
      <c r="Z139" s="170">
        <f>Sizing!DW155</f>
        <v>3.9589056222337476E-3</v>
      </c>
      <c r="AA139" s="272">
        <f>Sizing!DX155</f>
        <v>6.2919834887209827E-2</v>
      </c>
      <c r="AB139" s="272">
        <f t="shared" si="266"/>
        <v>1.944954263632475</v>
      </c>
      <c r="AC139" s="216">
        <f>Sizing!GJ155</f>
        <v>0.25</v>
      </c>
      <c r="AD139" s="216">
        <f>Sizing!GK155</f>
        <v>1.5748031496062995E-2</v>
      </c>
      <c r="AE139" s="17">
        <f>Sizing!GL155</f>
        <v>1.5748031496062995E-2</v>
      </c>
      <c r="AF139" s="170">
        <f>Sizing!JC155</f>
        <v>6.9595306634633145E-5</v>
      </c>
      <c r="AG139" s="272">
        <f>Sizing!JD155</f>
        <v>8.3423801540467545E-3</v>
      </c>
      <c r="AH139" s="170">
        <f>Sizing!JC155</f>
        <v>6.9595306634633145E-5</v>
      </c>
      <c r="AI139" s="272">
        <f>Sizing!JD155</f>
        <v>8.3423801540467545E-3</v>
      </c>
      <c r="AJ139" s="216">
        <f>Sizing!IT155</f>
        <v>0.25</v>
      </c>
      <c r="AK139" s="216">
        <f>Sizing!IU155</f>
        <v>1.5748031496062995E-2</v>
      </c>
      <c r="AL139" s="17">
        <f>Sizing!IV155</f>
        <v>1.5748031496062995E-2</v>
      </c>
      <c r="AM139" s="170">
        <f t="shared" si="267"/>
        <v>0</v>
      </c>
      <c r="AN139" s="11">
        <f t="shared" si="268"/>
        <v>3.7439836508094651E-3</v>
      </c>
      <c r="AO139" s="11">
        <f t="shared" si="269"/>
        <v>3.7439836508094651E-3</v>
      </c>
      <c r="AP139" s="11">
        <f t="shared" si="270"/>
        <v>7.4879673016189302E-3</v>
      </c>
      <c r="AQ139" s="555">
        <f t="shared" si="271"/>
        <v>119464.3781641427</v>
      </c>
      <c r="AR139" s="311">
        <f t="shared" si="272"/>
        <v>3.7166466260758342</v>
      </c>
      <c r="AS139" s="11">
        <f t="shared" si="273"/>
        <v>1.2199343091424078E-4</v>
      </c>
      <c r="AT139" s="11">
        <f t="shared" si="274"/>
        <v>6.9395553073349336E-3</v>
      </c>
      <c r="AU139" s="11">
        <f t="shared" si="275"/>
        <v>7.0615487382491744E-3</v>
      </c>
      <c r="AV139" s="555">
        <f t="shared" si="276"/>
        <v>112661.21964880021</v>
      </c>
      <c r="AW139" s="138">
        <f t="shared" si="277"/>
        <v>3.9370078740157494E-2</v>
      </c>
      <c r="AX139" s="138">
        <f t="shared" si="278"/>
        <v>3.1496062992125991E-2</v>
      </c>
      <c r="AY139" s="554">
        <f t="shared" si="279"/>
        <v>3.1496062992125991E-2</v>
      </c>
      <c r="AZ139" s="12">
        <f t="shared" si="280"/>
        <v>87.579399820558905</v>
      </c>
      <c r="BA139" s="11">
        <f t="shared" si="281"/>
        <v>46.024882195573142</v>
      </c>
      <c r="BB139">
        <f t="shared" si="282"/>
        <v>26.244452579452027</v>
      </c>
      <c r="BC139" s="555">
        <f t="shared" si="283"/>
        <v>98967515.743682653</v>
      </c>
      <c r="BD139">
        <f t="shared" si="284"/>
        <v>95</v>
      </c>
      <c r="BE139" s="207">
        <f t="shared" si="285"/>
        <v>1.1975065999999999</v>
      </c>
      <c r="BF139" s="207">
        <f>'Inputs-Imperial'!$E$15*BE139</f>
        <v>0.89812994999999995</v>
      </c>
      <c r="BG139" s="207">
        <f>'Inputs-Imperial'!$E$12*BE139</f>
        <v>0.29937664999999997</v>
      </c>
      <c r="BH139">
        <f>'Inputs-Imperial'!$E$11*BE139</f>
        <v>0.21555118799999998</v>
      </c>
      <c r="BI139">
        <f t="shared" si="286"/>
        <v>0.22862656009142454</v>
      </c>
      <c r="BJ139">
        <f>'Weight '!U141+'Weight '!V141 /12</f>
        <v>2.4934383202099744E-2</v>
      </c>
      <c r="BK139">
        <f>('Weight '!AK141+'Weight '!AL141)/12</f>
        <v>2.6246719160104991E-3</v>
      </c>
      <c r="BL139">
        <f>'Weight '!AG141/12</f>
        <v>5.2433195739341526E-3</v>
      </c>
      <c r="BM139">
        <f>'Weight '!AI141/12</f>
        <v>5.2433195739341526E-3</v>
      </c>
      <c r="BN139" s="554">
        <f t="shared" si="287"/>
        <v>0.32298510584827533</v>
      </c>
      <c r="BO139" s="554">
        <f t="shared" si="288"/>
        <v>1.6069414852754444</v>
      </c>
      <c r="BP139">
        <f t="shared" si="289"/>
        <v>5.2433195739341526E-3</v>
      </c>
      <c r="BQ139">
        <f t="shared" si="289"/>
        <v>5.2433195739341526E-3</v>
      </c>
      <c r="BR139">
        <f t="shared" si="290"/>
        <v>0.20506454885213168</v>
      </c>
      <c r="BS139">
        <f t="shared" si="291"/>
        <v>4.8398244425220144E-2</v>
      </c>
      <c r="BT139">
        <f t="shared" si="292"/>
        <v>0.11287255637000149</v>
      </c>
      <c r="BU139">
        <f t="shared" si="293"/>
        <v>8.1304412870188778E-3</v>
      </c>
      <c r="BV139">
        <f t="shared" si="294"/>
        <v>928.44253156476702</v>
      </c>
      <c r="BW139" s="207">
        <f t="shared" si="295"/>
        <v>274.349525422993</v>
      </c>
      <c r="BX139">
        <f t="shared" si="296"/>
        <v>0.47700188760810364</v>
      </c>
      <c r="BY139" s="575">
        <f t="shared" si="297"/>
        <v>48.412940127876993</v>
      </c>
      <c r="BZ139">
        <f t="shared" si="298"/>
        <v>912.30488485547471</v>
      </c>
      <c r="CA139" s="207">
        <f t="shared" si="299"/>
        <v>279.11810890082717</v>
      </c>
      <c r="CB139">
        <f t="shared" si="300"/>
        <v>0.47436333565352151</v>
      </c>
      <c r="CC139">
        <f t="shared" si="301"/>
        <v>362.095195688758</v>
      </c>
      <c r="CD139">
        <f t="shared" si="302"/>
        <v>791.60648629255536</v>
      </c>
      <c r="CE139" s="207">
        <f t="shared" si="303"/>
        <v>314.78380412618884</v>
      </c>
      <c r="CF139">
        <f t="shared" si="304"/>
        <v>0.45462879807316003</v>
      </c>
      <c r="CG139">
        <f t="shared" si="305"/>
        <v>246.72467891823132</v>
      </c>
      <c r="CH139">
        <f t="shared" si="306"/>
        <v>709.36492665314495</v>
      </c>
      <c r="CI139" s="207">
        <f t="shared" ref="CI139" si="413" xml:space="preserve"> ($BQ$38-CH139*($BP139+$BR139+$BQ139+$BN139))/($BP139+$BR139+$BQ139+$BO139)</f>
        <v>339.0857206046295</v>
      </c>
      <c r="CJ139">
        <f t="shared" si="308"/>
        <v>0.44118206498725726</v>
      </c>
      <c r="CK139">
        <f t="shared" si="309"/>
        <v>173.57119401976865</v>
      </c>
      <c r="CL139">
        <f t="shared" si="310"/>
        <v>651.50786197988873</v>
      </c>
      <c r="CM139" s="207">
        <f t="shared" ref="CM139" si="414" xml:space="preserve"> ($BQ$38-CL139*($BP139+$BR139+$BQ139+$BN139))/($BP139+$BR139+$BQ139+$BO139)</f>
        <v>356.18215651297089</v>
      </c>
      <c r="CN139">
        <f t="shared" si="312"/>
        <v>0.43172226742011249</v>
      </c>
      <c r="CO139">
        <f t="shared" si="313"/>
        <v>124.75821326332442</v>
      </c>
      <c r="CP139">
        <f t="shared" si="314"/>
        <v>609.9217908921139</v>
      </c>
      <c r="CQ139" s="207">
        <f t="shared" ref="CQ139" si="415" xml:space="preserve"> ($BQ$38-CP139*($BP139+$BR139+$BQ139+$BN139))/($BP139+$BR139+$BQ139+$BO139)</f>
        <v>368.47060569453663</v>
      </c>
      <c r="CR139">
        <f t="shared" si="316"/>
        <v>0.42492282440783868</v>
      </c>
      <c r="CS139">
        <f t="shared" si="317"/>
        <v>91.025097487984198</v>
      </c>
      <c r="CT139">
        <f t="shared" si="318"/>
        <v>579.58009172945253</v>
      </c>
      <c r="CU139" s="636">
        <f t="shared" si="319"/>
        <v>377.43640646604371</v>
      </c>
      <c r="CV139" s="575">
        <f t="shared" si="320"/>
        <v>0.41996186875716845</v>
      </c>
      <c r="CW139">
        <f t="shared" si="321"/>
        <v>67.126670216358221</v>
      </c>
      <c r="CX139" s="576">
        <f t="shared" si="322"/>
        <v>0.3506969137014932</v>
      </c>
    </row>
    <row r="140" spans="1:102" x14ac:dyDescent="0.25">
      <c r="A140" s="186">
        <v>96</v>
      </c>
      <c r="B140" s="187">
        <f>A140/100*'Inputs-Imperial'!$E$5</f>
        <v>9.4488192000000009</v>
      </c>
      <c r="C140" s="188">
        <f>'Inputs-Imperial'!$E$10+('Inputs-Imperial'!$E$9-'Inputs-Imperial'!$E$10)*(100-A140)/100</f>
        <v>1.18766408</v>
      </c>
      <c r="D140" s="187">
        <f t="shared" si="323"/>
        <v>9.8425200000001212E-2</v>
      </c>
      <c r="E140" s="188">
        <f t="shared" si="324"/>
        <v>0.11738045060656944</v>
      </c>
      <c r="F140" s="423">
        <f>Sizing!F156</f>
        <v>2.2843876600386448</v>
      </c>
      <c r="G140" s="423">
        <f>Sizing!G156</f>
        <v>22.843876600386444</v>
      </c>
      <c r="H140" s="423">
        <f>Sizing!H156</f>
        <v>5.3661103523147293</v>
      </c>
      <c r="I140" s="423">
        <f>Sizing!I156</f>
        <v>-9.3503987829026656</v>
      </c>
      <c r="J140" s="189">
        <f>Sizing!J156</f>
        <v>0.53661103523147302</v>
      </c>
      <c r="K140" s="128">
        <v>96</v>
      </c>
      <c r="L140" s="12">
        <f t="shared" si="265"/>
        <v>113.3858304</v>
      </c>
      <c r="M140" s="11">
        <f t="shared" si="265"/>
        <v>14.251968959999999</v>
      </c>
      <c r="N140" s="11">
        <f t="shared" si="265"/>
        <v>1.1811024000000145</v>
      </c>
      <c r="O140" s="152">
        <f t="shared" si="325"/>
        <v>16.902784887346002</v>
      </c>
      <c r="P140" s="170">
        <f t="shared" si="260"/>
        <v>2.5653544127999997</v>
      </c>
      <c r="Q140" s="8">
        <f t="shared" si="261"/>
        <v>1.2826772063999998</v>
      </c>
      <c r="R140" s="170">
        <f>Sizing!X156</f>
        <v>3.5629922399999998</v>
      </c>
      <c r="S140" s="8">
        <f>Sizing!Y156</f>
        <v>10.688976719999999</v>
      </c>
      <c r="T140" s="8">
        <f>Sizing!Z156</f>
        <v>7.1259844799999996</v>
      </c>
      <c r="U140" s="17">
        <f>Sizing!CN156</f>
        <v>0.25</v>
      </c>
      <c r="V140" s="17">
        <f>Sizing!CO156</f>
        <v>2.3622047244094495E-2</v>
      </c>
      <c r="W140" s="17">
        <f>Sizing!CP156</f>
        <v>1.5748031496062995E-2</v>
      </c>
      <c r="X140" s="170">
        <f>Sizing!DU156</f>
        <v>3.9589056222337476E-3</v>
      </c>
      <c r="Y140" s="170">
        <f>Sizing!DV156</f>
        <v>6.2919834887209827E-2</v>
      </c>
      <c r="Z140" s="170">
        <f>Sizing!DW156</f>
        <v>3.9589056222337476E-3</v>
      </c>
      <c r="AA140" s="272">
        <f>Sizing!DX156</f>
        <v>6.2919834887209827E-2</v>
      </c>
      <c r="AB140" s="272">
        <f t="shared" si="266"/>
        <v>1.9236944204324746</v>
      </c>
      <c r="AC140" s="216">
        <f>Sizing!GJ156</f>
        <v>0.25</v>
      </c>
      <c r="AD140" s="216">
        <f>Sizing!GK156</f>
        <v>1.5748031496062995E-2</v>
      </c>
      <c r="AE140" s="17">
        <f>Sizing!GL156</f>
        <v>1.5748031496062995E-2</v>
      </c>
      <c r="AF140" s="170">
        <f>Sizing!JC156</f>
        <v>6.9595306634633145E-5</v>
      </c>
      <c r="AG140" s="272">
        <f>Sizing!JD156</f>
        <v>8.3423801540467545E-3</v>
      </c>
      <c r="AH140" s="170">
        <f>Sizing!JC156</f>
        <v>6.9595306634633145E-5</v>
      </c>
      <c r="AI140" s="272">
        <f>Sizing!JD156</f>
        <v>8.3423801540467545E-3</v>
      </c>
      <c r="AJ140" s="216">
        <f>Sizing!IT156</f>
        <v>0.25</v>
      </c>
      <c r="AK140" s="216">
        <f>Sizing!IU156</f>
        <v>1.5748031496062995E-2</v>
      </c>
      <c r="AL140" s="17">
        <f>Sizing!IV156</f>
        <v>1.5748031496062995E-2</v>
      </c>
      <c r="AM140" s="170">
        <f t="shared" si="267"/>
        <v>0</v>
      </c>
      <c r="AN140" s="11">
        <f t="shared" si="268"/>
        <v>3.6625817573194886E-3</v>
      </c>
      <c r="AO140" s="11">
        <f t="shared" si="269"/>
        <v>3.6625817573194886E-3</v>
      </c>
      <c r="AP140" s="11">
        <f t="shared" si="270"/>
        <v>7.3251635146389773E-3</v>
      </c>
      <c r="AQ140" s="555">
        <f t="shared" si="271"/>
        <v>116866.97724198288</v>
      </c>
      <c r="AR140" s="311">
        <f t="shared" si="272"/>
        <v>3.6860988455875394</v>
      </c>
      <c r="AS140" s="11">
        <f t="shared" si="273"/>
        <v>1.1999630069976139E-4</v>
      </c>
      <c r="AT140" s="11">
        <f t="shared" si="274"/>
        <v>6.8259492264544884E-3</v>
      </c>
      <c r="AU140" s="11">
        <f t="shared" si="275"/>
        <v>6.9459455271542502E-3</v>
      </c>
      <c r="AV140" s="555">
        <f t="shared" si="276"/>
        <v>110816.8652104138</v>
      </c>
      <c r="AW140" s="138">
        <f t="shared" si="277"/>
        <v>3.9370078740157494E-2</v>
      </c>
      <c r="AX140" s="138">
        <f t="shared" si="278"/>
        <v>3.1496062992125991E-2</v>
      </c>
      <c r="AY140" s="554">
        <f t="shared" si="279"/>
        <v>3.1496062992125991E-2</v>
      </c>
      <c r="AZ140" s="12">
        <f t="shared" si="280"/>
        <v>86.145654870221946</v>
      </c>
      <c r="BA140" s="11">
        <f t="shared" si="281"/>
        <v>45.646595492595843</v>
      </c>
      <c r="BB140">
        <f t="shared" si="282"/>
        <v>25.602633342264394</v>
      </c>
      <c r="BC140" s="555">
        <f t="shared" si="283"/>
        <v>96547223.10207893</v>
      </c>
      <c r="BD140">
        <f t="shared" si="284"/>
        <v>96</v>
      </c>
      <c r="BE140" s="207">
        <f t="shared" si="285"/>
        <v>1.18766408</v>
      </c>
      <c r="BF140" s="207">
        <f>'Inputs-Imperial'!$E$15*BE140</f>
        <v>0.89074805999999995</v>
      </c>
      <c r="BG140" s="207">
        <f>'Inputs-Imperial'!$E$12*BE140</f>
        <v>0.29691602</v>
      </c>
      <c r="BH140">
        <f>'Inputs-Imperial'!$E$11*BE140</f>
        <v>0.2137795344</v>
      </c>
      <c r="BI140">
        <f t="shared" si="286"/>
        <v>0.22674743767971423</v>
      </c>
      <c r="BJ140">
        <f>'Weight '!U142+'Weight '!V142 /12</f>
        <v>2.4934383202099744E-2</v>
      </c>
      <c r="BK140">
        <f>('Weight '!AK142+'Weight '!AL142)/12</f>
        <v>2.6246719160104991E-3</v>
      </c>
      <c r="BL140">
        <f>'Weight '!AG142/12</f>
        <v>5.2433195739341526E-3</v>
      </c>
      <c r="BM140">
        <f>'Weight '!AI142/12</f>
        <v>5.2433195739341526E-3</v>
      </c>
      <c r="BN140" s="554">
        <f t="shared" si="287"/>
        <v>0.31815826733855657</v>
      </c>
      <c r="BO140" s="554">
        <f t="shared" si="288"/>
        <v>1.59590591344716</v>
      </c>
      <c r="BP140">
        <f t="shared" si="289"/>
        <v>5.2433195739341526E-3</v>
      </c>
      <c r="BQ140">
        <f t="shared" si="289"/>
        <v>5.2433195739341526E-3</v>
      </c>
      <c r="BR140">
        <f t="shared" si="290"/>
        <v>0.20329289525213171</v>
      </c>
      <c r="BS140">
        <f t="shared" si="291"/>
        <v>4.7605926383625818E-2</v>
      </c>
      <c r="BT140">
        <f t="shared" si="292"/>
        <v>0.11102474218014996</v>
      </c>
      <c r="BU140">
        <f t="shared" si="293"/>
        <v>7.8664165935754746E-3</v>
      </c>
      <c r="BV140">
        <f t="shared" si="294"/>
        <v>939.95951851105008</v>
      </c>
      <c r="BW140" s="207">
        <f t="shared" si="295"/>
        <v>276.29110937196879</v>
      </c>
      <c r="BX140">
        <f t="shared" si="296"/>
        <v>0.4735190189142699</v>
      </c>
      <c r="BY140" s="575">
        <f t="shared" si="297"/>
        <v>49.333931871428774</v>
      </c>
      <c r="BZ140">
        <f t="shared" si="298"/>
        <v>923.51487455390713</v>
      </c>
      <c r="CA140" s="207">
        <f t="shared" si="299"/>
        <v>281.12483766842058</v>
      </c>
      <c r="CB140">
        <f t="shared" si="300"/>
        <v>0.47087996701924761</v>
      </c>
      <c r="CC140">
        <f t="shared" si="301"/>
        <v>365.00337951957374</v>
      </c>
      <c r="CD140">
        <f t="shared" si="302"/>
        <v>801.84708138071585</v>
      </c>
      <c r="CE140" s="207">
        <f t="shared" si="303"/>
        <v>316.8877922304527</v>
      </c>
      <c r="CF140">
        <f t="shared" si="304"/>
        <v>0.45135460538942523</v>
      </c>
      <c r="CG140">
        <f t="shared" si="305"/>
        <v>249.57798383618479</v>
      </c>
      <c r="CH140">
        <f t="shared" si="306"/>
        <v>718.65442010198763</v>
      </c>
      <c r="CI140" s="207">
        <f t="shared" ref="CI140" si="416" xml:space="preserve"> ($BQ$38-CH140*($BP140+$BR140+$BQ140+$BN140))/($BP140+$BR140+$BQ140+$BO140)</f>
        <v>341.34139073511642</v>
      </c>
      <c r="CJ140">
        <f t="shared" si="308"/>
        <v>0.43800376903372479</v>
      </c>
      <c r="CK140">
        <f t="shared" si="309"/>
        <v>176.12379704815322</v>
      </c>
      <c r="CL140">
        <f t="shared" si="310"/>
        <v>659.94648775260316</v>
      </c>
      <c r="CM140" s="207">
        <f t="shared" ref="CM140" si="417" xml:space="preserve"> ($BQ$38-CL140*($BP140+$BR140+$BQ140+$BN140))/($BP140+$BR140+$BQ140+$BO140)</f>
        <v>358.59796342607666</v>
      </c>
      <c r="CN140">
        <f t="shared" si="312"/>
        <v>0.42858226495475166</v>
      </c>
      <c r="CO140">
        <f t="shared" si="313"/>
        <v>126.9620080636186</v>
      </c>
      <c r="CP140">
        <f t="shared" si="314"/>
        <v>617.62581839806364</v>
      </c>
      <c r="CQ140" s="207">
        <f t="shared" ref="CQ140" si="418" xml:space="preserve"> ($BQ$38-CP140*($BP140+$BR140+$BQ140+$BN140))/($BP140+$BR140+$BQ140+$BO140)</f>
        <v>371.0376743445342</v>
      </c>
      <c r="CR140">
        <f t="shared" si="316"/>
        <v>0.42179060422012099</v>
      </c>
      <c r="CS140">
        <f t="shared" si="317"/>
        <v>92.89515189007885</v>
      </c>
      <c r="CT140">
        <f t="shared" si="318"/>
        <v>586.66076776803732</v>
      </c>
      <c r="CU140" s="636">
        <f t="shared" si="319"/>
        <v>380.13952184098957</v>
      </c>
      <c r="CV140" s="575">
        <f t="shared" si="320"/>
        <v>0.41682130383529048</v>
      </c>
      <c r="CW140">
        <f t="shared" si="321"/>
        <v>68.697582136182376</v>
      </c>
      <c r="CX140" s="576">
        <f t="shared" si="322"/>
        <v>0.35095892083836572</v>
      </c>
    </row>
    <row r="141" spans="1:102" x14ac:dyDescent="0.25">
      <c r="A141" s="186">
        <v>97</v>
      </c>
      <c r="B141" s="187">
        <f>A141/100*'Inputs-Imperial'!$E$5</f>
        <v>9.5472444000000003</v>
      </c>
      <c r="C141" s="188">
        <f>'Inputs-Imperial'!$E$10+('Inputs-Imperial'!$E$9-'Inputs-Imperial'!$E$10)*(100-A141)/100</f>
        <v>1.1778215599999999</v>
      </c>
      <c r="D141" s="187">
        <f t="shared" si="323"/>
        <v>9.8425199999999435E-2</v>
      </c>
      <c r="E141" s="188">
        <f t="shared" si="324"/>
        <v>0.11641169860706334</v>
      </c>
      <c r="F141" s="423">
        <f>Sizing!F157</f>
        <v>1.6455084227269059</v>
      </c>
      <c r="G141" s="423">
        <f>Sizing!G157</f>
        <v>16.455084227269058</v>
      </c>
      <c r="H141" s="423">
        <f>Sizing!H157</f>
        <v>3.117697229146386</v>
      </c>
      <c r="I141" s="423">
        <f>Sizing!I157</f>
        <v>-6.3889694819294114</v>
      </c>
      <c r="J141" s="189">
        <f>Sizing!J157</f>
        <v>0.31176972291463867</v>
      </c>
      <c r="K141" s="128">
        <v>97</v>
      </c>
      <c r="L141" s="12">
        <f t="shared" si="265"/>
        <v>114.5669328</v>
      </c>
      <c r="M141" s="11">
        <f t="shared" si="265"/>
        <v>14.133858719999999</v>
      </c>
      <c r="N141" s="11">
        <f t="shared" si="265"/>
        <v>1.1811023999999932</v>
      </c>
      <c r="O141" s="152">
        <f t="shared" si="325"/>
        <v>16.763284599417119</v>
      </c>
      <c r="P141" s="170">
        <f t="shared" si="260"/>
        <v>2.5440945695999999</v>
      </c>
      <c r="Q141" s="8">
        <f t="shared" si="261"/>
        <v>1.2720472848</v>
      </c>
      <c r="R141" s="170">
        <f>Sizing!X157</f>
        <v>3.5334646799999998</v>
      </c>
      <c r="S141" s="8">
        <f>Sizing!Y157</f>
        <v>10.600394039999999</v>
      </c>
      <c r="T141" s="8">
        <f>Sizing!Z157</f>
        <v>7.0669293599999996</v>
      </c>
      <c r="U141" s="17">
        <f>Sizing!CN157</f>
        <v>0.25</v>
      </c>
      <c r="V141" s="17">
        <f>Sizing!CO157</f>
        <v>2.3622047244094495E-2</v>
      </c>
      <c r="W141" s="17">
        <f>Sizing!CP157</f>
        <v>1.5748031496062995E-2</v>
      </c>
      <c r="X141" s="170">
        <f>Sizing!DU157</f>
        <v>3.9589056222337476E-3</v>
      </c>
      <c r="Y141" s="170">
        <f>Sizing!DV157</f>
        <v>6.2919834887209827E-2</v>
      </c>
      <c r="Z141" s="170">
        <f>Sizing!DW157</f>
        <v>3.9589056222337476E-3</v>
      </c>
      <c r="AA141" s="272">
        <f>Sizing!DX157</f>
        <v>6.2919834887209827E-2</v>
      </c>
      <c r="AB141" s="272">
        <f t="shared" si="266"/>
        <v>1.9024345772324749</v>
      </c>
      <c r="AC141" s="216">
        <f>Sizing!GJ157</f>
        <v>0.25</v>
      </c>
      <c r="AD141" s="216">
        <f>Sizing!GK157</f>
        <v>1.5748031496062995E-2</v>
      </c>
      <c r="AE141" s="17">
        <f>Sizing!GL157</f>
        <v>1.5748031496062995E-2</v>
      </c>
      <c r="AF141" s="170">
        <f>Sizing!JC157</f>
        <v>6.9595306634633145E-5</v>
      </c>
      <c r="AG141" s="272">
        <f>Sizing!JD157</f>
        <v>8.3423801540467545E-3</v>
      </c>
      <c r="AH141" s="170">
        <f>Sizing!JC157</f>
        <v>6.9595306634633145E-5</v>
      </c>
      <c r="AI141" s="272">
        <f>Sizing!JD157</f>
        <v>8.3423801540467545E-3</v>
      </c>
      <c r="AJ141" s="216">
        <f>Sizing!IT157</f>
        <v>0.25</v>
      </c>
      <c r="AK141" s="216">
        <f>Sizing!IU157</f>
        <v>1.5748031496062995E-2</v>
      </c>
      <c r="AL141" s="17">
        <f>Sizing!IV157</f>
        <v>1.5748031496062995E-2</v>
      </c>
      <c r="AM141" s="170">
        <f t="shared" si="267"/>
        <v>0</v>
      </c>
      <c r="AN141" s="11">
        <f t="shared" si="268"/>
        <v>3.5820745387576923E-3</v>
      </c>
      <c r="AO141" s="11">
        <f t="shared" si="269"/>
        <v>3.5820745387576923E-3</v>
      </c>
      <c r="AP141" s="11">
        <f t="shared" si="270"/>
        <v>7.1641490775153846E-3</v>
      </c>
      <c r="AQ141" s="555">
        <f t="shared" si="271"/>
        <v>114298.1239295144</v>
      </c>
      <c r="AR141" s="311">
        <f t="shared" si="272"/>
        <v>3.6555510650992451</v>
      </c>
      <c r="AS141" s="11">
        <f t="shared" si="273"/>
        <v>1.1801565299049177E-4</v>
      </c>
      <c r="AT141" s="11">
        <f t="shared" si="274"/>
        <v>6.7132807473419664E-3</v>
      </c>
      <c r="AU141" s="11">
        <f t="shared" si="275"/>
        <v>6.8312964003324579E-3</v>
      </c>
      <c r="AV141" s="555">
        <f t="shared" si="276"/>
        <v>108987.73240425609</v>
      </c>
      <c r="AW141" s="138">
        <f t="shared" si="277"/>
        <v>3.9370078740157494E-2</v>
      </c>
      <c r="AX141" s="138">
        <f t="shared" si="278"/>
        <v>3.1496062992125991E-2</v>
      </c>
      <c r="AY141" s="554">
        <f t="shared" si="279"/>
        <v>3.1496062992125991E-2</v>
      </c>
      <c r="AZ141" s="12">
        <f t="shared" si="280"/>
        <v>84.723742753037726</v>
      </c>
      <c r="BA141" s="11">
        <f t="shared" si="281"/>
        <v>45.268308789618509</v>
      </c>
      <c r="BB141">
        <f t="shared" si="282"/>
        <v>24.971364318749171</v>
      </c>
      <c r="BC141" s="555">
        <f t="shared" si="283"/>
        <v>94166715.189631313</v>
      </c>
      <c r="BD141">
        <f t="shared" si="284"/>
        <v>97</v>
      </c>
      <c r="BE141" s="207">
        <f t="shared" si="285"/>
        <v>1.1778215599999999</v>
      </c>
      <c r="BF141" s="207">
        <f>'Inputs-Imperial'!$E$15*BE141</f>
        <v>0.88336616999999995</v>
      </c>
      <c r="BG141" s="207">
        <f>'Inputs-Imperial'!$E$12*BE141</f>
        <v>0.29445538999999998</v>
      </c>
      <c r="BH141">
        <f>'Inputs-Imperial'!$E$11*BE141</f>
        <v>0.21200788079999999</v>
      </c>
      <c r="BI141">
        <f t="shared" si="286"/>
        <v>0.22486831526800388</v>
      </c>
      <c r="BJ141">
        <f>'Weight '!U143+'Weight '!V143 /12</f>
        <v>2.4934383202099744E-2</v>
      </c>
      <c r="BK141">
        <f>('Weight '!AK143+'Weight '!AL143)/12</f>
        <v>2.6246719160104991E-3</v>
      </c>
      <c r="BL141">
        <f>'Weight '!AG143/12</f>
        <v>5.2433195739341526E-3</v>
      </c>
      <c r="BM141">
        <f>'Weight '!AI143/12</f>
        <v>5.2433195739341526E-3</v>
      </c>
      <c r="BN141" s="554">
        <f t="shared" si="287"/>
        <v>0.31335807215229405</v>
      </c>
      <c r="BO141" s="554">
        <f t="shared" si="288"/>
        <v>1.5848436982954199</v>
      </c>
      <c r="BP141">
        <f t="shared" si="289"/>
        <v>5.2433195739341526E-3</v>
      </c>
      <c r="BQ141">
        <f t="shared" si="289"/>
        <v>5.2433195739341526E-3</v>
      </c>
      <c r="BR141">
        <f t="shared" si="290"/>
        <v>0.2015212416521317</v>
      </c>
      <c r="BS141">
        <f t="shared" si="291"/>
        <v>4.6820147418028132E-2</v>
      </c>
      <c r="BT141">
        <f t="shared" si="292"/>
        <v>0.10919217817618436</v>
      </c>
      <c r="BU141">
        <f t="shared" si="293"/>
        <v>7.6088750868233664E-3</v>
      </c>
      <c r="BV141">
        <f t="shared" si="294"/>
        <v>951.7175545736261</v>
      </c>
      <c r="BW141" s="207">
        <f t="shared" si="295"/>
        <v>278.26449653215798</v>
      </c>
      <c r="BX141">
        <f t="shared" si="296"/>
        <v>0.47003358444003351</v>
      </c>
      <c r="BY141" s="575">
        <f t="shared" si="297"/>
        <v>50.264774385331805</v>
      </c>
      <c r="BZ141">
        <f t="shared" si="298"/>
        <v>934.96262977851552</v>
      </c>
      <c r="CA141" s="207">
        <f t="shared" si="299"/>
        <v>283.16332464575135</v>
      </c>
      <c r="CB141">
        <f t="shared" si="300"/>
        <v>0.46739482091779544</v>
      </c>
      <c r="CC141">
        <f t="shared" si="301"/>
        <v>367.95538878407393</v>
      </c>
      <c r="CD141">
        <f t="shared" si="302"/>
        <v>812.31083351715756</v>
      </c>
      <c r="CE141" s="207">
        <f t="shared" si="303"/>
        <v>319.02442668323744</v>
      </c>
      <c r="CF141">
        <f t="shared" si="304"/>
        <v>0.44807816686716695</v>
      </c>
      <c r="CG141">
        <f t="shared" si="305"/>
        <v>252.47432407382539</v>
      </c>
      <c r="CH141">
        <f t="shared" si="306"/>
        <v>728.15272549254905</v>
      </c>
      <c r="CI141" s="207">
        <f t="shared" ref="CI141" si="419" xml:space="preserve"> ($BQ$38-CH141*($BP141+$BR141+$BQ141+$BN141))/($BP141+$BR141+$BQ141+$BO141)</f>
        <v>343.63069084851088</v>
      </c>
      <c r="CJ141">
        <f t="shared" si="308"/>
        <v>0.43482395365692839</v>
      </c>
      <c r="CK141">
        <f t="shared" si="309"/>
        <v>178.71865242723504</v>
      </c>
      <c r="CL141">
        <f t="shared" si="310"/>
        <v>668.57984135013737</v>
      </c>
      <c r="CM141" s="207">
        <f t="shared" ref="CM141" si="420" xml:space="preserve"> ($BQ$38-CL141*($BP141+$BR141+$BQ141+$BN141))/($BP141+$BR141+$BQ141+$BO141)</f>
        <v>361.04869320981368</v>
      </c>
      <c r="CN141">
        <f t="shared" si="312"/>
        <v>0.42544171198698155</v>
      </c>
      <c r="CO141">
        <f t="shared" si="313"/>
        <v>129.20636441997345</v>
      </c>
      <c r="CP141">
        <f t="shared" si="314"/>
        <v>625.5110532101462</v>
      </c>
      <c r="CQ141" s="207">
        <f t="shared" ref="CQ141" si="421" xml:space="preserve"> ($BQ$38-CP141*($BP141+$BR141+$BQ141+$BN141))/($BP141+$BR141+$BQ141+$BO141)</f>
        <v>373.64120512727425</v>
      </c>
      <c r="CR141">
        <f t="shared" si="316"/>
        <v>0.418658730357367</v>
      </c>
      <c r="CS141">
        <f t="shared" si="317"/>
        <v>94.803413933476818</v>
      </c>
      <c r="CT141">
        <f t="shared" si="318"/>
        <v>593.9099152323206</v>
      </c>
      <c r="CU141" s="636">
        <f t="shared" si="319"/>
        <v>382.88078961007011</v>
      </c>
      <c r="CV141" s="575">
        <f t="shared" si="320"/>
        <v>0.41368180976972979</v>
      </c>
      <c r="CW141">
        <f t="shared" si="321"/>
        <v>70.303969147284647</v>
      </c>
      <c r="CX141" s="576">
        <f t="shared" si="322"/>
        <v>0.35122621610843141</v>
      </c>
    </row>
    <row r="142" spans="1:102" x14ac:dyDescent="0.25">
      <c r="A142" s="186">
        <v>98</v>
      </c>
      <c r="B142" s="187">
        <f>A142/100*'Inputs-Imperial'!$E$5</f>
        <v>9.6456695999999997</v>
      </c>
      <c r="C142" s="188">
        <f>'Inputs-Imperial'!$E$10+('Inputs-Imperial'!$E$9-'Inputs-Imperial'!$E$10)*(100-A142)/100</f>
        <v>1.1679790399999999</v>
      </c>
      <c r="D142" s="187">
        <f t="shared" si="323"/>
        <v>9.8425199999999435E-2</v>
      </c>
      <c r="E142" s="188">
        <f t="shared" si="324"/>
        <v>0.11544294660755931</v>
      </c>
      <c r="F142" s="423">
        <f>Sizing!F158</f>
        <v>1.0415231249311334</v>
      </c>
      <c r="G142" s="423">
        <f>Sizing!G158</f>
        <v>10.415231249311335</v>
      </c>
      <c r="H142" s="423">
        <f>Sizing!H158</f>
        <v>1.4981022730605928</v>
      </c>
      <c r="I142" s="423">
        <f>Sizing!I158</f>
        <v>-3.7586495467838223</v>
      </c>
      <c r="J142" s="189">
        <f>Sizing!J158</f>
        <v>0.14981022730605931</v>
      </c>
      <c r="K142" s="128">
        <v>98</v>
      </c>
      <c r="L142" s="12">
        <f t="shared" si="265"/>
        <v>115.7480352</v>
      </c>
      <c r="M142" s="11">
        <f t="shared" si="265"/>
        <v>14.015748479999999</v>
      </c>
      <c r="N142" s="11">
        <f t="shared" si="265"/>
        <v>1.1811023999999932</v>
      </c>
      <c r="O142" s="152">
        <f t="shared" si="325"/>
        <v>16.623784311488542</v>
      </c>
      <c r="P142" s="170">
        <f t="shared" si="260"/>
        <v>2.5228347263999997</v>
      </c>
      <c r="Q142" s="8">
        <f t="shared" si="261"/>
        <v>1.2614173631999999</v>
      </c>
      <c r="R142" s="170">
        <f>Sizing!X158</f>
        <v>3.5039371199999998</v>
      </c>
      <c r="S142" s="8">
        <f>Sizing!Y158</f>
        <v>10.511811359999999</v>
      </c>
      <c r="T142" s="8">
        <f>Sizing!Z158</f>
        <v>7.0078742399999996</v>
      </c>
      <c r="U142" s="17">
        <f>Sizing!CN158</f>
        <v>0.25</v>
      </c>
      <c r="V142" s="17">
        <f>Sizing!CO158</f>
        <v>2.3622047244094495E-2</v>
      </c>
      <c r="W142" s="17">
        <f>Sizing!CP158</f>
        <v>1.5748031496062995E-2</v>
      </c>
      <c r="X142" s="170">
        <f>Sizing!DU158</f>
        <v>3.9589056222337476E-3</v>
      </c>
      <c r="Y142" s="170">
        <f>Sizing!DV158</f>
        <v>6.2919834887209827E-2</v>
      </c>
      <c r="Z142" s="170">
        <f>Sizing!DW158</f>
        <v>3.9589056222337476E-3</v>
      </c>
      <c r="AA142" s="272">
        <f>Sizing!DX158</f>
        <v>6.2919834887209827E-2</v>
      </c>
      <c r="AB142" s="272">
        <f t="shared" si="266"/>
        <v>1.8811747340324747</v>
      </c>
      <c r="AC142" s="216">
        <f>Sizing!GJ158</f>
        <v>0.25</v>
      </c>
      <c r="AD142" s="216">
        <f>Sizing!GK158</f>
        <v>1.5748031496062995E-2</v>
      </c>
      <c r="AE142" s="17">
        <f>Sizing!GL158</f>
        <v>1.5748031496062995E-2</v>
      </c>
      <c r="AF142" s="170">
        <f>Sizing!JC158</f>
        <v>6.9595306634633145E-5</v>
      </c>
      <c r="AG142" s="272">
        <f>Sizing!JD158</f>
        <v>8.3423801540467545E-3</v>
      </c>
      <c r="AH142" s="170">
        <f>Sizing!JC158</f>
        <v>6.9595306634633145E-5</v>
      </c>
      <c r="AI142" s="272">
        <f>Sizing!JD158</f>
        <v>8.3423801540467545E-3</v>
      </c>
      <c r="AJ142" s="216">
        <f>Sizing!IT158</f>
        <v>0.25</v>
      </c>
      <c r="AK142" s="216">
        <f>Sizing!IU158</f>
        <v>1.5748031496062995E-2</v>
      </c>
      <c r="AL142" s="17">
        <f>Sizing!IV158</f>
        <v>1.5748031496062995E-2</v>
      </c>
      <c r="AM142" s="170">
        <f t="shared" si="267"/>
        <v>0</v>
      </c>
      <c r="AN142" s="11">
        <f t="shared" si="268"/>
        <v>3.5024619951240714E-3</v>
      </c>
      <c r="AO142" s="11">
        <f t="shared" si="269"/>
        <v>3.5024619951240714E-3</v>
      </c>
      <c r="AP142" s="11">
        <f t="shared" si="270"/>
        <v>7.0049239902481427E-3</v>
      </c>
      <c r="AQ142" s="555">
        <f t="shared" si="271"/>
        <v>111757.81822673712</v>
      </c>
      <c r="AR142" s="311">
        <f t="shared" si="272"/>
        <v>3.6250032846109503</v>
      </c>
      <c r="AS142" s="11">
        <f t="shared" si="273"/>
        <v>1.1605148778643019E-4</v>
      </c>
      <c r="AT142" s="11">
        <f t="shared" si="274"/>
        <v>6.6015498699973736E-3</v>
      </c>
      <c r="AU142" s="11">
        <f t="shared" si="275"/>
        <v>6.7176013577838036E-3</v>
      </c>
      <c r="AV142" s="555">
        <f t="shared" si="276"/>
        <v>107173.8212303272</v>
      </c>
      <c r="AW142" s="138">
        <f t="shared" si="277"/>
        <v>3.9370078740157494E-2</v>
      </c>
      <c r="AX142" s="138">
        <f t="shared" si="278"/>
        <v>3.1496062992125991E-2</v>
      </c>
      <c r="AY142" s="554">
        <f t="shared" si="279"/>
        <v>3.1496062992125991E-2</v>
      </c>
      <c r="AZ142" s="12">
        <f t="shared" si="280"/>
        <v>83.313663469006201</v>
      </c>
      <c r="BA142" s="11">
        <f t="shared" si="281"/>
        <v>44.890022086641189</v>
      </c>
      <c r="BB142">
        <f t="shared" si="282"/>
        <v>24.350558076196311</v>
      </c>
      <c r="BC142" s="555">
        <f t="shared" si="283"/>
        <v>91825662.298639387</v>
      </c>
      <c r="BD142">
        <f t="shared" si="284"/>
        <v>98</v>
      </c>
      <c r="BE142" s="207">
        <f t="shared" si="285"/>
        <v>1.1679790399999999</v>
      </c>
      <c r="BF142" s="207">
        <f>'Inputs-Imperial'!$E$15*BE142</f>
        <v>0.87598427999999995</v>
      </c>
      <c r="BG142" s="207">
        <f>'Inputs-Imperial'!$E$12*BE142</f>
        <v>0.29199475999999996</v>
      </c>
      <c r="BH142">
        <f>'Inputs-Imperial'!$E$11*BE142</f>
        <v>0.21023622719999996</v>
      </c>
      <c r="BI142">
        <f t="shared" si="286"/>
        <v>0.22298919285629348</v>
      </c>
      <c r="BJ142">
        <f>'Weight '!U144+'Weight '!V144 /12</f>
        <v>2.4934383202099744E-2</v>
      </c>
      <c r="BK142">
        <f>('Weight '!AK144+'Weight '!AL144)/12</f>
        <v>2.6246719160104991E-3</v>
      </c>
      <c r="BL142">
        <f>'Weight '!AG144/12</f>
        <v>5.2433195739341526E-3</v>
      </c>
      <c r="BM142">
        <f>'Weight '!AI144/12</f>
        <v>5.2433195739341526E-3</v>
      </c>
      <c r="BN142" s="554">
        <f t="shared" si="287"/>
        <v>0.30858476527722972</v>
      </c>
      <c r="BO142" s="554">
        <f t="shared" si="288"/>
        <v>1.5737545948324807</v>
      </c>
      <c r="BP142">
        <f t="shared" si="289"/>
        <v>5.2433195739341526E-3</v>
      </c>
      <c r="BQ142">
        <f t="shared" si="289"/>
        <v>5.2433195739341526E-3</v>
      </c>
      <c r="BR142">
        <f t="shared" si="290"/>
        <v>0.19974958805213167</v>
      </c>
      <c r="BS142">
        <f t="shared" si="291"/>
        <v>4.6040907528427086E-2</v>
      </c>
      <c r="BT142">
        <f t="shared" si="292"/>
        <v>0.10737486435810474</v>
      </c>
      <c r="BU142">
        <f t="shared" si="293"/>
        <v>7.3577097571146648E-3</v>
      </c>
      <c r="BV142">
        <f t="shared" si="294"/>
        <v>963.72353326074074</v>
      </c>
      <c r="BW142" s="207">
        <f t="shared" si="295"/>
        <v>280.27050017575516</v>
      </c>
      <c r="BX142">
        <f t="shared" si="296"/>
        <v>0.46654553827575379</v>
      </c>
      <c r="BY142" s="575">
        <f t="shared" si="297"/>
        <v>51.205618810715293</v>
      </c>
      <c r="BZ142">
        <f t="shared" si="298"/>
        <v>946.65499365716892</v>
      </c>
      <c r="CA142" s="207">
        <f t="shared" si="299"/>
        <v>285.2343803414463</v>
      </c>
      <c r="CB142">
        <f t="shared" si="300"/>
        <v>0.46390784424972514</v>
      </c>
      <c r="CC142">
        <f t="shared" si="301"/>
        <v>370.95205042458468</v>
      </c>
      <c r="CD142">
        <f t="shared" si="302"/>
        <v>823.00431018230734</v>
      </c>
      <c r="CE142" s="207">
        <f t="shared" si="303"/>
        <v>321.19452628425285</v>
      </c>
      <c r="CF142">
        <f t="shared" si="304"/>
        <v>0.44479943329652633</v>
      </c>
      <c r="CG142">
        <f t="shared" si="305"/>
        <v>255.41457580570645</v>
      </c>
      <c r="CH142">
        <f t="shared" si="306"/>
        <v>737.86611824707188</v>
      </c>
      <c r="CI142" s="207">
        <f t="shared" ref="CI142" si="422" xml:space="preserve"> ($BQ$38-CH142*($BP142+$BR142+$BQ142+$BN142))/($BP142+$BR142+$BQ142+$BO142)</f>
        <v>345.95445256416036</v>
      </c>
      <c r="CJ142">
        <f t="shared" si="308"/>
        <v>0.43164256660082756</v>
      </c>
      <c r="CK142">
        <f t="shared" si="309"/>
        <v>181.35665111732555</v>
      </c>
      <c r="CL142">
        <f t="shared" si="310"/>
        <v>677.41390120796336</v>
      </c>
      <c r="CM142" s="207">
        <f t="shared" ref="CM142" si="423" xml:space="preserve"> ($BQ$38-CL142*($BP142+$BR142+$BQ142+$BN142))/($BP142+$BR142+$BQ142+$BO142)</f>
        <v>363.53519280919517</v>
      </c>
      <c r="CN142">
        <f t="shared" si="312"/>
        <v>0.42230055753340418</v>
      </c>
      <c r="CO142">
        <f t="shared" si="313"/>
        <v>131.49217135703424</v>
      </c>
      <c r="CP142">
        <f t="shared" si="314"/>
        <v>633.5831774222853</v>
      </c>
      <c r="CQ142" s="207">
        <f t="shared" ref="CQ142" si="424" xml:space="preserve"> ($BQ$38-CP142*($BP142+$BR142+$BQ142+$BN142))/($BP142+$BR142+$BQ142+$BO142)</f>
        <v>376.28206310394984</v>
      </c>
      <c r="CR142">
        <f t="shared" si="316"/>
        <v>0.41552715799418405</v>
      </c>
      <c r="CS142">
        <f t="shared" si="317"/>
        <v>96.75075917856627</v>
      </c>
      <c r="CT142">
        <f t="shared" si="318"/>
        <v>601.33292436276326</v>
      </c>
      <c r="CU142" s="636">
        <f t="shared" si="319"/>
        <v>385.66109582841216</v>
      </c>
      <c r="CV142" s="575">
        <f t="shared" si="320"/>
        <v>0.41054335142322163</v>
      </c>
      <c r="CW142">
        <f t="shared" si="321"/>
        <v>71.94668574256967</v>
      </c>
      <c r="CX142" s="576">
        <f t="shared" si="322"/>
        <v>0.35149890311663612</v>
      </c>
    </row>
    <row r="143" spans="1:102" x14ac:dyDescent="0.25">
      <c r="A143" s="186">
        <v>99</v>
      </c>
      <c r="B143" s="187">
        <f>A143/100*'Inputs-Imperial'!$E$5</f>
        <v>9.7440948000000009</v>
      </c>
      <c r="C143" s="188">
        <f>'Inputs-Imperial'!$E$10+('Inputs-Imperial'!$E$9-'Inputs-Imperial'!$E$10)*(100-A143)/100</f>
        <v>1.15813652</v>
      </c>
      <c r="D143" s="187">
        <f t="shared" si="323"/>
        <v>9.8425200000001212E-2</v>
      </c>
      <c r="E143" s="188">
        <f t="shared" si="324"/>
        <v>0.1144741946080574</v>
      </c>
      <c r="F143" s="423">
        <f>Sizing!F159</f>
        <v>0.48054873579211943</v>
      </c>
      <c r="G143" s="423">
        <f>Sizing!G159</f>
        <v>4.8054873579211943</v>
      </c>
      <c r="H143" s="423">
        <f>Sizing!H159</f>
        <v>0.4729810543008624</v>
      </c>
      <c r="I143" s="423">
        <f>Sizing!I159</f>
        <v>-1.5174808825486088</v>
      </c>
      <c r="J143" s="189">
        <f>Sizing!J159</f>
        <v>4.7298105430086244E-2</v>
      </c>
      <c r="K143" s="128">
        <v>99</v>
      </c>
      <c r="L143" s="12">
        <f t="shared" si="265"/>
        <v>116.92913760000002</v>
      </c>
      <c r="M143" s="11">
        <f t="shared" si="265"/>
        <v>13.897638239999999</v>
      </c>
      <c r="N143" s="11">
        <f t="shared" si="265"/>
        <v>1.1811024000000145</v>
      </c>
      <c r="O143" s="152">
        <f t="shared" si="325"/>
        <v>16.484284023560264</v>
      </c>
      <c r="P143" s="170">
        <f t="shared" si="260"/>
        <v>2.5015748831999995</v>
      </c>
      <c r="Q143" s="8">
        <f t="shared" si="261"/>
        <v>1.2507874415999998</v>
      </c>
      <c r="R143" s="170">
        <f>Sizing!X159</f>
        <v>3.4744095599999998</v>
      </c>
      <c r="S143" s="8">
        <f>Sizing!Y159</f>
        <v>10.423228679999999</v>
      </c>
      <c r="T143" s="8">
        <f>Sizing!Z159</f>
        <v>6.9488191199999996</v>
      </c>
      <c r="U143" s="17">
        <f>Sizing!CN159</f>
        <v>0.25</v>
      </c>
      <c r="V143" s="17">
        <f>Sizing!CO159</f>
        <v>2.3622047244094495E-2</v>
      </c>
      <c r="W143" s="17">
        <f>Sizing!CP159</f>
        <v>1.5748031496062995E-2</v>
      </c>
      <c r="X143" s="170">
        <f>Sizing!DU159</f>
        <v>3.9589056222337476E-3</v>
      </c>
      <c r="Y143" s="170">
        <f>Sizing!DV159</f>
        <v>6.2919834887209827E-2</v>
      </c>
      <c r="Z143" s="170">
        <f>Sizing!DW159</f>
        <v>3.9589056222337476E-3</v>
      </c>
      <c r="AA143" s="272">
        <f>Sizing!DX159</f>
        <v>6.2919834887209827E-2</v>
      </c>
      <c r="AB143" s="272">
        <f t="shared" si="266"/>
        <v>1.8599148908324745</v>
      </c>
      <c r="AC143" s="216">
        <f>Sizing!GJ159</f>
        <v>0.25</v>
      </c>
      <c r="AD143" s="216">
        <f>Sizing!GK159</f>
        <v>1.5748031496062995E-2</v>
      </c>
      <c r="AE143" s="17">
        <f>Sizing!GL159</f>
        <v>1.5748031496062995E-2</v>
      </c>
      <c r="AF143" s="170">
        <f>Sizing!JC159</f>
        <v>6.9595306634633145E-5</v>
      </c>
      <c r="AG143" s="272">
        <f>Sizing!JD159</f>
        <v>8.3423801540467545E-3</v>
      </c>
      <c r="AH143" s="170">
        <f>Sizing!JC159</f>
        <v>6.9595306634633145E-5</v>
      </c>
      <c r="AI143" s="272">
        <f>Sizing!JD159</f>
        <v>8.3423801540467545E-3</v>
      </c>
      <c r="AJ143" s="216">
        <f>Sizing!IT159</f>
        <v>0.25</v>
      </c>
      <c r="AK143" s="216">
        <f>Sizing!IU159</f>
        <v>1.5748031496062995E-2</v>
      </c>
      <c r="AL143" s="17">
        <f>Sizing!IV159</f>
        <v>1.5748031496062995E-2</v>
      </c>
      <c r="AM143" s="170">
        <f t="shared" si="267"/>
        <v>0</v>
      </c>
      <c r="AN143" s="11">
        <f t="shared" si="268"/>
        <v>3.4237441264186284E-3</v>
      </c>
      <c r="AO143" s="11">
        <f t="shared" si="269"/>
        <v>3.4237441264186284E-3</v>
      </c>
      <c r="AP143" s="11">
        <f t="shared" si="270"/>
        <v>6.8474882528372569E-3</v>
      </c>
      <c r="AQ143" s="555">
        <f t="shared" si="271"/>
        <v>109246.0601336511</v>
      </c>
      <c r="AR143" s="311">
        <f t="shared" si="272"/>
        <v>3.5944555041226556</v>
      </c>
      <c r="AS143" s="11">
        <f t="shared" si="273"/>
        <v>1.1410380508757753E-4</v>
      </c>
      <c r="AT143" s="11">
        <f t="shared" si="274"/>
        <v>6.4907565944207074E-3</v>
      </c>
      <c r="AU143" s="11">
        <f t="shared" si="275"/>
        <v>6.6048603995082847E-3</v>
      </c>
      <c r="AV143" s="555">
        <f t="shared" si="276"/>
        <v>105375.13168862708</v>
      </c>
      <c r="AW143" s="138">
        <f t="shared" si="277"/>
        <v>3.9370078740157494E-2</v>
      </c>
      <c r="AX143" s="138">
        <f t="shared" si="278"/>
        <v>3.1496062992125991E-2</v>
      </c>
      <c r="AY143" s="554">
        <f t="shared" si="279"/>
        <v>3.1496062992125991E-2</v>
      </c>
      <c r="AZ143" s="12">
        <f t="shared" si="280"/>
        <v>81.9154170181274</v>
      </c>
      <c r="BA143" s="11">
        <f t="shared" si="281"/>
        <v>44.51173538366389</v>
      </c>
      <c r="BB143">
        <f t="shared" si="282"/>
        <v>23.74012718189584</v>
      </c>
      <c r="BC143" s="555">
        <f t="shared" si="283"/>
        <v>89523734.721403047</v>
      </c>
      <c r="BD143">
        <f t="shared" si="284"/>
        <v>99</v>
      </c>
      <c r="BE143" s="207">
        <f t="shared" si="285"/>
        <v>1.15813652</v>
      </c>
      <c r="BF143" s="207">
        <f>'Inputs-Imperial'!$E$15*BE143</f>
        <v>0.86860238999999995</v>
      </c>
      <c r="BG143" s="207">
        <f>'Inputs-Imperial'!$E$12*BE143</f>
        <v>0.28953413</v>
      </c>
      <c r="BH143">
        <f>'Inputs-Imperial'!$E$11*BE143</f>
        <v>0.20846457359999998</v>
      </c>
      <c r="BI143">
        <f t="shared" si="286"/>
        <v>0.22111007044458317</v>
      </c>
      <c r="BJ143">
        <f>'Weight '!U145+'Weight '!V145 /12</f>
        <v>2.4934383202099744E-2</v>
      </c>
      <c r="BK143">
        <f>('Weight '!AK145+'Weight '!AL145)/12</f>
        <v>2.6246719160104991E-3</v>
      </c>
      <c r="BL143">
        <f>'Weight '!AG145/12</f>
        <v>5.2433195739341526E-3</v>
      </c>
      <c r="BM143">
        <f>'Weight '!AI145/12</f>
        <v>5.2433195739341526E-3</v>
      </c>
      <c r="BN143" s="554">
        <f t="shared" si="287"/>
        <v>0.30383859234373528</v>
      </c>
      <c r="BO143" s="554">
        <f t="shared" si="288"/>
        <v>1.5626383574279719</v>
      </c>
      <c r="BP143">
        <f t="shared" si="289"/>
        <v>5.2433195739341526E-3</v>
      </c>
      <c r="BQ143">
        <f t="shared" si="289"/>
        <v>5.2433195739341526E-3</v>
      </c>
      <c r="BR143">
        <f t="shared" si="290"/>
        <v>0.19797793445213169</v>
      </c>
      <c r="BS143">
        <f t="shared" si="291"/>
        <v>4.5268206714822727E-2</v>
      </c>
      <c r="BT143">
        <f t="shared" si="292"/>
        <v>0.10557280072591113</v>
      </c>
      <c r="BU143">
        <f t="shared" si="293"/>
        <v>7.1128144853117225E-3</v>
      </c>
      <c r="BV143">
        <f t="shared" si="294"/>
        <v>975.98459903898686</v>
      </c>
      <c r="BW143" s="207">
        <f t="shared" si="295"/>
        <v>282.30996134696323</v>
      </c>
      <c r="BX143">
        <f t="shared" si="296"/>
        <v>0.46305483357511518</v>
      </c>
      <c r="BY143" s="575">
        <f t="shared" si="297"/>
        <v>52.156619435890264</v>
      </c>
      <c r="BZ143">
        <f t="shared" si="298"/>
        <v>958.59905922702342</v>
      </c>
      <c r="CA143" s="207">
        <f t="shared" si="299"/>
        <v>287.33884302926054</v>
      </c>
      <c r="CB143">
        <f t="shared" si="300"/>
        <v>0.460418982907563</v>
      </c>
      <c r="CC143">
        <f t="shared" si="301"/>
        <v>373.99421166861367</v>
      </c>
      <c r="CD143">
        <f t="shared" si="302"/>
        <v>833.93432200415214</v>
      </c>
      <c r="CE143" s="207">
        <f t="shared" si="303"/>
        <v>323.39893781085067</v>
      </c>
      <c r="CF143">
        <f t="shared" si="304"/>
        <v>0.44151835431718645</v>
      </c>
      <c r="CG143">
        <f t="shared" si="305"/>
        <v>258.39963755165314</v>
      </c>
      <c r="CH143">
        <f t="shared" si="306"/>
        <v>747.80110948693437</v>
      </c>
      <c r="CI143" s="207">
        <f t="shared" ref="CI143" si="425" xml:space="preserve"> ($BQ$38-CH143*($BP143+$BR143+$BQ143+$BN143))/($BP143+$BR143+$BQ143+$BO143)</f>
        <v>348.31353576697501</v>
      </c>
      <c r="CJ143">
        <f t="shared" si="308"/>
        <v>0.42845955440832789</v>
      </c>
      <c r="CK143">
        <f t="shared" si="309"/>
        <v>184.03870787334623</v>
      </c>
      <c r="CL143">
        <f t="shared" si="310"/>
        <v>686.45487352915234</v>
      </c>
      <c r="CM143" s="207">
        <f t="shared" ref="CM143" si="426" xml:space="preserve"> ($BQ$38-CL143*($BP143+$BR143+$BQ143+$BN143))/($BP143+$BR143+$BQ143+$BO143)</f>
        <v>366.05833780491304</v>
      </c>
      <c r="CN143">
        <f t="shared" si="312"/>
        <v>0.41915874932835762</v>
      </c>
      <c r="CO143">
        <f t="shared" si="313"/>
        <v>133.82034245298729</v>
      </c>
      <c r="CP143">
        <f t="shared" si="314"/>
        <v>641.84809271148993</v>
      </c>
      <c r="CQ143" s="207">
        <f t="shared" ref="CQ143" si="427" xml:space="preserve"> ($BQ$38-CP143*($BP143+$BR143+$BQ143+$BN143))/($BP143+$BR143+$BQ143+$BO143)</f>
        <v>378.96114239921354</v>
      </c>
      <c r="CR143">
        <f t="shared" si="316"/>
        <v>0.41239584094200521</v>
      </c>
      <c r="CS143">
        <f t="shared" si="317"/>
        <v>98.73808796710928</v>
      </c>
      <c r="CT143">
        <f t="shared" si="318"/>
        <v>608.93539672245345</v>
      </c>
      <c r="CU143" s="636">
        <f t="shared" si="319"/>
        <v>388.48135608049319</v>
      </c>
      <c r="CV143" s="575">
        <f t="shared" si="320"/>
        <v>0.40740589224717394</v>
      </c>
      <c r="CW143">
        <f t="shared" si="321"/>
        <v>73.626611066899102</v>
      </c>
      <c r="CX143" s="576">
        <f t="shared" si="322"/>
        <v>0.35177708777128791</v>
      </c>
    </row>
    <row r="144" spans="1:102" ht="15.75" thickBot="1" x14ac:dyDescent="0.3">
      <c r="A144" s="190">
        <v>100</v>
      </c>
      <c r="B144" s="191">
        <f>A144/100*'Inputs-Imperial'!$E$5</f>
        <v>9.8425200000000004</v>
      </c>
      <c r="C144" s="192">
        <f>'Inputs-Imperial'!$E$10+('Inputs-Imperial'!$E$9-'Inputs-Imperial'!$E$10)*(100-A144)/100</f>
        <v>1.1482939999999999</v>
      </c>
      <c r="D144" s="191">
        <f t="shared" si="323"/>
        <v>9.8425199999999435E-2</v>
      </c>
      <c r="E144" s="192">
        <f t="shared" si="324"/>
        <v>0.11350544260855136</v>
      </c>
      <c r="F144" s="193">
        <f>Sizing!F160</f>
        <v>0</v>
      </c>
      <c r="G144" s="193">
        <f>Sizing!G160</f>
        <v>0</v>
      </c>
      <c r="H144" s="193">
        <f>Sizing!H160</f>
        <v>0</v>
      </c>
      <c r="I144" s="193">
        <f>Sizing!I160</f>
        <v>0</v>
      </c>
      <c r="J144" s="194">
        <f>Sizing!J160</f>
        <v>0</v>
      </c>
      <c r="K144" s="131">
        <v>100</v>
      </c>
      <c r="L144" s="168">
        <f t="shared" si="265"/>
        <v>118.11024</v>
      </c>
      <c r="M144" s="172">
        <f t="shared" si="265"/>
        <v>13.779527999999999</v>
      </c>
      <c r="N144" s="172">
        <f t="shared" si="265"/>
        <v>1.1811023999999932</v>
      </c>
      <c r="O144" s="137">
        <f t="shared" si="325"/>
        <v>16.344783735631395</v>
      </c>
      <c r="P144" s="171">
        <f t="shared" si="260"/>
        <v>2.4803150399999998</v>
      </c>
      <c r="Q144" s="122">
        <f t="shared" si="261"/>
        <v>1.2401575199999999</v>
      </c>
      <c r="R144" s="171">
        <f>Sizing!X160</f>
        <v>3.4448819999999998</v>
      </c>
      <c r="S144" s="122">
        <f>Sizing!Y160</f>
        <v>10.334645999999999</v>
      </c>
      <c r="T144" s="122">
        <f>Sizing!Z160</f>
        <v>6.8897639999999996</v>
      </c>
      <c r="U144" s="206">
        <f>Sizing!CN160</f>
        <v>0.25</v>
      </c>
      <c r="V144" s="206">
        <f>Sizing!CO160</f>
        <v>2.3622047244094495E-2</v>
      </c>
      <c r="W144" s="206">
        <f>Sizing!CP160</f>
        <v>1.5748031496062995E-2</v>
      </c>
      <c r="X144" s="171">
        <f>Sizing!DU160</f>
        <v>3.9589056222337476E-3</v>
      </c>
      <c r="Y144" s="171">
        <f>Sizing!DV160</f>
        <v>6.2919834887209827E-2</v>
      </c>
      <c r="Z144" s="171">
        <f>Sizing!DW160</f>
        <v>3.9589056222337476E-3</v>
      </c>
      <c r="AA144" s="303">
        <f>Sizing!DX160</f>
        <v>6.2919834887209827E-2</v>
      </c>
      <c r="AB144" s="272">
        <f t="shared" si="266"/>
        <v>1.8386550476324748</v>
      </c>
      <c r="AC144" s="218">
        <f>Sizing!GJ160</f>
        <v>0.25</v>
      </c>
      <c r="AD144" s="218">
        <f>Sizing!GK160</f>
        <v>1.5748031496062995E-2</v>
      </c>
      <c r="AE144" s="206">
        <f>Sizing!GL160</f>
        <v>1.5748031496062995E-2</v>
      </c>
      <c r="AF144" s="171">
        <f>Sizing!JC160</f>
        <v>6.9595306634633145E-5</v>
      </c>
      <c r="AG144" s="303">
        <f>Sizing!JD160</f>
        <v>8.3423801540467545E-3</v>
      </c>
      <c r="AH144" s="171">
        <f>Sizing!JC160</f>
        <v>6.9595306634633145E-5</v>
      </c>
      <c r="AI144" s="303">
        <f>Sizing!JD160</f>
        <v>8.3423801540467545E-3</v>
      </c>
      <c r="AJ144" s="218">
        <f>Sizing!IT160</f>
        <v>0.25</v>
      </c>
      <c r="AK144" s="218">
        <f>Sizing!IU160</f>
        <v>1.5748031496062995E-2</v>
      </c>
      <c r="AL144" s="206">
        <f>Sizing!IV160</f>
        <v>1.5748031496062995E-2</v>
      </c>
      <c r="AM144" s="171">
        <f t="shared" si="267"/>
        <v>0</v>
      </c>
      <c r="AN144" s="172">
        <f t="shared" si="268"/>
        <v>3.3459209326413644E-3</v>
      </c>
      <c r="AO144" s="172">
        <f t="shared" si="269"/>
        <v>3.3459209326413644E-3</v>
      </c>
      <c r="AP144" s="172">
        <f t="shared" si="270"/>
        <v>6.6918418652827287E-3</v>
      </c>
      <c r="AQ144" s="556">
        <f t="shared" si="271"/>
        <v>106762.84965025641</v>
      </c>
      <c r="AR144" s="317">
        <f t="shared" si="272"/>
        <v>3.5639077236343617</v>
      </c>
      <c r="AS144" s="172">
        <f t="shared" si="273"/>
        <v>1.1217260489393545E-4</v>
      </c>
      <c r="AT144" s="172">
        <f t="shared" si="274"/>
        <v>6.380900920611967E-3</v>
      </c>
      <c r="AU144" s="172">
        <f t="shared" si="275"/>
        <v>6.4930735255059021E-3</v>
      </c>
      <c r="AV144" s="556">
        <f t="shared" si="276"/>
        <v>103591.66377915576</v>
      </c>
      <c r="AW144" s="138">
        <f t="shared" si="277"/>
        <v>3.9370078740157494E-2</v>
      </c>
      <c r="AX144" s="138">
        <f t="shared" si="278"/>
        <v>3.1496062992125991E-2</v>
      </c>
      <c r="AY144" s="554">
        <f t="shared" si="279"/>
        <v>3.1496062992125991E-2</v>
      </c>
      <c r="AZ144" s="12">
        <f t="shared" si="280"/>
        <v>80.529003400401322</v>
      </c>
      <c r="BA144" s="11">
        <f t="shared" si="281"/>
        <v>44.133448680686584</v>
      </c>
      <c r="BB144">
        <f t="shared" si="282"/>
        <v>23.139984203137764</v>
      </c>
      <c r="BC144" s="556">
        <f t="shared" si="283"/>
        <v>87260602.750222087</v>
      </c>
      <c r="BD144">
        <f t="shared" si="284"/>
        <v>100</v>
      </c>
      <c r="BE144" s="207">
        <f t="shared" si="285"/>
        <v>1.1482939999999999</v>
      </c>
      <c r="BF144" s="207">
        <f>'Inputs-Imperial'!$E$15*BE144</f>
        <v>0.86122049999999994</v>
      </c>
      <c r="BG144" s="207">
        <f>'Inputs-Imperial'!$E$12*BE144</f>
        <v>0.28707349999999998</v>
      </c>
      <c r="BH144">
        <f>'Inputs-Imperial'!$E$11*BE144</f>
        <v>0.20669291999999997</v>
      </c>
      <c r="BI144">
        <f t="shared" si="286"/>
        <v>0.21923094803287282</v>
      </c>
      <c r="BJ144">
        <f>'Weight '!U146+'Weight '!V146 /12</f>
        <v>2.4934383202099744E-2</v>
      </c>
      <c r="BK144">
        <f>('Weight '!AK146+'Weight '!AL146)/12</f>
        <v>2.6246719160104991E-3</v>
      </c>
      <c r="BL144">
        <f>'Weight '!AG146/12</f>
        <v>5.2433195739341526E-3</v>
      </c>
      <c r="BM144">
        <f>'Weight '!AI146/12</f>
        <v>5.2433195739341526E-3</v>
      </c>
      <c r="BN144" s="554">
        <f t="shared" si="287"/>
        <v>0.29911979959341684</v>
      </c>
      <c r="BO144" s="554">
        <f t="shared" si="288"/>
        <v>1.5514947398402872</v>
      </c>
      <c r="BP144">
        <f t="shared" si="289"/>
        <v>5.2433195739341526E-3</v>
      </c>
      <c r="BQ144">
        <f t="shared" si="289"/>
        <v>5.2433195739341526E-3</v>
      </c>
      <c r="BR144">
        <f t="shared" si="290"/>
        <v>0.19620628085213168</v>
      </c>
      <c r="BS144">
        <f t="shared" si="291"/>
        <v>4.4502044977214994E-2</v>
      </c>
      <c r="BT144">
        <f t="shared" si="292"/>
        <v>0.10378598727960353</v>
      </c>
      <c r="BU144">
        <f t="shared" si="293"/>
        <v>6.8740840427871305E-3</v>
      </c>
      <c r="BV144">
        <f t="shared" si="294"/>
        <v>988.50815851746631</v>
      </c>
      <c r="BW144" s="207">
        <f t="shared" si="295"/>
        <v>284.38375005169797</v>
      </c>
      <c r="BX144">
        <f t="shared" si="296"/>
        <v>0.45956142253059351</v>
      </c>
      <c r="BY144" s="575">
        <f t="shared" si="297"/>
        <v>53.11793377866573</v>
      </c>
      <c r="BZ144">
        <f t="shared" si="298"/>
        <v>970.80218059124445</v>
      </c>
      <c r="CA144" s="207">
        <f t="shared" si="299"/>
        <v>289.4775799382852</v>
      </c>
      <c r="CB144">
        <f t="shared" si="300"/>
        <v>0.45692818175088934</v>
      </c>
      <c r="CC144">
        <f t="shared" si="301"/>
        <v>377.08274064074203</v>
      </c>
      <c r="CD144">
        <f t="shared" si="302"/>
        <v>845.10793371099714</v>
      </c>
      <c r="CE144" s="207">
        <f t="shared" si="303"/>
        <v>325.63853721489335</v>
      </c>
      <c r="CF144">
        <f t="shared" si="304"/>
        <v>0.43823487839094877</v>
      </c>
      <c r="CG144">
        <f t="shared" si="305"/>
        <v>261.43043088128502</v>
      </c>
      <c r="CH144">
        <f t="shared" si="306"/>
        <v>757.96445675056884</v>
      </c>
      <c r="CI144" s="207">
        <f t="shared" ref="CI144" si="428" xml:space="preserve"> ($BQ$38-CH144*($BP144+$BR144+$BQ144+$BN144))/($BP144+$BR144+$BQ144+$BO144)</f>
        <v>350.70882981391236</v>
      </c>
      <c r="CJ144">
        <f t="shared" si="308"/>
        <v>0.4252748623910656</v>
      </c>
      <c r="CK144">
        <f t="shared" si="309"/>
        <v>186.76576202454777</v>
      </c>
      <c r="CL144">
        <f t="shared" si="310"/>
        <v>695.7092027423862</v>
      </c>
      <c r="CM144" s="207">
        <f t="shared" ref="CM144" si="429" xml:space="preserve"> ($BQ$38-CL144*($BP144+$BR144+$BQ144+$BN144))/($BP144+$BR144+$BQ144+$BO144)</f>
        <v>368.61903363238201</v>
      </c>
      <c r="CN144">
        <f t="shared" si="312"/>
        <v>0.41601623379182778</v>
      </c>
      <c r="CO144">
        <f t="shared" si="313"/>
        <v>136.1918166746741</v>
      </c>
      <c r="CP144">
        <f t="shared" si="314"/>
        <v>650.31193051749483</v>
      </c>
      <c r="CQ144" s="207">
        <f t="shared" ref="CQ144" si="430" xml:space="preserve"> ($BQ$38-CP144*($BP144+$BR144+$BQ144+$BN144))/($BP144+$BR144+$BQ144+$BO144)</f>
        <v>381.67936743558988</v>
      </c>
      <c r="CR144">
        <f t="shared" si="316"/>
        <v>0.40926473161510357</v>
      </c>
      <c r="CS144">
        <f t="shared" si="317"/>
        <v>100.76632629226475</v>
      </c>
      <c r="CT144">
        <f t="shared" si="318"/>
        <v>616.72315508673989</v>
      </c>
      <c r="CU144" s="636">
        <f t="shared" si="319"/>
        <v>391.34251673217062</v>
      </c>
      <c r="CV144" s="577">
        <f t="shared" si="320"/>
        <v>0.40426939424525388</v>
      </c>
      <c r="CW144" s="578">
        <f t="shared" si="321"/>
        <v>75.344649803630602</v>
      </c>
      <c r="CX144" s="579">
        <f t="shared" si="322"/>
        <v>0.35206087835106159</v>
      </c>
    </row>
  </sheetData>
  <sheetProtection sheet="1" objects="1" scenarios="1"/>
  <mergeCells count="2">
    <mergeCell ref="A42:J42"/>
    <mergeCell ref="K42:O42"/>
  </mergeCells>
  <conditionalFormatting sqref="U44:W144">
    <cfRule type="colorScale" priority="11">
      <colorScale>
        <cfvo type="min"/>
        <cfvo type="max"/>
        <color rgb="FFFCFCFF"/>
        <color rgb="FFF8696B"/>
      </colorScale>
    </cfRule>
  </conditionalFormatting>
  <conditionalFormatting sqref="V44:W144">
    <cfRule type="colorScale" priority="10">
      <colorScale>
        <cfvo type="min"/>
        <cfvo type="max"/>
        <color rgb="FFFCFCFF"/>
        <color rgb="FF63BE7B"/>
      </colorScale>
    </cfRule>
  </conditionalFormatting>
  <conditionalFormatting sqref="X44:X144">
    <cfRule type="colorScale" priority="9">
      <colorScale>
        <cfvo type="min"/>
        <cfvo type="max"/>
        <color rgb="FFFCFCFF"/>
        <color rgb="FFF8696B"/>
      </colorScale>
    </cfRule>
  </conditionalFormatting>
  <conditionalFormatting sqref="Z44:Z144">
    <cfRule type="colorScale" priority="8">
      <colorScale>
        <cfvo type="min"/>
        <cfvo type="max"/>
        <color rgb="FFFCFCFF"/>
        <color rgb="FF63BE7B"/>
      </colorScale>
    </cfRule>
  </conditionalFormatting>
  <conditionalFormatting sqref="AC44:AE144">
    <cfRule type="colorScale" priority="7">
      <colorScale>
        <cfvo type="min"/>
        <cfvo type="max"/>
        <color rgb="FFFCFCFF"/>
        <color rgb="FFF8696B"/>
      </colorScale>
    </cfRule>
  </conditionalFormatting>
  <conditionalFormatting sqref="AD44:AE144">
    <cfRule type="colorScale" priority="6">
      <colorScale>
        <cfvo type="min"/>
        <cfvo type="max"/>
        <color rgb="FFFCFCFF"/>
        <color rgb="FF63BE7B"/>
      </colorScale>
    </cfRule>
  </conditionalFormatting>
  <conditionalFormatting sqref="AF44:AF144">
    <cfRule type="colorScale" priority="5">
      <colorScale>
        <cfvo type="min"/>
        <cfvo type="max"/>
        <color rgb="FFFCFCFF"/>
        <color rgb="FFF8696B"/>
      </colorScale>
    </cfRule>
  </conditionalFormatting>
  <conditionalFormatting sqref="AH44:AH144">
    <cfRule type="colorScale" priority="2">
      <colorScale>
        <cfvo type="min"/>
        <cfvo type="max"/>
        <color rgb="FFFCFCFF"/>
        <color rgb="FFF8696B"/>
      </colorScale>
    </cfRule>
  </conditionalFormatting>
  <conditionalFormatting sqref="AJ44:AL144">
    <cfRule type="colorScale" priority="4">
      <colorScale>
        <cfvo type="min"/>
        <cfvo type="max"/>
        <color rgb="FFFCFCFF"/>
        <color rgb="FFF8696B"/>
      </colorScale>
    </cfRule>
  </conditionalFormatting>
  <conditionalFormatting sqref="AK44:AL144">
    <cfRule type="colorScale" priority="3">
      <colorScale>
        <cfvo type="min"/>
        <cfvo type="max"/>
        <color rgb="FFFCFCFF"/>
        <color rgb="FF63BE7B"/>
      </colorScale>
    </cfRule>
  </conditionalFormatting>
  <conditionalFormatting sqref="AQ44:AQ14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04A1-F0F0-4515-8B3C-36BDBDEC6544}">
  <sheetPr>
    <tabColor rgb="FFFFFF00"/>
  </sheetPr>
  <dimension ref="A1:R30"/>
  <sheetViews>
    <sheetView zoomScaleNormal="100" workbookViewId="0">
      <selection activeCell="J24" sqref="J24"/>
    </sheetView>
  </sheetViews>
  <sheetFormatPr defaultRowHeight="15" x14ac:dyDescent="0.25"/>
  <cols>
    <col min="4" max="4" width="10.85546875" customWidth="1"/>
    <col min="6" max="6" width="9.7109375" customWidth="1"/>
    <col min="7" max="8" width="10.140625" customWidth="1"/>
    <col min="10" max="10" width="9.85546875" bestFit="1" customWidth="1"/>
    <col min="11" max="11" width="14.5703125" bestFit="1" customWidth="1"/>
    <col min="19" max="22" width="9.42578125" bestFit="1" customWidth="1"/>
    <col min="24" max="24" width="10.5703125" customWidth="1"/>
    <col min="25" max="26" width="10.42578125" customWidth="1"/>
    <col min="27" max="27" width="13.42578125" customWidth="1"/>
    <col min="28" max="28" width="9.5703125" customWidth="1"/>
    <col min="29" max="29" width="21.85546875" bestFit="1" customWidth="1"/>
    <col min="30" max="32" width="9.28515625" customWidth="1"/>
    <col min="33" max="35" width="9.85546875" customWidth="1"/>
    <col min="36" max="36" width="9.28515625" customWidth="1"/>
    <col min="43" max="43" width="10.28515625" customWidth="1"/>
    <col min="44" max="45" width="10.42578125" customWidth="1"/>
    <col min="48" max="48" width="19.5703125" bestFit="1" customWidth="1"/>
    <col min="54" max="54" width="8.7109375" customWidth="1"/>
    <col min="60" max="60" width="10.5703125" customWidth="1"/>
    <col min="61" max="62" width="10.42578125" customWidth="1"/>
    <col min="65" max="65" width="19.5703125" bestFit="1" customWidth="1"/>
  </cols>
  <sheetData>
    <row r="1" spans="1:12" x14ac:dyDescent="0.25">
      <c r="A1" t="s">
        <v>938</v>
      </c>
      <c r="D1" s="4" t="s">
        <v>970</v>
      </c>
      <c r="G1" s="4" t="s">
        <v>971</v>
      </c>
      <c r="H1" s="4"/>
      <c r="I1" s="4"/>
      <c r="J1" s="4" t="s">
        <v>972</v>
      </c>
    </row>
    <row r="2" spans="1:12" x14ac:dyDescent="0.25">
      <c r="A2" s="562" t="str">
        <f>'Inputs-Imperial'!C12</f>
        <v>Spar_x/c</v>
      </c>
      <c r="B2" s="701">
        <f>Inputs!E12</f>
        <v>0.25</v>
      </c>
      <c r="C2" s="41" t="s">
        <v>1053</v>
      </c>
      <c r="D2" t="s">
        <v>735</v>
      </c>
      <c r="E2" s="756">
        <f>0.95*2*PI()</f>
        <v>5.9690260418206069</v>
      </c>
      <c r="G2" t="s">
        <v>735</v>
      </c>
      <c r="H2" s="756">
        <f>0.95*2*PI()</f>
        <v>5.9690260418206069</v>
      </c>
      <c r="J2" t="s">
        <v>735</v>
      </c>
      <c r="K2" s="756">
        <f>0.95*2*PI()</f>
        <v>5.9690260418206069</v>
      </c>
    </row>
    <row r="3" spans="1:12" x14ac:dyDescent="0.25">
      <c r="B3" s="207"/>
      <c r="D3" t="s">
        <v>729</v>
      </c>
      <c r="E3" s="756">
        <v>-0.15</v>
      </c>
      <c r="G3" t="s">
        <v>729</v>
      </c>
      <c r="H3" s="756">
        <v>-0.15</v>
      </c>
      <c r="J3" t="s">
        <v>729</v>
      </c>
      <c r="K3" s="756">
        <v>0</v>
      </c>
    </row>
    <row r="4" spans="1:12" ht="15" customHeight="1" x14ac:dyDescent="0.25">
      <c r="A4" s="694"/>
      <c r="B4" s="694"/>
      <c r="C4" s="694"/>
      <c r="D4" t="s">
        <v>968</v>
      </c>
      <c r="E4" s="757">
        <f>'Prosperity Reference'!C27</f>
        <v>1.85</v>
      </c>
      <c r="G4" t="s">
        <v>968</v>
      </c>
      <c r="H4" s="757">
        <f>'Prosperity Reference'!C29</f>
        <v>2.25</v>
      </c>
      <c r="J4" t="s">
        <v>968</v>
      </c>
      <c r="K4" s="757">
        <f>'Prosperity Reference'!C31</f>
        <v>1.4</v>
      </c>
    </row>
    <row r="5" spans="1:12" x14ac:dyDescent="0.25">
      <c r="A5" s="694"/>
      <c r="B5" s="694"/>
      <c r="C5" s="694"/>
      <c r="D5" t="s">
        <v>969</v>
      </c>
      <c r="E5" s="757">
        <f>'Prosperity Reference'!C28</f>
        <v>-1.55</v>
      </c>
      <c r="G5" t="s">
        <v>969</v>
      </c>
      <c r="H5" s="757">
        <f>'Prosperity Reference'!C30</f>
        <v>-1.65</v>
      </c>
      <c r="J5" t="s">
        <v>969</v>
      </c>
      <c r="K5" s="757">
        <f>'Prosperity Reference'!C32</f>
        <v>-1.4</v>
      </c>
    </row>
    <row r="6" spans="1:12" x14ac:dyDescent="0.25">
      <c r="A6" s="694"/>
      <c r="B6" s="694"/>
      <c r="C6" s="694"/>
      <c r="D6" t="s">
        <v>718</v>
      </c>
      <c r="E6" s="757">
        <v>5.4999999999999997E-3</v>
      </c>
      <c r="G6" t="s">
        <v>718</v>
      </c>
      <c r="H6" s="757">
        <f>E6</f>
        <v>5.4999999999999997E-3</v>
      </c>
      <c r="J6" t="s">
        <v>718</v>
      </c>
      <c r="K6" s="757">
        <f>E6</f>
        <v>5.4999999999999997E-3</v>
      </c>
    </row>
    <row r="7" spans="1:12" x14ac:dyDescent="0.25">
      <c r="A7" s="694"/>
      <c r="B7" s="694"/>
      <c r="C7" s="694"/>
      <c r="D7" t="s">
        <v>720</v>
      </c>
      <c r="E7" s="757">
        <v>5.4999999999999997E-3</v>
      </c>
      <c r="G7" t="s">
        <v>720</v>
      </c>
      <c r="H7" s="757">
        <f>E7</f>
        <v>5.4999999999999997E-3</v>
      </c>
      <c r="J7" t="s">
        <v>720</v>
      </c>
      <c r="K7" s="757">
        <f>E7</f>
        <v>5.4999999999999997E-3</v>
      </c>
    </row>
    <row r="8" spans="1:12" x14ac:dyDescent="0.25">
      <c r="D8" t="s">
        <v>804</v>
      </c>
      <c r="E8" s="757">
        <v>0</v>
      </c>
      <c r="G8" t="s">
        <v>804</v>
      </c>
      <c r="H8" s="757">
        <v>0</v>
      </c>
      <c r="J8" t="s">
        <v>804</v>
      </c>
      <c r="K8" s="757">
        <v>0</v>
      </c>
    </row>
    <row r="11" spans="1:12" x14ac:dyDescent="0.25">
      <c r="G11" s="4" t="s">
        <v>1001</v>
      </c>
    </row>
    <row r="13" spans="1:12" x14ac:dyDescent="0.25">
      <c r="G13" t="s">
        <v>951</v>
      </c>
      <c r="H13" s="606">
        <f>0.34-0.25</f>
        <v>9.0000000000000024E-2</v>
      </c>
      <c r="J13" s="2"/>
      <c r="L13" s="2"/>
    </row>
    <row r="14" spans="1:12" x14ac:dyDescent="0.25">
      <c r="G14" t="s">
        <v>739</v>
      </c>
      <c r="H14" s="606">
        <f>4.6*PI()/180</f>
        <v>8.0285145591739146E-2</v>
      </c>
      <c r="I14" t="s">
        <v>952</v>
      </c>
      <c r="J14" s="2"/>
      <c r="L14" s="2"/>
    </row>
    <row r="15" spans="1:12" x14ac:dyDescent="0.25">
      <c r="G15" t="s">
        <v>742</v>
      </c>
      <c r="H15" s="606">
        <f>-H14*H13</f>
        <v>-7.2256631032565251E-3</v>
      </c>
    </row>
    <row r="19" spans="1:18" x14ac:dyDescent="0.25">
      <c r="A19" s="716" t="s">
        <v>1070</v>
      </c>
    </row>
    <row r="20" spans="1:18" x14ac:dyDescent="0.25">
      <c r="A20" s="627" t="s">
        <v>880</v>
      </c>
      <c r="B20" s="628"/>
      <c r="C20" s="628"/>
      <c r="D20" s="610"/>
      <c r="E20" s="610"/>
      <c r="F20" s="610" t="s">
        <v>1042</v>
      </c>
      <c r="G20" s="610"/>
      <c r="H20" s="610"/>
      <c r="I20" s="610"/>
      <c r="J20" s="610"/>
      <c r="K20" s="610"/>
      <c r="L20" s="610"/>
      <c r="M20" s="610"/>
      <c r="N20" s="610"/>
      <c r="O20" s="610"/>
      <c r="P20" s="610"/>
      <c r="Q20" s="610"/>
      <c r="R20" s="610"/>
    </row>
    <row r="21" spans="1:18" x14ac:dyDescent="0.25">
      <c r="A21" s="629" t="s">
        <v>872</v>
      </c>
      <c r="B21" s="630"/>
      <c r="C21" s="630"/>
      <c r="D21" s="631"/>
      <c r="E21" s="631"/>
      <c r="F21" s="631"/>
      <c r="G21" s="631"/>
      <c r="H21" s="631"/>
      <c r="I21" s="631"/>
      <c r="J21" s="631"/>
      <c r="K21" s="631"/>
      <c r="L21" s="631"/>
      <c r="M21" s="631"/>
      <c r="N21" s="631"/>
      <c r="O21" s="631"/>
      <c r="P21" s="631"/>
      <c r="Q21" s="631"/>
      <c r="R21" s="631"/>
    </row>
    <row r="22" spans="1:18" x14ac:dyDescent="0.25">
      <c r="A22" s="606">
        <v>5.9</v>
      </c>
      <c r="B22" s="630"/>
      <c r="C22" s="630"/>
      <c r="D22" s="631" t="s">
        <v>653</v>
      </c>
      <c r="E22" s="631"/>
      <c r="F22" s="718" t="s">
        <v>1041</v>
      </c>
      <c r="G22" s="718"/>
      <c r="H22" s="631"/>
      <c r="I22" s="717"/>
      <c r="J22" s="631"/>
      <c r="K22" s="631"/>
      <c r="L22" s="717"/>
      <c r="M22" s="717"/>
      <c r="N22" s="717"/>
      <c r="O22" s="631"/>
      <c r="P22" s="631"/>
      <c r="Q22" s="631"/>
      <c r="R22" s="631"/>
    </row>
    <row r="23" spans="1:18" x14ac:dyDescent="0.25">
      <c r="A23" s="581" t="s">
        <v>873</v>
      </c>
      <c r="B23" s="571" t="s">
        <v>874</v>
      </c>
      <c r="C23" s="571" t="s">
        <v>875</v>
      </c>
      <c r="D23" s="571" t="s">
        <v>1038</v>
      </c>
      <c r="E23" s="571" t="s">
        <v>939</v>
      </c>
      <c r="F23" s="693" t="s">
        <v>725</v>
      </c>
      <c r="G23" s="571" t="s">
        <v>1040</v>
      </c>
      <c r="H23" s="571" t="s">
        <v>1039</v>
      </c>
      <c r="I23" s="571" t="s">
        <v>876</v>
      </c>
      <c r="J23" s="571" t="s">
        <v>930</v>
      </c>
      <c r="K23" s="571" t="s">
        <v>565</v>
      </c>
      <c r="L23" s="571" t="s">
        <v>804</v>
      </c>
      <c r="M23" s="571" t="s">
        <v>1113</v>
      </c>
      <c r="N23" s="571" t="s">
        <v>729</v>
      </c>
      <c r="O23" s="571" t="s">
        <v>968</v>
      </c>
      <c r="P23" s="571" t="s">
        <v>969</v>
      </c>
      <c r="Q23" s="571" t="s">
        <v>718</v>
      </c>
      <c r="R23" s="582" t="s">
        <v>720</v>
      </c>
    </row>
    <row r="24" spans="1:18" x14ac:dyDescent="0.25">
      <c r="A24" s="719">
        <v>3.1728633999999998</v>
      </c>
      <c r="B24" s="719">
        <v>0</v>
      </c>
      <c r="C24" s="719">
        <v>3.9167551999999999</v>
      </c>
      <c r="D24" s="719">
        <v>0.65</v>
      </c>
      <c r="E24" s="720">
        <v>3.8228633999999997</v>
      </c>
      <c r="F24" s="669">
        <v>0.25</v>
      </c>
      <c r="G24" s="669">
        <v>3.3353633999999999</v>
      </c>
      <c r="H24" s="720">
        <v>0.63425085048827801</v>
      </c>
      <c r="I24" s="719">
        <v>0</v>
      </c>
      <c r="J24" s="669">
        <v>5.9</v>
      </c>
      <c r="K24" s="719" t="s">
        <v>881</v>
      </c>
      <c r="L24" s="719">
        <v>0</v>
      </c>
      <c r="M24" s="719">
        <v>5.9690260418206069</v>
      </c>
      <c r="N24" s="719">
        <v>-0.15</v>
      </c>
      <c r="O24" s="719">
        <v>2.25</v>
      </c>
      <c r="P24" s="719">
        <v>-1.65</v>
      </c>
      <c r="Q24" s="719">
        <v>5.4999999999999997E-3</v>
      </c>
      <c r="R24" s="721">
        <v>5.4999999999999997E-3</v>
      </c>
    </row>
    <row r="25" spans="1:18" x14ac:dyDescent="0.25">
      <c r="A25" s="719">
        <v>3.3409681999999998</v>
      </c>
      <c r="B25" s="719">
        <v>0.67500000000000004</v>
      </c>
      <c r="C25" s="719">
        <v>3.8993831999999999</v>
      </c>
      <c r="D25" s="719">
        <v>0.58299999999999996</v>
      </c>
      <c r="E25" s="720">
        <v>3.9239682</v>
      </c>
      <c r="F25" s="669">
        <v>0.25</v>
      </c>
      <c r="G25" s="669">
        <v>3.4867181999999999</v>
      </c>
      <c r="H25" s="720">
        <v>0.56887422436102464</v>
      </c>
      <c r="I25" s="719">
        <v>0</v>
      </c>
      <c r="J25" s="669">
        <v>5.9</v>
      </c>
      <c r="K25" s="719" t="s">
        <v>881</v>
      </c>
      <c r="L25" s="719">
        <v>0</v>
      </c>
      <c r="M25" s="719">
        <v>5.9690260418206069</v>
      </c>
      <c r="N25" s="719">
        <v>-0.15</v>
      </c>
      <c r="O25" s="719">
        <v>2.25</v>
      </c>
      <c r="P25" s="719">
        <v>-1.65</v>
      </c>
      <c r="Q25" s="719">
        <v>5.4999999999999997E-3</v>
      </c>
      <c r="R25" s="721">
        <v>5.4999999999999997E-3</v>
      </c>
    </row>
    <row r="26" spans="1:18" x14ac:dyDescent="0.25">
      <c r="A26" s="719">
        <v>3.5120570999999998</v>
      </c>
      <c r="B26" s="719">
        <v>1.3599999999999999</v>
      </c>
      <c r="C26" s="719">
        <v>3.8817029000000001</v>
      </c>
      <c r="D26" s="719">
        <v>0.51400000000000001</v>
      </c>
      <c r="E26" s="720">
        <v>4.0260571000000001</v>
      </c>
      <c r="F26" s="669">
        <v>0.25</v>
      </c>
      <c r="G26" s="669">
        <v>3.6405570999999997</v>
      </c>
      <c r="H26" s="720">
        <v>0.50150823302632064</v>
      </c>
      <c r="I26" s="719">
        <v>0</v>
      </c>
      <c r="J26" s="669">
        <v>5.9</v>
      </c>
      <c r="K26" s="719" t="s">
        <v>881</v>
      </c>
      <c r="L26" s="719">
        <v>0</v>
      </c>
      <c r="M26" s="719">
        <v>5.9690260418206069</v>
      </c>
      <c r="N26" s="719">
        <v>-0.15</v>
      </c>
      <c r="O26" s="719">
        <v>2.25</v>
      </c>
      <c r="P26" s="719">
        <v>-1.65</v>
      </c>
      <c r="Q26" s="719">
        <v>5.4999999999999997E-3</v>
      </c>
      <c r="R26" s="721">
        <v>5.4999999999999997E-3</v>
      </c>
    </row>
    <row r="27" spans="1:18" x14ac:dyDescent="0.25">
      <c r="A27" s="719">
        <v>3.5607975000000001</v>
      </c>
      <c r="B27" s="719">
        <v>1.56</v>
      </c>
      <c r="C27" s="719">
        <v>3.8766661</v>
      </c>
      <c r="D27" s="719">
        <v>0.49399999999999999</v>
      </c>
      <c r="E27" s="720">
        <v>4.0547975000000003</v>
      </c>
      <c r="F27" s="669">
        <v>0.25</v>
      </c>
      <c r="G27" s="669">
        <v>3.6842975</v>
      </c>
      <c r="H27" s="720">
        <v>0.48259344391659614</v>
      </c>
      <c r="I27" s="719">
        <v>0</v>
      </c>
      <c r="J27" s="669">
        <v>5.9</v>
      </c>
      <c r="K27" s="719" t="s">
        <v>881</v>
      </c>
      <c r="L27" s="719">
        <v>0</v>
      </c>
      <c r="M27" s="719">
        <v>5.9690260418206069</v>
      </c>
      <c r="N27" s="719">
        <v>-0.15</v>
      </c>
      <c r="O27" s="719">
        <v>2.25</v>
      </c>
      <c r="P27" s="719">
        <v>-1.65</v>
      </c>
      <c r="Q27" s="719">
        <v>5.4999999999999997E-3</v>
      </c>
      <c r="R27" s="721">
        <v>5.4999999999999997E-3</v>
      </c>
    </row>
    <row r="28" spans="1:18" x14ac:dyDescent="0.25">
      <c r="A28" s="719">
        <v>3.6105326999999998</v>
      </c>
      <c r="B28" s="719">
        <v>1.76</v>
      </c>
      <c r="C28" s="719">
        <v>3.8715264999999999</v>
      </c>
      <c r="D28" s="719">
        <v>0.47399999999999998</v>
      </c>
      <c r="E28" s="720">
        <v>4.0845326999999996</v>
      </c>
      <c r="F28" s="669">
        <v>0.25</v>
      </c>
      <c r="G28" s="669">
        <v>3.7290326999999999</v>
      </c>
      <c r="H28" s="720">
        <v>0.46256981657431301</v>
      </c>
      <c r="I28" s="719">
        <v>0</v>
      </c>
      <c r="J28" s="669">
        <v>5.9</v>
      </c>
      <c r="K28" s="719" t="s">
        <v>881</v>
      </c>
      <c r="L28" s="719">
        <v>0</v>
      </c>
      <c r="M28" s="719">
        <v>5.9690260418206069</v>
      </c>
      <c r="N28" s="719">
        <v>-0.15</v>
      </c>
      <c r="O28" s="719">
        <v>2.25</v>
      </c>
      <c r="P28" s="719">
        <v>-1.65</v>
      </c>
      <c r="Q28" s="719">
        <v>5.4999999999999997E-3</v>
      </c>
      <c r="R28" s="721">
        <v>5.4999999999999997E-3</v>
      </c>
    </row>
    <row r="29" spans="1:18" x14ac:dyDescent="0.25">
      <c r="A29" s="719">
        <v>3.7647116</v>
      </c>
      <c r="B29" s="719">
        <v>2.38</v>
      </c>
      <c r="C29" s="719">
        <v>3.8555936000000002</v>
      </c>
      <c r="D29" s="719">
        <v>0.41199999999999992</v>
      </c>
      <c r="E29" s="720">
        <v>4.1767116</v>
      </c>
      <c r="F29" s="669">
        <v>0.25</v>
      </c>
      <c r="G29" s="669">
        <v>3.8677115999999998</v>
      </c>
      <c r="H29" s="720">
        <v>0.40206493424878254</v>
      </c>
      <c r="I29" s="719">
        <v>0</v>
      </c>
      <c r="J29" s="669">
        <v>5.9</v>
      </c>
      <c r="K29" s="719" t="s">
        <v>881</v>
      </c>
      <c r="L29" s="719">
        <v>0</v>
      </c>
      <c r="M29" s="719">
        <v>5.9690260418206069</v>
      </c>
      <c r="N29" s="719">
        <v>-0.15</v>
      </c>
      <c r="O29" s="719">
        <v>2.25</v>
      </c>
      <c r="P29" s="719">
        <v>-1.65</v>
      </c>
      <c r="Q29" s="719">
        <v>5.4999999999999997E-3</v>
      </c>
      <c r="R29" s="721">
        <v>5.4999999999999997E-3</v>
      </c>
    </row>
    <row r="30" spans="1:18" x14ac:dyDescent="0.25">
      <c r="A30" s="719">
        <v>3.9188906000000001</v>
      </c>
      <c r="B30" s="719">
        <v>3</v>
      </c>
      <c r="C30" s="719">
        <v>3.8966080000000001</v>
      </c>
      <c r="D30" s="719">
        <v>0.35</v>
      </c>
      <c r="E30" s="720">
        <v>4.2688905999999998</v>
      </c>
      <c r="F30" s="669">
        <v>0.25</v>
      </c>
      <c r="G30" s="669">
        <v>4.0063906000000005</v>
      </c>
      <c r="H30" s="720">
        <v>0.34156000522367291</v>
      </c>
      <c r="I30" s="719">
        <v>0</v>
      </c>
      <c r="J30" s="669">
        <v>5.9</v>
      </c>
      <c r="K30" s="719" t="s">
        <v>881</v>
      </c>
      <c r="L30" s="719">
        <v>0</v>
      </c>
      <c r="M30" s="719">
        <v>5.9690260418206069</v>
      </c>
      <c r="N30" s="719">
        <v>-0.15</v>
      </c>
      <c r="O30" s="719">
        <v>2.25</v>
      </c>
      <c r="P30" s="719">
        <v>-1.65</v>
      </c>
      <c r="Q30" s="719">
        <v>5.4999999999999997E-3</v>
      </c>
      <c r="R30" s="721">
        <v>5.4999999999999997E-3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0F7D-AA85-4D65-86C1-4AA5F4605FDB}">
  <dimension ref="A1:AR365"/>
  <sheetViews>
    <sheetView topLeftCell="Q33" zoomScale="85" zoomScaleNormal="85" workbookViewId="0">
      <selection activeCell="Z40" sqref="Z40"/>
    </sheetView>
  </sheetViews>
  <sheetFormatPr defaultRowHeight="15" x14ac:dyDescent="0.25"/>
  <cols>
    <col min="1" max="1" width="20.42578125" customWidth="1"/>
    <col min="2" max="2" width="11.7109375" customWidth="1"/>
    <col min="7" max="7" width="16.7109375" bestFit="1" customWidth="1"/>
    <col min="8" max="8" width="8.7109375" bestFit="1" customWidth="1"/>
    <col min="14" max="14" width="16.140625" customWidth="1"/>
    <col min="19" max="19" width="17.28515625" bestFit="1" customWidth="1"/>
    <col min="32" max="32" width="23.42578125" bestFit="1" customWidth="1"/>
    <col min="33" max="34" width="23.28515625" customWidth="1"/>
    <col min="39" max="39" width="10.28515625" customWidth="1"/>
  </cols>
  <sheetData>
    <row r="1" spans="1:14" x14ac:dyDescent="0.25">
      <c r="A1" s="4" t="s">
        <v>129</v>
      </c>
      <c r="B1" s="4"/>
      <c r="C1" s="4"/>
      <c r="D1" s="4"/>
    </row>
    <row r="2" spans="1:14" x14ac:dyDescent="0.25">
      <c r="A2" t="s">
        <v>1061</v>
      </c>
      <c r="B2" s="4"/>
      <c r="C2" s="4"/>
      <c r="D2" s="4"/>
      <c r="L2" s="4"/>
      <c r="N2" s="4"/>
    </row>
    <row r="3" spans="1:14" x14ac:dyDescent="0.25">
      <c r="A3" t="s">
        <v>1062</v>
      </c>
    </row>
    <row r="5" spans="1:14" x14ac:dyDescent="0.25">
      <c r="A5" s="4" t="s">
        <v>795</v>
      </c>
      <c r="K5" s="4"/>
    </row>
    <row r="6" spans="1:14" x14ac:dyDescent="0.25">
      <c r="A6" s="41" t="s">
        <v>152</v>
      </c>
      <c r="B6" t="s">
        <v>797</v>
      </c>
      <c r="C6" t="s">
        <v>798</v>
      </c>
      <c r="D6" t="s">
        <v>799</v>
      </c>
      <c r="E6" t="s">
        <v>804</v>
      </c>
    </row>
    <row r="7" spans="1:14" x14ac:dyDescent="0.25">
      <c r="A7" s="572" t="s">
        <v>796</v>
      </c>
      <c r="B7" s="573">
        <v>0</v>
      </c>
      <c r="C7" s="573">
        <v>0</v>
      </c>
      <c r="D7" s="573">
        <v>0</v>
      </c>
      <c r="E7" s="574">
        <v>0</v>
      </c>
    </row>
    <row r="8" spans="1:14" x14ac:dyDescent="0.25">
      <c r="A8" s="577" t="s">
        <v>800</v>
      </c>
      <c r="B8" s="595">
        <f>'Inputs-Imperial'!I67</f>
        <v>0.24606300000000003</v>
      </c>
      <c r="C8" s="595">
        <f>'Inputs-Imperial'!J67</f>
        <v>9.8425200000000004</v>
      </c>
      <c r="D8" s="578">
        <v>0</v>
      </c>
      <c r="E8" s="579">
        <v>0</v>
      </c>
      <c r="G8" t="s">
        <v>855</v>
      </c>
      <c r="K8" s="4"/>
    </row>
    <row r="9" spans="1:14" x14ac:dyDescent="0.25">
      <c r="A9" s="572" t="s">
        <v>801</v>
      </c>
      <c r="B9" s="602">
        <f>'Inputs-Imperial'!I66</f>
        <v>2.1325460000000001</v>
      </c>
      <c r="C9" s="602">
        <f>'Inputs-Imperial'!J66</f>
        <v>0</v>
      </c>
      <c r="D9" s="573">
        <v>0</v>
      </c>
      <c r="E9" s="574">
        <v>0</v>
      </c>
    </row>
    <row r="10" spans="1:14" x14ac:dyDescent="0.25">
      <c r="A10" s="577" t="s">
        <v>802</v>
      </c>
      <c r="B10" s="595">
        <f>'Inputs-Imperial'!I68</f>
        <v>1.3943569999999998</v>
      </c>
      <c r="C10" s="595">
        <f>'Inputs-Imperial'!J68</f>
        <v>9.8425200000000004</v>
      </c>
      <c r="D10" s="578">
        <v>0</v>
      </c>
      <c r="E10" s="579">
        <v>0</v>
      </c>
    </row>
    <row r="11" spans="1:14" x14ac:dyDescent="0.25">
      <c r="A11" s="4" t="s">
        <v>807</v>
      </c>
      <c r="N11" s="144"/>
    </row>
    <row r="12" spans="1:14" x14ac:dyDescent="0.25">
      <c r="A12" s="562" t="s">
        <v>808</v>
      </c>
      <c r="B12" s="722">
        <f>'Inputs-Imperial'!E12</f>
        <v>0.25</v>
      </c>
      <c r="C12" s="562" t="s">
        <v>803</v>
      </c>
      <c r="N12" s="144"/>
    </row>
    <row r="13" spans="1:14" x14ac:dyDescent="0.25">
      <c r="A13" s="562" t="s">
        <v>809</v>
      </c>
      <c r="B13" s="722">
        <f>'Inputs-Imperial'!E11</f>
        <v>0.18</v>
      </c>
      <c r="C13" s="562" t="s">
        <v>803</v>
      </c>
      <c r="N13" s="144"/>
    </row>
    <row r="14" spans="1:14" x14ac:dyDescent="0.25">
      <c r="A14" s="4"/>
    </row>
    <row r="34" spans="1:44" x14ac:dyDescent="0.25">
      <c r="A34" s="562" t="s">
        <v>811</v>
      </c>
      <c r="B34" s="730">
        <f>'REF - ASWING STRUCT-Imperial'!F41</f>
        <v>10</v>
      </c>
    </row>
    <row r="35" spans="1:44" x14ac:dyDescent="0.25">
      <c r="A35" s="562" t="s">
        <v>812</v>
      </c>
      <c r="B35" s="730">
        <f>'REF - ASWING STRUCT-Imperial'!F42</f>
        <v>0.01</v>
      </c>
    </row>
    <row r="36" spans="1:44" x14ac:dyDescent="0.25">
      <c r="A36" s="562" t="s">
        <v>703</v>
      </c>
      <c r="B36" s="730">
        <f>'REF - ASWING STRUCT-Imperial'!F43</f>
        <v>2E-3</v>
      </c>
      <c r="C36" t="s">
        <v>857</v>
      </c>
    </row>
    <row r="37" spans="1:44" x14ac:dyDescent="0.25">
      <c r="A37" s="562" t="s">
        <v>706</v>
      </c>
      <c r="B37" s="730">
        <f>'REF - ASWING STRUCT-Imperial'!F44</f>
        <v>2E-3</v>
      </c>
      <c r="C37" t="s">
        <v>856</v>
      </c>
    </row>
    <row r="39" spans="1:44" x14ac:dyDescent="0.25">
      <c r="A39" s="562" t="s">
        <v>1115</v>
      </c>
      <c r="B39" s="562">
        <v>7</v>
      </c>
    </row>
    <row r="42" spans="1:44" ht="15.75" thickBot="1" x14ac:dyDescent="0.3"/>
    <row r="43" spans="1:44" x14ac:dyDescent="0.25">
      <c r="S43" s="4" t="s">
        <v>805</v>
      </c>
      <c r="AF43" s="4" t="s">
        <v>806</v>
      </c>
      <c r="AG43" s="4" t="s">
        <v>810</v>
      </c>
      <c r="AH43" s="4"/>
      <c r="AJ43" s="4"/>
      <c r="AK43" s="4"/>
      <c r="AM43" s="724" t="s">
        <v>1084</v>
      </c>
      <c r="AN43" s="490"/>
      <c r="AO43" s="725"/>
      <c r="AP43" s="490"/>
      <c r="AQ43" s="490"/>
      <c r="AR43" s="726"/>
    </row>
    <row r="44" spans="1:44" ht="15.75" thickBot="1" x14ac:dyDescent="0.3">
      <c r="A44" s="562" t="s">
        <v>176</v>
      </c>
      <c r="B44" s="141" t="s">
        <v>616</v>
      </c>
      <c r="C44" s="562" t="s">
        <v>646</v>
      </c>
      <c r="D44" s="562" t="s">
        <v>648</v>
      </c>
      <c r="E44" s="562" t="s">
        <v>650</v>
      </c>
      <c r="F44" s="601" t="s">
        <v>652</v>
      </c>
      <c r="G44" s="562" t="s">
        <v>655</v>
      </c>
      <c r="H44" s="562" t="s">
        <v>659</v>
      </c>
      <c r="I44" s="562" t="s">
        <v>661</v>
      </c>
      <c r="J44" s="562" t="s">
        <v>663</v>
      </c>
      <c r="K44" s="562" t="s">
        <v>665</v>
      </c>
      <c r="L44" s="562" t="s">
        <v>667</v>
      </c>
      <c r="M44" s="562" t="s">
        <v>608</v>
      </c>
      <c r="N44" s="562" t="s">
        <v>670</v>
      </c>
      <c r="O44" s="562" t="s">
        <v>672</v>
      </c>
      <c r="P44" s="562" t="s">
        <v>674</v>
      </c>
      <c r="Q44" s="562" t="s">
        <v>676</v>
      </c>
      <c r="R44" s="562" t="s">
        <v>678</v>
      </c>
      <c r="S44" s="562" t="s">
        <v>681</v>
      </c>
      <c r="T44" s="562" t="s">
        <v>683</v>
      </c>
      <c r="U44" s="562" t="s">
        <v>685</v>
      </c>
      <c r="V44" s="562" t="s">
        <v>687</v>
      </c>
      <c r="W44" s="562" t="s">
        <v>689</v>
      </c>
      <c r="X44" s="562" t="s">
        <v>691</v>
      </c>
      <c r="Y44" s="562" t="s">
        <v>693</v>
      </c>
      <c r="Z44" s="562" t="s">
        <v>695</v>
      </c>
      <c r="AA44" s="562" t="s">
        <v>697</v>
      </c>
      <c r="AB44" s="562" t="s">
        <v>699</v>
      </c>
      <c r="AC44" s="562" t="s">
        <v>701</v>
      </c>
      <c r="AD44" s="562" t="s">
        <v>703</v>
      </c>
      <c r="AE44" s="562" t="s">
        <v>706</v>
      </c>
      <c r="AF44" s="562" t="s">
        <v>708</v>
      </c>
      <c r="AG44" s="562" t="s">
        <v>710</v>
      </c>
      <c r="AH44" s="562" t="s">
        <v>712</v>
      </c>
      <c r="AI44" s="562" t="s">
        <v>716</v>
      </c>
      <c r="AJ44" s="562" t="s">
        <v>718</v>
      </c>
      <c r="AK44" s="562" t="s">
        <v>720</v>
      </c>
      <c r="AL44" s="723" t="s">
        <v>722</v>
      </c>
      <c r="AM44" s="727" t="s">
        <v>725</v>
      </c>
      <c r="AN44" s="728" t="s">
        <v>727</v>
      </c>
      <c r="AO44" s="728" t="s">
        <v>729</v>
      </c>
      <c r="AP44" s="728" t="s">
        <v>731</v>
      </c>
      <c r="AQ44" s="728" t="s">
        <v>733</v>
      </c>
      <c r="AR44" s="729" t="s">
        <v>735</v>
      </c>
    </row>
    <row r="45" spans="1:44" x14ac:dyDescent="0.25">
      <c r="A45">
        <f>Loads!A20</f>
        <v>0</v>
      </c>
      <c r="B45">
        <v>0</v>
      </c>
      <c r="C45">
        <f t="shared" ref="C45:C76" si="0">B45/$B$145*($B$8-$B$7)</f>
        <v>0</v>
      </c>
      <c r="D45">
        <f>Loads!B20</f>
        <v>0</v>
      </c>
      <c r="E45">
        <f t="shared" ref="E45:E76" si="1">D45/$D$145*($D$8-$D$7)</f>
        <v>0</v>
      </c>
      <c r="F45">
        <f t="shared" ref="F45:F76" si="2">($E$8-$E$7)*A45/$A$145</f>
        <v>0</v>
      </c>
      <c r="G45" s="560">
        <f>Stiffness!AQ44/144</f>
        <v>262052.17141507467</v>
      </c>
      <c r="H45" s="560">
        <f>Stiffness!AV44/144</f>
        <v>228442.69724356313</v>
      </c>
      <c r="I45">
        <v>0</v>
      </c>
      <c r="J45">
        <v>0</v>
      </c>
      <c r="K45">
        <v>0</v>
      </c>
      <c r="L45" s="560">
        <f>Stiffness!BC44/144</f>
        <v>3881429.0622416171</v>
      </c>
      <c r="M45">
        <v>0</v>
      </c>
      <c r="N45">
        <v>0</v>
      </c>
      <c r="O45">
        <v>0</v>
      </c>
      <c r="P45">
        <v>0</v>
      </c>
      <c r="Q45">
        <v>0</v>
      </c>
      <c r="R45">
        <f>R46*2-R47</f>
        <v>3.4710670762196592</v>
      </c>
      <c r="S45">
        <f ca="1">S46*2-S47</f>
        <v>0.39367348423389248</v>
      </c>
      <c r="T45" s="2">
        <v>0</v>
      </c>
      <c r="U45">
        <v>0</v>
      </c>
      <c r="V45">
        <v>0</v>
      </c>
      <c r="W45">
        <v>0</v>
      </c>
      <c r="X45">
        <v>0</v>
      </c>
      <c r="Y45">
        <v>0</v>
      </c>
      <c r="Z45">
        <f ca="1">Stiffness!CV44-AL45*AM45</f>
        <v>0.19193087158651834</v>
      </c>
      <c r="AA45">
        <v>0</v>
      </c>
      <c r="AB45">
        <v>0</v>
      </c>
      <c r="AC45" s="207">
        <v>0</v>
      </c>
      <c r="AD45">
        <f t="shared" ref="AD45:AD76" si="3">$B$36</f>
        <v>2E-3</v>
      </c>
      <c r="AE45">
        <f t="shared" ref="AE45:AE76" si="4">$B$37</f>
        <v>2E-3</v>
      </c>
      <c r="AF45">
        <f t="shared" ref="AF45:AF76" ca="1" si="5">AL45*$B$12-AL45*AM45</f>
        <v>0</v>
      </c>
      <c r="AG45">
        <f t="shared" ref="AG45:AG76" si="6">AL45*$B$13/2</f>
        <v>0.19192914</v>
      </c>
      <c r="AH45" s="565">
        <f>Sizing!AD60*(Sizing!CO60+Sizing!CP60) / (12^3)</f>
        <v>1.1864973329460205E-3</v>
      </c>
      <c r="AI45">
        <f>$C$24</f>
        <v>0</v>
      </c>
      <c r="AJ45">
        <f t="shared" ref="AJ45:AJ76" si="7">$B$18</f>
        <v>0</v>
      </c>
      <c r="AK45">
        <f t="shared" ref="AK45:AK76" si="8">$B$19</f>
        <v>0</v>
      </c>
      <c r="AL45" s="207">
        <f>Loads!C20</f>
        <v>2.1325460000000001</v>
      </c>
      <c r="AM45">
        <f ca="1">OFFSET('CANARD AERO'!$F$24,((ROW('CANARD AERO'!$A24)-ROW('CANARD AERO'!$A$24))*$B$39/100),0)</f>
        <v>0.25</v>
      </c>
      <c r="AN45" s="207">
        <f ca="1">OFFSET('CANARD AERO'!$J$24,((ROW('CANARD AERO'!$A24)-ROW('CANARD AERO'!$A$24))*$B$39/100),0)</f>
        <v>5.9</v>
      </c>
      <c r="AO45" s="207">
        <f ca="1">OFFSET('CANARD AERO'!$N$24,((ROW('CANARD AERO'!$A24)-ROW('CANARD AERO'!$A$24))*$B$39/100),0)</f>
        <v>-0.15</v>
      </c>
      <c r="AP45" s="207">
        <f ca="1">OFFSET('CANARD AERO'!$O$24,((ROW('CANARD AERO'!$A24)-ROW('CANARD AERO'!$A$24))*$B$39/100),0)</f>
        <v>2.25</v>
      </c>
      <c r="AQ45" s="207">
        <f ca="1">OFFSET('CANARD AERO'!$P$24,((ROW('CANARD AERO'!$A24)-ROW('CANARD AERO'!$A$24))*$B$39/100),0)</f>
        <v>-1.65</v>
      </c>
      <c r="AR45" s="8">
        <f ca="1">OFFSET('CANARD AERO'!$M$24,((ROW('CANARD AERO'!$A24)-ROW('CANARD AERO'!$A$24))*$B$39/100),0)</f>
        <v>5.9690260418206069</v>
      </c>
    </row>
    <row r="46" spans="1:44" x14ac:dyDescent="0.25">
      <c r="A46">
        <f>Loads!A21</f>
        <v>1</v>
      </c>
      <c r="B46">
        <v>1</v>
      </c>
      <c r="C46">
        <f t="shared" si="0"/>
        <v>2.4606300000000005E-3</v>
      </c>
      <c r="D46">
        <f>Loads!B21</f>
        <v>9.8425200000000004E-2</v>
      </c>
      <c r="E46">
        <f t="shared" si="1"/>
        <v>0</v>
      </c>
      <c r="F46">
        <f t="shared" si="2"/>
        <v>0</v>
      </c>
      <c r="G46" s="560">
        <f>Stiffness!AQ45/144</f>
        <v>258770.85011679374</v>
      </c>
      <c r="H46" s="560">
        <f>Stiffness!AV45/144</f>
        <v>226338.86165782411</v>
      </c>
      <c r="I46">
        <v>0</v>
      </c>
      <c r="J46">
        <v>0</v>
      </c>
      <c r="K46">
        <v>0</v>
      </c>
      <c r="L46" s="560">
        <f>Stiffness!BC45/144</f>
        <v>3827933.8606841615</v>
      </c>
      <c r="M46">
        <v>0</v>
      </c>
      <c r="N46">
        <v>0</v>
      </c>
      <c r="O46">
        <v>0</v>
      </c>
      <c r="P46">
        <v>0</v>
      </c>
      <c r="Q46">
        <v>0</v>
      </c>
      <c r="R46">
        <f>'Weight '!BT47*'Weight '!$E$36/Stiffness!D45</f>
        <v>3.4580714181024961</v>
      </c>
      <c r="S46">
        <f ca="1">'Weight '!BU47-$AL45*$AM45</f>
        <v>0.39151207251508235</v>
      </c>
      <c r="T46" s="2">
        <v>0</v>
      </c>
      <c r="U46">
        <v>0</v>
      </c>
      <c r="V46">
        <v>0</v>
      </c>
      <c r="W46">
        <v>0</v>
      </c>
      <c r="X46">
        <v>0</v>
      </c>
      <c r="Y46">
        <v>0</v>
      </c>
      <c r="Z46">
        <f ca="1">Stiffness!CV45-AL46*AM46</f>
        <v>0.19111190142364476</v>
      </c>
      <c r="AA46">
        <v>0</v>
      </c>
      <c r="AB46">
        <v>0</v>
      </c>
      <c r="AC46" s="207">
        <v>0</v>
      </c>
      <c r="AD46">
        <f t="shared" si="3"/>
        <v>2E-3</v>
      </c>
      <c r="AE46">
        <f t="shared" si="4"/>
        <v>2E-3</v>
      </c>
      <c r="AF46">
        <f t="shared" ca="1" si="5"/>
        <v>0</v>
      </c>
      <c r="AG46">
        <f t="shared" si="6"/>
        <v>0.19104331320000001</v>
      </c>
      <c r="AH46" s="565">
        <f>Sizing!AD61*(Sizing!CO61+Sizing!CP61) / (12^3)</f>
        <v>1.1755703243720727E-3</v>
      </c>
      <c r="AI46">
        <f t="shared" ref="AI46:AI109" si="9">$C$24</f>
        <v>0</v>
      </c>
      <c r="AJ46">
        <f t="shared" si="7"/>
        <v>0</v>
      </c>
      <c r="AK46">
        <f t="shared" si="8"/>
        <v>0</v>
      </c>
      <c r="AL46" s="207">
        <f>Loads!C21</f>
        <v>2.1227034800000002</v>
      </c>
      <c r="AM46">
        <f ca="1">OFFSET('CANARD AERO'!$F$24,((ROW('CANARD AERO'!$A25)-ROW('CANARD AERO'!$A$24))*$B$39/100),0)</f>
        <v>0.25</v>
      </c>
      <c r="AN46" s="207">
        <f ca="1">OFFSET('CANARD AERO'!$J$24,((ROW('CANARD AERO'!$A25)-ROW('CANARD AERO'!$A$24))*$B$39/100),0)</f>
        <v>5.9</v>
      </c>
      <c r="AO46" s="207">
        <f ca="1">OFFSET('CANARD AERO'!$N$24,((ROW('CANARD AERO'!$A25)-ROW('CANARD AERO'!$A$24))*$B$39/100),0)</f>
        <v>-0.15</v>
      </c>
      <c r="AP46" s="207">
        <f ca="1">OFFSET('CANARD AERO'!$O$24,((ROW('CANARD AERO'!$A25)-ROW('CANARD AERO'!$A$24))*$B$39/100),0)</f>
        <v>2.25</v>
      </c>
      <c r="AQ46" s="207">
        <f ca="1">OFFSET('CANARD AERO'!$P$24,((ROW('CANARD AERO'!$A25)-ROW('CANARD AERO'!$A$24))*$B$39/100),0)</f>
        <v>-1.65</v>
      </c>
      <c r="AR46" s="8">
        <f ca="1">OFFSET('CANARD AERO'!$M$24,((ROW('CANARD AERO'!$A25)-ROW('CANARD AERO'!$A$24))*$B$39/100),0)</f>
        <v>5.9690260418206069</v>
      </c>
    </row>
    <row r="47" spans="1:44" x14ac:dyDescent="0.25">
      <c r="A47">
        <f>Loads!A22</f>
        <v>2</v>
      </c>
      <c r="B47">
        <v>2</v>
      </c>
      <c r="C47">
        <f t="shared" si="0"/>
        <v>4.9212600000000011E-3</v>
      </c>
      <c r="D47">
        <f>Loads!B22</f>
        <v>0.19685040000000001</v>
      </c>
      <c r="E47">
        <f t="shared" si="1"/>
        <v>0</v>
      </c>
      <c r="F47">
        <f t="shared" si="2"/>
        <v>0</v>
      </c>
      <c r="G47" s="560">
        <f>Stiffness!AQ46/144</f>
        <v>255510.20220633291</v>
      </c>
      <c r="H47" s="560">
        <f>Stiffness!AV46/144</f>
        <v>224244.75854202689</v>
      </c>
      <c r="I47">
        <v>0</v>
      </c>
      <c r="J47">
        <v>0</v>
      </c>
      <c r="K47">
        <v>0</v>
      </c>
      <c r="L47" s="560">
        <f>Stiffness!BC46/144</f>
        <v>3774932.4574647197</v>
      </c>
      <c r="M47">
        <v>0</v>
      </c>
      <c r="N47">
        <v>0</v>
      </c>
      <c r="O47">
        <v>0</v>
      </c>
      <c r="P47">
        <v>0</v>
      </c>
      <c r="Q47">
        <v>0</v>
      </c>
      <c r="R47">
        <f>'Weight '!BT48*'Weight '!$E$36/Stiffness!D46</f>
        <v>3.445075759985333</v>
      </c>
      <c r="S47">
        <f ca="1">'Weight '!BU48-$AL46*$AM46</f>
        <v>0.38935066079627223</v>
      </c>
      <c r="T47" s="2">
        <v>0</v>
      </c>
      <c r="U47">
        <v>0</v>
      </c>
      <c r="V47">
        <v>0</v>
      </c>
      <c r="W47">
        <v>0</v>
      </c>
      <c r="X47">
        <v>0</v>
      </c>
      <c r="Y47">
        <v>0</v>
      </c>
      <c r="Z47">
        <f ca="1">Stiffness!CV46-AL47*AM47</f>
        <v>0.19029410227508892</v>
      </c>
      <c r="AA47">
        <v>0</v>
      </c>
      <c r="AB47">
        <v>0</v>
      </c>
      <c r="AC47" s="207">
        <v>0</v>
      </c>
      <c r="AD47">
        <f t="shared" si="3"/>
        <v>2E-3</v>
      </c>
      <c r="AE47">
        <f t="shared" si="4"/>
        <v>2E-3</v>
      </c>
      <c r="AF47">
        <f t="shared" ca="1" si="5"/>
        <v>0</v>
      </c>
      <c r="AG47">
        <f t="shared" si="6"/>
        <v>0.19015748639999999</v>
      </c>
      <c r="AH47" s="565">
        <f>Sizing!AD62*(Sizing!CO62+Sizing!CP62) / (12^3)</f>
        <v>1.1646938647969245E-3</v>
      </c>
      <c r="AI47">
        <f t="shared" si="9"/>
        <v>0</v>
      </c>
      <c r="AJ47">
        <f t="shared" si="7"/>
        <v>0</v>
      </c>
      <c r="AK47">
        <f t="shared" si="8"/>
        <v>0</v>
      </c>
      <c r="AL47" s="207">
        <f>Loads!C22</f>
        <v>2.1128609599999999</v>
      </c>
      <c r="AM47">
        <f ca="1">OFFSET('CANARD AERO'!$F$24,((ROW('CANARD AERO'!$A26)-ROW('CANARD AERO'!$A$24))*$B$39/100),0)</f>
        <v>0.25</v>
      </c>
      <c r="AN47" s="207">
        <f ca="1">OFFSET('CANARD AERO'!$J$24,((ROW('CANARD AERO'!$A26)-ROW('CANARD AERO'!$A$24))*$B$39/100),0)</f>
        <v>5.9</v>
      </c>
      <c r="AO47" s="207">
        <f ca="1">OFFSET('CANARD AERO'!$N$24,((ROW('CANARD AERO'!$A26)-ROW('CANARD AERO'!$A$24))*$B$39/100),0)</f>
        <v>-0.15</v>
      </c>
      <c r="AP47" s="207">
        <f ca="1">OFFSET('CANARD AERO'!$O$24,((ROW('CANARD AERO'!$A26)-ROW('CANARD AERO'!$A$24))*$B$39/100),0)</f>
        <v>2.25</v>
      </c>
      <c r="AQ47" s="207">
        <f ca="1">OFFSET('CANARD AERO'!$P$24,((ROW('CANARD AERO'!$A26)-ROW('CANARD AERO'!$A$24))*$B$39/100),0)</f>
        <v>-1.65</v>
      </c>
      <c r="AR47" s="8">
        <f ca="1">OFFSET('CANARD AERO'!$M$24,((ROW('CANARD AERO'!$A26)-ROW('CANARD AERO'!$A$24))*$B$39/100),0)</f>
        <v>5.9690260418206069</v>
      </c>
    </row>
    <row r="48" spans="1:44" x14ac:dyDescent="0.25">
      <c r="A48">
        <f>Loads!A23</f>
        <v>3</v>
      </c>
      <c r="B48">
        <v>3</v>
      </c>
      <c r="C48">
        <f t="shared" si="0"/>
        <v>7.3818900000000003E-3</v>
      </c>
      <c r="D48">
        <f>Loads!B23</f>
        <v>0.29527560000000003</v>
      </c>
      <c r="E48">
        <f t="shared" si="1"/>
        <v>0</v>
      </c>
      <c r="F48">
        <f t="shared" si="2"/>
        <v>0</v>
      </c>
      <c r="G48" s="560">
        <f>Stiffness!AQ47/144</f>
        <v>252270.2276836923</v>
      </c>
      <c r="H48" s="560">
        <f>Stiffness!AV47/144</f>
        <v>222160.38789617151</v>
      </c>
      <c r="I48">
        <v>0</v>
      </c>
      <c r="J48">
        <v>0</v>
      </c>
      <c r="K48">
        <v>0</v>
      </c>
      <c r="L48" s="560">
        <f>Stiffness!BC47/144</f>
        <v>3722422.5629464821</v>
      </c>
      <c r="M48">
        <v>0</v>
      </c>
      <c r="N48">
        <v>0</v>
      </c>
      <c r="O48">
        <v>0</v>
      </c>
      <c r="P48">
        <v>0</v>
      </c>
      <c r="Q48">
        <v>0</v>
      </c>
      <c r="R48">
        <f>'Weight '!BT49*'Weight '!$E$36/Stiffness!D47</f>
        <v>3.4320801018681721</v>
      </c>
      <c r="S48">
        <f ca="1">'Weight '!BU49-$AL47*$AM47</f>
        <v>0.38718984441006477</v>
      </c>
      <c r="T48" s="2">
        <v>0</v>
      </c>
      <c r="U48">
        <v>0</v>
      </c>
      <c r="V48">
        <v>0</v>
      </c>
      <c r="W48">
        <v>0</v>
      </c>
      <c r="X48">
        <v>0</v>
      </c>
      <c r="Y48">
        <v>0</v>
      </c>
      <c r="Z48">
        <f ca="1">Stiffness!CV47-AL48*AM48</f>
        <v>0.18947748666554032</v>
      </c>
      <c r="AA48">
        <v>0</v>
      </c>
      <c r="AB48">
        <v>0</v>
      </c>
      <c r="AC48" s="207">
        <v>0</v>
      </c>
      <c r="AD48">
        <f t="shared" si="3"/>
        <v>2E-3</v>
      </c>
      <c r="AE48">
        <f t="shared" si="4"/>
        <v>2E-3</v>
      </c>
      <c r="AF48">
        <f t="shared" ca="1" si="5"/>
        <v>0</v>
      </c>
      <c r="AG48">
        <f t="shared" si="6"/>
        <v>0.1892716596</v>
      </c>
      <c r="AH48" s="565">
        <f>Sizing!AD63*(Sizing!CO63+Sizing!CP63) / (12^3)</f>
        <v>1.1538679542205772E-3</v>
      </c>
      <c r="AI48">
        <f t="shared" si="9"/>
        <v>0</v>
      </c>
      <c r="AJ48">
        <f t="shared" si="7"/>
        <v>0</v>
      </c>
      <c r="AK48">
        <f t="shared" si="8"/>
        <v>0</v>
      </c>
      <c r="AL48" s="207">
        <f>Loads!C23</f>
        <v>2.10301844</v>
      </c>
      <c r="AM48">
        <f ca="1">OFFSET('CANARD AERO'!$F$24,((ROW('CANARD AERO'!$A27)-ROW('CANARD AERO'!$A$24))*$B$39/100),0)</f>
        <v>0.25</v>
      </c>
      <c r="AN48" s="207">
        <f ca="1">OFFSET('CANARD AERO'!$J$24,((ROW('CANARD AERO'!$A27)-ROW('CANARD AERO'!$A$24))*$B$39/100),0)</f>
        <v>5.9</v>
      </c>
      <c r="AO48" s="207">
        <f ca="1">OFFSET('CANARD AERO'!$N$24,((ROW('CANARD AERO'!$A27)-ROW('CANARD AERO'!$A$24))*$B$39/100),0)</f>
        <v>-0.15</v>
      </c>
      <c r="AP48" s="207">
        <f ca="1">OFFSET('CANARD AERO'!$O$24,((ROW('CANARD AERO'!$A27)-ROW('CANARD AERO'!$A$24))*$B$39/100),0)</f>
        <v>2.25</v>
      </c>
      <c r="AQ48" s="207">
        <f ca="1">OFFSET('CANARD AERO'!$P$24,((ROW('CANARD AERO'!$A27)-ROW('CANARD AERO'!$A$24))*$B$39/100),0)</f>
        <v>-1.65</v>
      </c>
      <c r="AR48" s="8">
        <f ca="1">OFFSET('CANARD AERO'!$M$24,((ROW('CANARD AERO'!$A27)-ROW('CANARD AERO'!$A$24))*$B$39/100),0)</f>
        <v>5.9690260418206069</v>
      </c>
    </row>
    <row r="49" spans="1:44" x14ac:dyDescent="0.25">
      <c r="A49">
        <f>Loads!A24</f>
        <v>4</v>
      </c>
      <c r="B49">
        <v>4</v>
      </c>
      <c r="C49">
        <f t="shared" si="0"/>
        <v>9.8425200000000022E-3</v>
      </c>
      <c r="D49">
        <f>Loads!B24</f>
        <v>0.39370080000000002</v>
      </c>
      <c r="E49">
        <f t="shared" si="1"/>
        <v>0</v>
      </c>
      <c r="F49">
        <f t="shared" si="2"/>
        <v>0</v>
      </c>
      <c r="G49" s="560">
        <f>Stiffness!AQ48/144</f>
        <v>249050.92654887188</v>
      </c>
      <c r="H49" s="560">
        <f>Stiffness!AV48/144</f>
        <v>220085.74972025774</v>
      </c>
      <c r="I49">
        <v>0</v>
      </c>
      <c r="J49">
        <v>0</v>
      </c>
      <c r="K49">
        <v>0</v>
      </c>
      <c r="L49" s="560">
        <f>Stiffness!BC48/144</f>
        <v>3670401.8874926441</v>
      </c>
      <c r="M49">
        <v>0</v>
      </c>
      <c r="N49">
        <v>0</v>
      </c>
      <c r="O49">
        <v>0</v>
      </c>
      <c r="P49">
        <v>0</v>
      </c>
      <c r="Q49">
        <v>0</v>
      </c>
      <c r="R49">
        <f>'Weight '!BT50*'Weight '!$E$36/Stiffness!D48</f>
        <v>3.4190844437510091</v>
      </c>
      <c r="S49">
        <f ca="1">'Weight '!BU50-$AL48*$AM48</f>
        <v>0.38502963014488933</v>
      </c>
      <c r="T49" s="2">
        <v>0</v>
      </c>
      <c r="U49">
        <v>0</v>
      </c>
      <c r="V49">
        <v>0</v>
      </c>
      <c r="W49">
        <v>0</v>
      </c>
      <c r="X49">
        <v>0</v>
      </c>
      <c r="Y49">
        <v>0</v>
      </c>
      <c r="Z49">
        <f ca="1">Stiffness!CV48-AL49*AM49</f>
        <v>0.18866206708102262</v>
      </c>
      <c r="AA49">
        <v>0</v>
      </c>
      <c r="AB49">
        <v>0</v>
      </c>
      <c r="AC49" s="207">
        <v>0</v>
      </c>
      <c r="AD49">
        <f t="shared" si="3"/>
        <v>2E-3</v>
      </c>
      <c r="AE49">
        <f t="shared" si="4"/>
        <v>2E-3</v>
      </c>
      <c r="AF49">
        <f t="shared" ca="1" si="5"/>
        <v>0</v>
      </c>
      <c r="AG49">
        <f t="shared" si="6"/>
        <v>0.18838583280000001</v>
      </c>
      <c r="AH49" s="565">
        <f>Sizing!AD64*(Sizing!CO64+Sizing!CP64) / (12^3)</f>
        <v>1.1430925926430298E-3</v>
      </c>
      <c r="AI49">
        <f t="shared" si="9"/>
        <v>0</v>
      </c>
      <c r="AJ49">
        <f t="shared" si="7"/>
        <v>0</v>
      </c>
      <c r="AK49">
        <f t="shared" si="8"/>
        <v>0</v>
      </c>
      <c r="AL49" s="207">
        <f>Loads!C24</f>
        <v>2.0931759200000002</v>
      </c>
      <c r="AM49">
        <f ca="1">OFFSET('CANARD AERO'!$F$24,((ROW('CANARD AERO'!$A28)-ROW('CANARD AERO'!$A$24))*$B$39/100),0)</f>
        <v>0.25</v>
      </c>
      <c r="AN49" s="207">
        <f ca="1">OFFSET('CANARD AERO'!$J$24,((ROW('CANARD AERO'!$A28)-ROW('CANARD AERO'!$A$24))*$B$39/100),0)</f>
        <v>5.9</v>
      </c>
      <c r="AO49" s="207">
        <f ca="1">OFFSET('CANARD AERO'!$N$24,((ROW('CANARD AERO'!$A28)-ROW('CANARD AERO'!$A$24))*$B$39/100),0)</f>
        <v>-0.15</v>
      </c>
      <c r="AP49" s="207">
        <f ca="1">OFFSET('CANARD AERO'!$O$24,((ROW('CANARD AERO'!$A28)-ROW('CANARD AERO'!$A$24))*$B$39/100),0)</f>
        <v>2.25</v>
      </c>
      <c r="AQ49" s="207">
        <f ca="1">OFFSET('CANARD AERO'!$P$24,((ROW('CANARD AERO'!$A28)-ROW('CANARD AERO'!$A$24))*$B$39/100),0)</f>
        <v>-1.65</v>
      </c>
      <c r="AR49" s="8">
        <f ca="1">OFFSET('CANARD AERO'!$M$24,((ROW('CANARD AERO'!$A28)-ROW('CANARD AERO'!$A$24))*$B$39/100),0)</f>
        <v>5.9690260418206069</v>
      </c>
    </row>
    <row r="50" spans="1:44" x14ac:dyDescent="0.25">
      <c r="A50">
        <f>Loads!A25</f>
        <v>5</v>
      </c>
      <c r="B50">
        <v>5</v>
      </c>
      <c r="C50">
        <f t="shared" si="0"/>
        <v>1.2303150000000002E-2</v>
      </c>
      <c r="D50">
        <f>Loads!B25</f>
        <v>0.49212600000000006</v>
      </c>
      <c r="E50">
        <f t="shared" si="1"/>
        <v>0</v>
      </c>
      <c r="F50">
        <f t="shared" si="2"/>
        <v>0</v>
      </c>
      <c r="G50" s="560">
        <f>Stiffness!AQ49/144</f>
        <v>245852.29880187142</v>
      </c>
      <c r="H50" s="560">
        <f>Stiffness!AV49/144</f>
        <v>218020.84401428574</v>
      </c>
      <c r="I50">
        <v>0</v>
      </c>
      <c r="J50">
        <v>0</v>
      </c>
      <c r="K50">
        <v>0</v>
      </c>
      <c r="L50" s="560">
        <f>Stiffness!BC49/144</f>
        <v>3618868.1414663955</v>
      </c>
      <c r="M50">
        <v>0</v>
      </c>
      <c r="N50">
        <v>0</v>
      </c>
      <c r="O50">
        <v>0</v>
      </c>
      <c r="P50">
        <v>0</v>
      </c>
      <c r="Q50">
        <v>0</v>
      </c>
      <c r="R50">
        <f>'Weight '!BT51*'Weight '!$E$36/Stiffness!D49</f>
        <v>3.4060887856338469</v>
      </c>
      <c r="S50">
        <f ca="1">'Weight '!BU51-$AL49*$AM49</f>
        <v>0.38287002489277999</v>
      </c>
      <c r="T50" s="2">
        <v>0</v>
      </c>
      <c r="U50">
        <v>0</v>
      </c>
      <c r="V50">
        <v>0</v>
      </c>
      <c r="W50">
        <v>0</v>
      </c>
      <c r="X50">
        <v>0</v>
      </c>
      <c r="Y50">
        <v>0</v>
      </c>
      <c r="Z50">
        <f ca="1">Stiffness!CV49-AL50*AM50</f>
        <v>0.18784785596434617</v>
      </c>
      <c r="AA50">
        <v>0</v>
      </c>
      <c r="AB50">
        <v>0</v>
      </c>
      <c r="AC50" s="207">
        <v>0</v>
      </c>
      <c r="AD50">
        <f t="shared" si="3"/>
        <v>2E-3</v>
      </c>
      <c r="AE50">
        <f t="shared" si="4"/>
        <v>2E-3</v>
      </c>
      <c r="AF50">
        <f t="shared" ca="1" si="5"/>
        <v>0</v>
      </c>
      <c r="AG50">
        <f t="shared" si="6"/>
        <v>0.187500006</v>
      </c>
      <c r="AH50" s="565">
        <f>Sizing!AD65*(Sizing!CO65+Sizing!CP65) / (12^3)</f>
        <v>1.1323677800642816E-3</v>
      </c>
      <c r="AI50">
        <f t="shared" si="9"/>
        <v>0</v>
      </c>
      <c r="AJ50">
        <f t="shared" si="7"/>
        <v>0</v>
      </c>
      <c r="AK50">
        <f t="shared" si="8"/>
        <v>0</v>
      </c>
      <c r="AL50" s="207">
        <f>Loads!C25</f>
        <v>2.0833333999999999</v>
      </c>
      <c r="AM50">
        <f ca="1">OFFSET('CANARD AERO'!$F$24,((ROW('CANARD AERO'!$A29)-ROW('CANARD AERO'!$A$24))*$B$39/100),0)</f>
        <v>0.25</v>
      </c>
      <c r="AN50" s="207">
        <f ca="1">OFFSET('CANARD AERO'!$J$24,((ROW('CANARD AERO'!$A29)-ROW('CANARD AERO'!$A$24))*$B$39/100),0)</f>
        <v>5.9</v>
      </c>
      <c r="AO50" s="207">
        <f ca="1">OFFSET('CANARD AERO'!$N$24,((ROW('CANARD AERO'!$A29)-ROW('CANARD AERO'!$A$24))*$B$39/100),0)</f>
        <v>-0.15</v>
      </c>
      <c r="AP50" s="207">
        <f ca="1">OFFSET('CANARD AERO'!$O$24,((ROW('CANARD AERO'!$A29)-ROW('CANARD AERO'!$A$24))*$B$39/100),0)</f>
        <v>2.25</v>
      </c>
      <c r="AQ50" s="207">
        <f ca="1">OFFSET('CANARD AERO'!$P$24,((ROW('CANARD AERO'!$A29)-ROW('CANARD AERO'!$A$24))*$B$39/100),0)</f>
        <v>-1.65</v>
      </c>
      <c r="AR50" s="8">
        <f ca="1">OFFSET('CANARD AERO'!$M$24,((ROW('CANARD AERO'!$A29)-ROW('CANARD AERO'!$A$24))*$B$39/100),0)</f>
        <v>5.9690260418206069</v>
      </c>
    </row>
    <row r="51" spans="1:44" x14ac:dyDescent="0.25">
      <c r="A51">
        <f>Loads!A26</f>
        <v>6</v>
      </c>
      <c r="B51">
        <v>6</v>
      </c>
      <c r="C51">
        <f t="shared" si="0"/>
        <v>1.4763780000000001E-2</v>
      </c>
      <c r="D51">
        <f>Loads!B26</f>
        <v>0.59055120000000005</v>
      </c>
      <c r="E51">
        <f t="shared" si="1"/>
        <v>0</v>
      </c>
      <c r="F51">
        <f t="shared" si="2"/>
        <v>0</v>
      </c>
      <c r="G51" s="560">
        <f>Stiffness!AQ50/144</f>
        <v>242674.34444269139</v>
      </c>
      <c r="H51" s="560">
        <f>Stiffness!AV50/144</f>
        <v>215965.67077825556</v>
      </c>
      <c r="I51">
        <v>0</v>
      </c>
      <c r="J51">
        <v>0</v>
      </c>
      <c r="K51">
        <v>0</v>
      </c>
      <c r="L51" s="560">
        <f>Stiffness!BC50/144</f>
        <v>3567819.0352309323</v>
      </c>
      <c r="M51">
        <v>0</v>
      </c>
      <c r="N51">
        <v>0</v>
      </c>
      <c r="O51">
        <v>0</v>
      </c>
      <c r="P51">
        <v>0</v>
      </c>
      <c r="Q51">
        <v>0</v>
      </c>
      <c r="R51">
        <f>'Weight '!BT52*'Weight '!$E$36/Stiffness!D50</f>
        <v>3.3930931275166842</v>
      </c>
      <c r="S51">
        <f ca="1">'Weight '!BU52-$AL50*$AM50</f>
        <v>0.38071103565135689</v>
      </c>
      <c r="T51" s="2">
        <v>0</v>
      </c>
      <c r="U51">
        <v>0</v>
      </c>
      <c r="V51">
        <v>0</v>
      </c>
      <c r="W51">
        <v>0</v>
      </c>
      <c r="X51">
        <v>0</v>
      </c>
      <c r="Y51">
        <v>0</v>
      </c>
      <c r="Z51">
        <f ca="1">Stiffness!CV50-AL51*AM51</f>
        <v>0.18703486571045014</v>
      </c>
      <c r="AA51">
        <v>0</v>
      </c>
      <c r="AB51">
        <v>0</v>
      </c>
      <c r="AC51" s="207">
        <v>0</v>
      </c>
      <c r="AD51">
        <f t="shared" si="3"/>
        <v>2E-3</v>
      </c>
      <c r="AE51">
        <f t="shared" si="4"/>
        <v>2E-3</v>
      </c>
      <c r="AF51">
        <f t="shared" ca="1" si="5"/>
        <v>0</v>
      </c>
      <c r="AG51">
        <f t="shared" si="6"/>
        <v>0.18661417920000001</v>
      </c>
      <c r="AH51" s="565">
        <f>Sizing!AD66*(Sizing!CO66+Sizing!CP66) / (12^3)</f>
        <v>1.1216935164843342E-3</v>
      </c>
      <c r="AI51">
        <f t="shared" si="9"/>
        <v>0</v>
      </c>
      <c r="AJ51">
        <f t="shared" si="7"/>
        <v>0</v>
      </c>
      <c r="AK51">
        <f t="shared" si="8"/>
        <v>0</v>
      </c>
      <c r="AL51" s="207">
        <f>Loads!C26</f>
        <v>2.07349088</v>
      </c>
      <c r="AM51">
        <f ca="1">OFFSET('CANARD AERO'!$F$24,((ROW('CANARD AERO'!$A30)-ROW('CANARD AERO'!$A$24))*$B$39/100),0)</f>
        <v>0.25</v>
      </c>
      <c r="AN51" s="207">
        <f ca="1">OFFSET('CANARD AERO'!$J$24,((ROW('CANARD AERO'!$A30)-ROW('CANARD AERO'!$A$24))*$B$39/100),0)</f>
        <v>5.9</v>
      </c>
      <c r="AO51" s="207">
        <f ca="1">OFFSET('CANARD AERO'!$N$24,((ROW('CANARD AERO'!$A30)-ROW('CANARD AERO'!$A$24))*$B$39/100),0)</f>
        <v>-0.15</v>
      </c>
      <c r="AP51" s="207">
        <f ca="1">OFFSET('CANARD AERO'!$O$24,((ROW('CANARD AERO'!$A30)-ROW('CANARD AERO'!$A$24))*$B$39/100),0)</f>
        <v>2.25</v>
      </c>
      <c r="AQ51" s="207">
        <f ca="1">OFFSET('CANARD AERO'!$P$24,((ROW('CANARD AERO'!$A30)-ROW('CANARD AERO'!$A$24))*$B$39/100),0)</f>
        <v>-1.65</v>
      </c>
      <c r="AR51" s="8">
        <f ca="1">OFFSET('CANARD AERO'!$M$24,((ROW('CANARD AERO'!$A30)-ROW('CANARD AERO'!$A$24))*$B$39/100),0)</f>
        <v>5.9690260418206069</v>
      </c>
    </row>
    <row r="52" spans="1:44" x14ac:dyDescent="0.25">
      <c r="A52">
        <f>Loads!A27</f>
        <v>7</v>
      </c>
      <c r="B52">
        <v>7</v>
      </c>
      <c r="C52">
        <f t="shared" si="0"/>
        <v>1.7224410000000002E-2</v>
      </c>
      <c r="D52">
        <f>Loads!B27</f>
        <v>0.68897640000000004</v>
      </c>
      <c r="E52">
        <f t="shared" si="1"/>
        <v>0</v>
      </c>
      <c r="F52">
        <f t="shared" si="2"/>
        <v>0</v>
      </c>
      <c r="G52" s="560">
        <f>Stiffness!AQ51/144</f>
        <v>239517.06347133138</v>
      </c>
      <c r="H52" s="560">
        <f>Stiffness!AV51/144</f>
        <v>213920.23001216701</v>
      </c>
      <c r="I52">
        <v>0</v>
      </c>
      <c r="J52">
        <v>0</v>
      </c>
      <c r="K52">
        <v>0</v>
      </c>
      <c r="L52" s="560">
        <f>Stiffness!BC51/144</f>
        <v>3517252.279149449</v>
      </c>
      <c r="M52">
        <v>0</v>
      </c>
      <c r="N52">
        <v>0</v>
      </c>
      <c r="O52">
        <v>0</v>
      </c>
      <c r="P52">
        <v>0</v>
      </c>
      <c r="Q52">
        <v>0</v>
      </c>
      <c r="R52">
        <f>'Weight '!BT53*'Weight '!$E$36/Stiffness!D51</f>
        <v>3.3800974693995225</v>
      </c>
      <c r="S52">
        <f ca="1">'Weight '!BU53-$AL51*$AM51</f>
        <v>0.37855266952585609</v>
      </c>
      <c r="T52" s="2">
        <v>0</v>
      </c>
      <c r="U52">
        <v>0</v>
      </c>
      <c r="V52">
        <v>0</v>
      </c>
      <c r="W52">
        <v>0</v>
      </c>
      <c r="X52">
        <v>0</v>
      </c>
      <c r="Y52">
        <v>0</v>
      </c>
      <c r="Z52">
        <f ca="1">Stiffness!CV51-AL52*AM52</f>
        <v>0.18622310866163394</v>
      </c>
      <c r="AA52">
        <v>0</v>
      </c>
      <c r="AB52">
        <v>0</v>
      </c>
      <c r="AC52" s="207">
        <v>0</v>
      </c>
      <c r="AD52">
        <f t="shared" si="3"/>
        <v>2E-3</v>
      </c>
      <c r="AE52">
        <f t="shared" si="4"/>
        <v>2E-3</v>
      </c>
      <c r="AF52">
        <f t="shared" ca="1" si="5"/>
        <v>0</v>
      </c>
      <c r="AG52">
        <f t="shared" si="6"/>
        <v>0.18572835240000002</v>
      </c>
      <c r="AH52" s="565">
        <f>Sizing!AD67*(Sizing!CO67+Sizing!CP67) / (12^3)</f>
        <v>1.111069801903187E-3</v>
      </c>
      <c r="AI52">
        <f t="shared" si="9"/>
        <v>0</v>
      </c>
      <c r="AJ52">
        <f t="shared" si="7"/>
        <v>0</v>
      </c>
      <c r="AK52">
        <f t="shared" si="8"/>
        <v>0</v>
      </c>
      <c r="AL52" s="207">
        <f>Loads!C27</f>
        <v>2.0636483600000002</v>
      </c>
      <c r="AM52">
        <f ca="1">OFFSET('CANARD AERO'!$F$24,((ROW('CANARD AERO'!$A31)-ROW('CANARD AERO'!$A$24))*$B$39/100),0)</f>
        <v>0.25</v>
      </c>
      <c r="AN52" s="207">
        <f ca="1">OFFSET('CANARD AERO'!$J$24,((ROW('CANARD AERO'!$A31)-ROW('CANARD AERO'!$A$24))*$B$39/100),0)</f>
        <v>5.9</v>
      </c>
      <c r="AO52" s="207">
        <f ca="1">OFFSET('CANARD AERO'!$N$24,((ROW('CANARD AERO'!$A31)-ROW('CANARD AERO'!$A$24))*$B$39/100),0)</f>
        <v>-0.15</v>
      </c>
      <c r="AP52" s="207">
        <f ca="1">OFFSET('CANARD AERO'!$O$24,((ROW('CANARD AERO'!$A31)-ROW('CANARD AERO'!$A$24))*$B$39/100),0)</f>
        <v>2.25</v>
      </c>
      <c r="AQ52" s="207">
        <f ca="1">OFFSET('CANARD AERO'!$P$24,((ROW('CANARD AERO'!$A31)-ROW('CANARD AERO'!$A$24))*$B$39/100),0)</f>
        <v>-1.65</v>
      </c>
      <c r="AR52" s="8">
        <f ca="1">OFFSET('CANARD AERO'!$M$24,((ROW('CANARD AERO'!$A31)-ROW('CANARD AERO'!$A$24))*$B$39/100),0)</f>
        <v>5.9690260418206069</v>
      </c>
    </row>
    <row r="53" spans="1:44" x14ac:dyDescent="0.25">
      <c r="A53">
        <f>Loads!A28</f>
        <v>8</v>
      </c>
      <c r="B53">
        <v>8</v>
      </c>
      <c r="C53">
        <f t="shared" si="0"/>
        <v>1.9685040000000004E-2</v>
      </c>
      <c r="D53">
        <f>Loads!B28</f>
        <v>0.78740160000000003</v>
      </c>
      <c r="E53">
        <f t="shared" si="1"/>
        <v>0</v>
      </c>
      <c r="F53">
        <f t="shared" si="2"/>
        <v>0</v>
      </c>
      <c r="G53" s="560">
        <f>Stiffness!AQ52/144</f>
        <v>236380.4558877915</v>
      </c>
      <c r="H53" s="560">
        <f>Stiffness!AV52/144</f>
        <v>211884.52171602007</v>
      </c>
      <c r="I53">
        <v>0</v>
      </c>
      <c r="J53">
        <v>0</v>
      </c>
      <c r="K53">
        <v>0</v>
      </c>
      <c r="L53" s="560">
        <f>Stiffness!BC52/144</f>
        <v>3467165.5835851338</v>
      </c>
      <c r="M53">
        <v>0</v>
      </c>
      <c r="N53">
        <v>0</v>
      </c>
      <c r="O53">
        <v>0</v>
      </c>
      <c r="P53">
        <v>0</v>
      </c>
      <c r="Q53">
        <v>0</v>
      </c>
      <c r="R53">
        <f>'Weight '!BT54*'Weight '!$E$36/Stiffness!D52</f>
        <v>3.3671018112823607</v>
      </c>
      <c r="S53">
        <f ca="1">'Weight '!BU54-$AL52*$AM52</f>
        <v>0.37639493373120858</v>
      </c>
      <c r="T53" s="2">
        <v>0</v>
      </c>
      <c r="U53">
        <v>0</v>
      </c>
      <c r="V53">
        <v>0</v>
      </c>
      <c r="W53">
        <v>0</v>
      </c>
      <c r="X53">
        <v>0</v>
      </c>
      <c r="Y53">
        <v>0</v>
      </c>
      <c r="Z53">
        <f ca="1">Stiffness!CV52-AL53*AM53</f>
        <v>0.18541259710267577</v>
      </c>
      <c r="AA53">
        <v>0</v>
      </c>
      <c r="AB53">
        <v>0</v>
      </c>
      <c r="AC53" s="207">
        <v>0</v>
      </c>
      <c r="AD53">
        <f t="shared" si="3"/>
        <v>2E-3</v>
      </c>
      <c r="AE53">
        <f t="shared" si="4"/>
        <v>2E-3</v>
      </c>
      <c r="AF53">
        <f t="shared" ca="1" si="5"/>
        <v>0</v>
      </c>
      <c r="AG53">
        <f t="shared" si="6"/>
        <v>0.18484252559999997</v>
      </c>
      <c r="AH53" s="565">
        <f>Sizing!AD68*(Sizing!CO68+Sizing!CP68) / (12^3)</f>
        <v>1.1004966363208394E-3</v>
      </c>
      <c r="AI53">
        <f t="shared" si="9"/>
        <v>0</v>
      </c>
      <c r="AJ53">
        <f t="shared" si="7"/>
        <v>0</v>
      </c>
      <c r="AK53">
        <f t="shared" si="8"/>
        <v>0</v>
      </c>
      <c r="AL53" s="207">
        <f>Loads!C28</f>
        <v>2.0538058399999999</v>
      </c>
      <c r="AM53">
        <f ca="1">OFFSET('CANARD AERO'!$F$24,((ROW('CANARD AERO'!$A32)-ROW('CANARD AERO'!$A$24))*$B$39/100),0)</f>
        <v>0.25</v>
      </c>
      <c r="AN53" s="207">
        <f ca="1">OFFSET('CANARD AERO'!$J$24,((ROW('CANARD AERO'!$A32)-ROW('CANARD AERO'!$A$24))*$B$39/100),0)</f>
        <v>5.9</v>
      </c>
      <c r="AO53" s="207">
        <f ca="1">OFFSET('CANARD AERO'!$N$24,((ROW('CANARD AERO'!$A32)-ROW('CANARD AERO'!$A$24))*$B$39/100),0)</f>
        <v>-0.15</v>
      </c>
      <c r="AP53" s="207">
        <f ca="1">OFFSET('CANARD AERO'!$O$24,((ROW('CANARD AERO'!$A32)-ROW('CANARD AERO'!$A$24))*$B$39/100),0)</f>
        <v>2.25</v>
      </c>
      <c r="AQ53" s="207">
        <f ca="1">OFFSET('CANARD AERO'!$P$24,((ROW('CANARD AERO'!$A32)-ROW('CANARD AERO'!$A$24))*$B$39/100),0)</f>
        <v>-1.65</v>
      </c>
      <c r="AR53" s="8">
        <f ca="1">OFFSET('CANARD AERO'!$M$24,((ROW('CANARD AERO'!$A32)-ROW('CANARD AERO'!$A$24))*$B$39/100),0)</f>
        <v>5.9690260418206069</v>
      </c>
    </row>
    <row r="54" spans="1:44" x14ac:dyDescent="0.25">
      <c r="A54">
        <f>Loads!A29</f>
        <v>9</v>
      </c>
      <c r="B54">
        <v>9</v>
      </c>
      <c r="C54">
        <f t="shared" si="0"/>
        <v>2.2145670000000003E-2</v>
      </c>
      <c r="D54">
        <f>Loads!B29</f>
        <v>0.88582680000000003</v>
      </c>
      <c r="E54">
        <f t="shared" si="1"/>
        <v>0</v>
      </c>
      <c r="F54">
        <f t="shared" si="2"/>
        <v>0</v>
      </c>
      <c r="G54" s="560">
        <f>Stiffness!AQ53/144</f>
        <v>233264.52169207192</v>
      </c>
      <c r="H54" s="560">
        <f>Stiffness!AV53/144</f>
        <v>209858.54588981508</v>
      </c>
      <c r="I54">
        <v>0</v>
      </c>
      <c r="J54">
        <v>0</v>
      </c>
      <c r="K54">
        <v>0</v>
      </c>
      <c r="L54" s="560">
        <f>Stiffness!BC53/144</f>
        <v>3417556.6589011843</v>
      </c>
      <c r="M54">
        <v>0</v>
      </c>
      <c r="N54">
        <v>0</v>
      </c>
      <c r="O54">
        <v>0</v>
      </c>
      <c r="P54">
        <v>0</v>
      </c>
      <c r="Q54">
        <v>0</v>
      </c>
      <c r="R54">
        <f>'Weight '!BT55*'Weight '!$E$36/Stiffness!D53</f>
        <v>3.354106153165199</v>
      </c>
      <c r="S54">
        <f ca="1">'Weight '!BU55-$AL53*$AM53</f>
        <v>0.37423783559416257</v>
      </c>
      <c r="T54" s="2">
        <v>0</v>
      </c>
      <c r="U54">
        <v>0</v>
      </c>
      <c r="V54">
        <v>0</v>
      </c>
      <c r="W54">
        <v>0</v>
      </c>
      <c r="X54">
        <v>0</v>
      </c>
      <c r="Y54">
        <v>0</v>
      </c>
      <c r="Z54">
        <f ca="1">Stiffness!CV53-AL54*AM54</f>
        <v>0.18460334325583594</v>
      </c>
      <c r="AA54">
        <v>0</v>
      </c>
      <c r="AB54">
        <v>0</v>
      </c>
      <c r="AC54" s="207">
        <v>0</v>
      </c>
      <c r="AD54">
        <f t="shared" si="3"/>
        <v>2E-3</v>
      </c>
      <c r="AE54">
        <f t="shared" si="4"/>
        <v>2E-3</v>
      </c>
      <c r="AF54">
        <f t="shared" ca="1" si="5"/>
        <v>0</v>
      </c>
      <c r="AG54">
        <f t="shared" si="6"/>
        <v>0.18395669879999998</v>
      </c>
      <c r="AH54" s="565">
        <f>Sizing!AD69*(Sizing!CO69+Sizing!CP69) / (12^3)</f>
        <v>1.0899740197372922E-3</v>
      </c>
      <c r="AI54">
        <f t="shared" si="9"/>
        <v>0</v>
      </c>
      <c r="AJ54">
        <f t="shared" si="7"/>
        <v>0</v>
      </c>
      <c r="AK54">
        <f t="shared" si="8"/>
        <v>0</v>
      </c>
      <c r="AL54" s="207">
        <f>Loads!C29</f>
        <v>2.04396332</v>
      </c>
      <c r="AM54">
        <f ca="1">OFFSET('CANARD AERO'!$F$24,((ROW('CANARD AERO'!$A33)-ROW('CANARD AERO'!$A$24))*$B$39/100),0)</f>
        <v>0.25</v>
      </c>
      <c r="AN54" s="207">
        <f ca="1">OFFSET('CANARD AERO'!$J$24,((ROW('CANARD AERO'!$A33)-ROW('CANARD AERO'!$A$24))*$B$39/100),0)</f>
        <v>5.9</v>
      </c>
      <c r="AO54" s="207">
        <f ca="1">OFFSET('CANARD AERO'!$N$24,((ROW('CANARD AERO'!$A33)-ROW('CANARD AERO'!$A$24))*$B$39/100),0)</f>
        <v>-0.15</v>
      </c>
      <c r="AP54" s="207">
        <f ca="1">OFFSET('CANARD AERO'!$O$24,((ROW('CANARD AERO'!$A33)-ROW('CANARD AERO'!$A$24))*$B$39/100),0)</f>
        <v>2.25</v>
      </c>
      <c r="AQ54" s="207">
        <f ca="1">OFFSET('CANARD AERO'!$P$24,((ROW('CANARD AERO'!$A33)-ROW('CANARD AERO'!$A$24))*$B$39/100),0)</f>
        <v>-1.65</v>
      </c>
      <c r="AR54" s="8">
        <f ca="1">OFFSET('CANARD AERO'!$M$24,((ROW('CANARD AERO'!$A33)-ROW('CANARD AERO'!$A$24))*$B$39/100),0)</f>
        <v>5.9690260418206069</v>
      </c>
    </row>
    <row r="55" spans="1:44" x14ac:dyDescent="0.25">
      <c r="A55">
        <f>Loads!A30</f>
        <v>10</v>
      </c>
      <c r="B55">
        <v>10</v>
      </c>
      <c r="C55">
        <f t="shared" si="0"/>
        <v>2.4606300000000005E-2</v>
      </c>
      <c r="D55">
        <f>Loads!B30</f>
        <v>0.98425200000000013</v>
      </c>
      <c r="E55">
        <f t="shared" si="1"/>
        <v>0</v>
      </c>
      <c r="F55">
        <f t="shared" si="2"/>
        <v>0</v>
      </c>
      <c r="G55" s="560">
        <f>Stiffness!AQ54/144</f>
        <v>195640.45575249559</v>
      </c>
      <c r="H55" s="560">
        <f>Stiffness!AV54/144</f>
        <v>171423.48546339775</v>
      </c>
      <c r="I55">
        <v>0</v>
      </c>
      <c r="J55">
        <v>0</v>
      </c>
      <c r="K55">
        <v>0</v>
      </c>
      <c r="L55" s="560">
        <f>Stiffness!BC54/144</f>
        <v>3368423.2154607926</v>
      </c>
      <c r="M55">
        <v>0</v>
      </c>
      <c r="N55">
        <v>0</v>
      </c>
      <c r="O55">
        <v>0</v>
      </c>
      <c r="P55">
        <v>0</v>
      </c>
      <c r="Q55">
        <v>0</v>
      </c>
      <c r="R55">
        <f>'Weight '!BT56*'Weight '!$E$36/Stiffness!D54</f>
        <v>3.2230990584726915</v>
      </c>
      <c r="S55">
        <f ca="1">'Weight '!BU56-$AL54*$AM54</f>
        <v>0.38552152230115522</v>
      </c>
      <c r="T55" s="2">
        <v>0</v>
      </c>
      <c r="U55">
        <v>0</v>
      </c>
      <c r="V55">
        <v>0</v>
      </c>
      <c r="W55">
        <v>0</v>
      </c>
      <c r="X55">
        <v>0</v>
      </c>
      <c r="Y55">
        <v>0</v>
      </c>
      <c r="Z55">
        <f ca="1">Stiffness!CV54-AL55*AM55</f>
        <v>0.18379535927574331</v>
      </c>
      <c r="AA55">
        <v>0</v>
      </c>
      <c r="AB55">
        <v>0</v>
      </c>
      <c r="AC55" s="207">
        <v>0</v>
      </c>
      <c r="AD55">
        <f t="shared" si="3"/>
        <v>2E-3</v>
      </c>
      <c r="AE55">
        <f t="shared" si="4"/>
        <v>2E-3</v>
      </c>
      <c r="AF55">
        <f t="shared" ca="1" si="5"/>
        <v>0</v>
      </c>
      <c r="AG55">
        <f t="shared" si="6"/>
        <v>0.183070872</v>
      </c>
      <c r="AH55" s="565">
        <f>Sizing!AD70*(Sizing!CO70+Sizing!CP70) / (12^3)</f>
        <v>1.0795019521525448E-3</v>
      </c>
      <c r="AI55">
        <f t="shared" si="9"/>
        <v>0</v>
      </c>
      <c r="AJ55">
        <f t="shared" si="7"/>
        <v>0</v>
      </c>
      <c r="AK55">
        <f t="shared" si="8"/>
        <v>0</v>
      </c>
      <c r="AL55" s="207">
        <f>Loads!C30</f>
        <v>2.0341208000000002</v>
      </c>
      <c r="AM55">
        <f ca="1">OFFSET('CANARD AERO'!$F$24,((ROW('CANARD AERO'!$A34)-ROW('CANARD AERO'!$A$24))*$B$39/100),0)</f>
        <v>0.25</v>
      </c>
      <c r="AN55" s="207">
        <f ca="1">OFFSET('CANARD AERO'!$J$24,((ROW('CANARD AERO'!$A34)-ROW('CANARD AERO'!$A$24))*$B$39/100),0)</f>
        <v>5.9</v>
      </c>
      <c r="AO55" s="207">
        <f ca="1">OFFSET('CANARD AERO'!$N$24,((ROW('CANARD AERO'!$A34)-ROW('CANARD AERO'!$A$24))*$B$39/100),0)</f>
        <v>-0.15</v>
      </c>
      <c r="AP55" s="207">
        <f ca="1">OFFSET('CANARD AERO'!$O$24,((ROW('CANARD AERO'!$A34)-ROW('CANARD AERO'!$A$24))*$B$39/100),0)</f>
        <v>2.25</v>
      </c>
      <c r="AQ55" s="207">
        <f ca="1">OFFSET('CANARD AERO'!$P$24,((ROW('CANARD AERO'!$A34)-ROW('CANARD AERO'!$A$24))*$B$39/100),0)</f>
        <v>-1.65</v>
      </c>
      <c r="AR55" s="8">
        <f ca="1">OFFSET('CANARD AERO'!$M$24,((ROW('CANARD AERO'!$A34)-ROW('CANARD AERO'!$A$24))*$B$39/100),0)</f>
        <v>5.9690260418206069</v>
      </c>
    </row>
    <row r="56" spans="1:44" x14ac:dyDescent="0.25">
      <c r="A56">
        <f>Loads!A31</f>
        <v>11</v>
      </c>
      <c r="B56">
        <v>11</v>
      </c>
      <c r="C56">
        <f t="shared" si="0"/>
        <v>2.7066930000000003E-2</v>
      </c>
      <c r="D56">
        <f>Loads!B31</f>
        <v>1.0826772</v>
      </c>
      <c r="E56">
        <f t="shared" si="1"/>
        <v>0</v>
      </c>
      <c r="F56">
        <f t="shared" si="2"/>
        <v>0</v>
      </c>
      <c r="G56" s="560">
        <f>Stiffness!AQ55/144</f>
        <v>193076.55613568833</v>
      </c>
      <c r="H56" s="560">
        <f>Stiffness!AV55/144</f>
        <v>169768.56206445221</v>
      </c>
      <c r="I56">
        <v>0</v>
      </c>
      <c r="J56">
        <v>0</v>
      </c>
      <c r="K56">
        <v>0</v>
      </c>
      <c r="L56" s="560">
        <f>Stiffness!BC55/144</f>
        <v>3319762.9636271498</v>
      </c>
      <c r="M56">
        <v>0</v>
      </c>
      <c r="N56">
        <v>0</v>
      </c>
      <c r="O56">
        <v>0</v>
      </c>
      <c r="P56">
        <v>0</v>
      </c>
      <c r="Q56">
        <v>0</v>
      </c>
      <c r="R56">
        <f>'Weight '!BT57*'Weight '!$E$36/Stiffness!D55</f>
        <v>3.2101034003555289</v>
      </c>
      <c r="S56">
        <f ca="1">'Weight '!BU57-$AL55*$AM55</f>
        <v>0.38334220831551247</v>
      </c>
      <c r="T56" s="2">
        <v>0</v>
      </c>
      <c r="U56">
        <v>0</v>
      </c>
      <c r="V56">
        <v>0</v>
      </c>
      <c r="W56">
        <v>0</v>
      </c>
      <c r="X56">
        <v>0</v>
      </c>
      <c r="Y56">
        <v>0</v>
      </c>
      <c r="Z56">
        <f ca="1">Stiffness!CV55-AL56*AM56</f>
        <v>0.18298865724416313</v>
      </c>
      <c r="AA56">
        <v>0</v>
      </c>
      <c r="AB56">
        <v>0</v>
      </c>
      <c r="AC56" s="207">
        <v>0</v>
      </c>
      <c r="AD56">
        <f t="shared" si="3"/>
        <v>2E-3</v>
      </c>
      <c r="AE56">
        <f t="shared" si="4"/>
        <v>2E-3</v>
      </c>
      <c r="AF56">
        <f t="shared" ca="1" si="5"/>
        <v>0</v>
      </c>
      <c r="AG56">
        <f t="shared" si="6"/>
        <v>0.18218504519999998</v>
      </c>
      <c r="AH56" s="565">
        <f>Sizing!AD71*(Sizing!CO71+Sizing!CP71) / (12^3)</f>
        <v>1.0690804335665976E-3</v>
      </c>
      <c r="AI56">
        <f t="shared" si="9"/>
        <v>0</v>
      </c>
      <c r="AJ56">
        <f t="shared" si="7"/>
        <v>0</v>
      </c>
      <c r="AK56">
        <f t="shared" si="8"/>
        <v>0</v>
      </c>
      <c r="AL56" s="207">
        <f>Loads!C31</f>
        <v>2.0242782799999999</v>
      </c>
      <c r="AM56">
        <f ca="1">OFFSET('CANARD AERO'!$F$24,((ROW('CANARD AERO'!$A35)-ROW('CANARD AERO'!$A$24))*$B$39/100),0)</f>
        <v>0.25</v>
      </c>
      <c r="AN56" s="207">
        <f ca="1">OFFSET('CANARD AERO'!$J$24,((ROW('CANARD AERO'!$A35)-ROW('CANARD AERO'!$A$24))*$B$39/100),0)</f>
        <v>5.9</v>
      </c>
      <c r="AO56" s="207">
        <f ca="1">OFFSET('CANARD AERO'!$N$24,((ROW('CANARD AERO'!$A35)-ROW('CANARD AERO'!$A$24))*$B$39/100),0)</f>
        <v>-0.15</v>
      </c>
      <c r="AP56" s="207">
        <f ca="1">OFFSET('CANARD AERO'!$O$24,((ROW('CANARD AERO'!$A35)-ROW('CANARD AERO'!$A$24))*$B$39/100),0)</f>
        <v>2.25</v>
      </c>
      <c r="AQ56" s="207">
        <f ca="1">OFFSET('CANARD AERO'!$P$24,((ROW('CANARD AERO'!$A35)-ROW('CANARD AERO'!$A$24))*$B$39/100),0)</f>
        <v>-1.65</v>
      </c>
      <c r="AR56" s="8">
        <f ca="1">OFFSET('CANARD AERO'!$M$24,((ROW('CANARD AERO'!$A35)-ROW('CANARD AERO'!$A$24))*$B$39/100),0)</f>
        <v>5.9690260418206069</v>
      </c>
    </row>
    <row r="57" spans="1:44" x14ac:dyDescent="0.25">
      <c r="A57">
        <f>Loads!A32</f>
        <v>12</v>
      </c>
      <c r="B57">
        <v>12</v>
      </c>
      <c r="C57">
        <f t="shared" si="0"/>
        <v>2.9527560000000001E-2</v>
      </c>
      <c r="D57">
        <f>Loads!B32</f>
        <v>1.1811024000000001</v>
      </c>
      <c r="E57">
        <f t="shared" si="1"/>
        <v>0</v>
      </c>
      <c r="F57">
        <f t="shared" si="2"/>
        <v>0</v>
      </c>
      <c r="G57" s="560">
        <f>Stiffness!AQ56/144</f>
        <v>190529.56767157282</v>
      </c>
      <c r="H57" s="560">
        <f>Stiffness!AV56/144</f>
        <v>168121.66577981031</v>
      </c>
      <c r="I57">
        <v>0</v>
      </c>
      <c r="J57">
        <v>0</v>
      </c>
      <c r="K57">
        <v>0</v>
      </c>
      <c r="L57" s="560">
        <f>Stiffness!BC56/144</f>
        <v>3271573.613763453</v>
      </c>
      <c r="M57">
        <v>0</v>
      </c>
      <c r="N57">
        <v>0</v>
      </c>
      <c r="O57">
        <v>0</v>
      </c>
      <c r="P57">
        <v>0</v>
      </c>
      <c r="Q57">
        <v>0</v>
      </c>
      <c r="R57">
        <f>'Weight '!BT58*'Weight '!$E$36/Stiffness!D56</f>
        <v>3.1971077422383671</v>
      </c>
      <c r="S57">
        <f ca="1">'Weight '!BU58-$AL56*$AM56</f>
        <v>0.38116338787773385</v>
      </c>
      <c r="T57" s="2">
        <v>0</v>
      </c>
      <c r="U57">
        <v>0</v>
      </c>
      <c r="V57">
        <v>0</v>
      </c>
      <c r="W57">
        <v>0</v>
      </c>
      <c r="X57">
        <v>0</v>
      </c>
      <c r="Y57">
        <v>0</v>
      </c>
      <c r="Z57">
        <f ca="1">Stiffness!CV56-AL57*AM57</f>
        <v>0.1821832491646439</v>
      </c>
      <c r="AA57">
        <v>0</v>
      </c>
      <c r="AB57">
        <v>0</v>
      </c>
      <c r="AC57" s="207">
        <v>0</v>
      </c>
      <c r="AD57">
        <f t="shared" si="3"/>
        <v>2E-3</v>
      </c>
      <c r="AE57">
        <f t="shared" si="4"/>
        <v>2E-3</v>
      </c>
      <c r="AF57">
        <f t="shared" ca="1" si="5"/>
        <v>0</v>
      </c>
      <c r="AG57">
        <f t="shared" si="6"/>
        <v>0.18129921839999999</v>
      </c>
      <c r="AH57" s="565">
        <f>Sizing!AD72*(Sizing!CO72+Sizing!CP72) / (12^3)</f>
        <v>1.0587094639794509E-3</v>
      </c>
      <c r="AI57">
        <f t="shared" si="9"/>
        <v>0</v>
      </c>
      <c r="AJ57">
        <f t="shared" si="7"/>
        <v>0</v>
      </c>
      <c r="AK57">
        <f t="shared" si="8"/>
        <v>0</v>
      </c>
      <c r="AL57" s="207">
        <f>Loads!C32</f>
        <v>2.01443576</v>
      </c>
      <c r="AM57">
        <f ca="1">OFFSET('CANARD AERO'!$F$24,((ROW('CANARD AERO'!$A36)-ROW('CANARD AERO'!$A$24))*$B$39/100),0)</f>
        <v>0.25</v>
      </c>
      <c r="AN57" s="207">
        <f ca="1">OFFSET('CANARD AERO'!$J$24,((ROW('CANARD AERO'!$A36)-ROW('CANARD AERO'!$A$24))*$B$39/100),0)</f>
        <v>5.9</v>
      </c>
      <c r="AO57" s="207">
        <f ca="1">OFFSET('CANARD AERO'!$N$24,((ROW('CANARD AERO'!$A36)-ROW('CANARD AERO'!$A$24))*$B$39/100),0)</f>
        <v>-0.15</v>
      </c>
      <c r="AP57" s="207">
        <f ca="1">OFFSET('CANARD AERO'!$O$24,((ROW('CANARD AERO'!$A36)-ROW('CANARD AERO'!$A$24))*$B$39/100),0)</f>
        <v>2.25</v>
      </c>
      <c r="AQ57" s="207">
        <f ca="1">OFFSET('CANARD AERO'!$P$24,((ROW('CANARD AERO'!$A36)-ROW('CANARD AERO'!$A$24))*$B$39/100),0)</f>
        <v>-1.65</v>
      </c>
      <c r="AR57" s="8">
        <f ca="1">OFFSET('CANARD AERO'!$M$24,((ROW('CANARD AERO'!$A36)-ROW('CANARD AERO'!$A$24))*$B$39/100),0)</f>
        <v>5.9690260418206069</v>
      </c>
    </row>
    <row r="58" spans="1:44" x14ac:dyDescent="0.25">
      <c r="A58">
        <f>Loads!A33</f>
        <v>13</v>
      </c>
      <c r="B58">
        <v>13</v>
      </c>
      <c r="C58">
        <f t="shared" si="0"/>
        <v>3.1988190000000007E-2</v>
      </c>
      <c r="D58">
        <f>Loads!B33</f>
        <v>1.2795276</v>
      </c>
      <c r="E58">
        <f t="shared" si="1"/>
        <v>0</v>
      </c>
      <c r="F58">
        <f t="shared" si="2"/>
        <v>0</v>
      </c>
      <c r="G58" s="560">
        <f>Stiffness!AQ57/144</f>
        <v>187999.49036014875</v>
      </c>
      <c r="H58" s="560">
        <f>Stiffness!AV57/144</f>
        <v>166482.79660947216</v>
      </c>
      <c r="I58">
        <v>0</v>
      </c>
      <c r="J58">
        <v>0</v>
      </c>
      <c r="K58">
        <v>0</v>
      </c>
      <c r="L58" s="560">
        <f>Stiffness!BC57/144</f>
        <v>3223852.8762328904</v>
      </c>
      <c r="M58">
        <v>0</v>
      </c>
      <c r="N58">
        <v>0</v>
      </c>
      <c r="O58">
        <v>0</v>
      </c>
      <c r="P58">
        <v>0</v>
      </c>
      <c r="Q58">
        <v>0</v>
      </c>
      <c r="R58">
        <f>'Weight '!BT59*'Weight '!$E$36/Stiffness!D57</f>
        <v>3.1841120841212049</v>
      </c>
      <c r="S58">
        <f ca="1">'Weight '!BU59-$AL57*$AM57</f>
        <v>0.37898506703092993</v>
      </c>
      <c r="T58" s="2">
        <v>0</v>
      </c>
      <c r="U58">
        <v>0</v>
      </c>
      <c r="V58">
        <v>0</v>
      </c>
      <c r="W58">
        <v>0</v>
      </c>
      <c r="X58">
        <v>0</v>
      </c>
      <c r="Y58">
        <v>0</v>
      </c>
      <c r="Z58">
        <f ca="1">Stiffness!CV57-AL58*AM58</f>
        <v>0.18137914695704105</v>
      </c>
      <c r="AA58">
        <v>0</v>
      </c>
      <c r="AB58">
        <v>0</v>
      </c>
      <c r="AC58" s="207">
        <v>0</v>
      </c>
      <c r="AD58">
        <f t="shared" si="3"/>
        <v>2E-3</v>
      </c>
      <c r="AE58">
        <f t="shared" si="4"/>
        <v>2E-3</v>
      </c>
      <c r="AF58">
        <f t="shared" ca="1" si="5"/>
        <v>0</v>
      </c>
      <c r="AG58">
        <f t="shared" si="6"/>
        <v>0.1804133916</v>
      </c>
      <c r="AH58" s="565">
        <f>Sizing!AD73*(Sizing!CO73+Sizing!CP73) / (12^3)</f>
        <v>1.0483890433911037E-3</v>
      </c>
      <c r="AI58">
        <f t="shared" si="9"/>
        <v>0</v>
      </c>
      <c r="AJ58">
        <f t="shared" si="7"/>
        <v>0</v>
      </c>
      <c r="AK58">
        <f t="shared" si="8"/>
        <v>0</v>
      </c>
      <c r="AL58" s="207">
        <f>Loads!C33</f>
        <v>2.0045932400000002</v>
      </c>
      <c r="AM58">
        <f ca="1">OFFSET('CANARD AERO'!$F$24,((ROW('CANARD AERO'!$A37)-ROW('CANARD AERO'!$A$24))*$B$39/100),0)</f>
        <v>0.25</v>
      </c>
      <c r="AN58" s="207">
        <f ca="1">OFFSET('CANARD AERO'!$J$24,((ROW('CANARD AERO'!$A37)-ROW('CANARD AERO'!$A$24))*$B$39/100),0)</f>
        <v>5.9</v>
      </c>
      <c r="AO58" s="207">
        <f ca="1">OFFSET('CANARD AERO'!$N$24,((ROW('CANARD AERO'!$A37)-ROW('CANARD AERO'!$A$24))*$B$39/100),0)</f>
        <v>-0.15</v>
      </c>
      <c r="AP58" s="207">
        <f ca="1">OFFSET('CANARD AERO'!$O$24,((ROW('CANARD AERO'!$A37)-ROW('CANARD AERO'!$A$24))*$B$39/100),0)</f>
        <v>2.25</v>
      </c>
      <c r="AQ58" s="207">
        <f ca="1">OFFSET('CANARD AERO'!$P$24,((ROW('CANARD AERO'!$A37)-ROW('CANARD AERO'!$A$24))*$B$39/100),0)</f>
        <v>-1.65</v>
      </c>
      <c r="AR58" s="8">
        <f ca="1">OFFSET('CANARD AERO'!$M$24,((ROW('CANARD AERO'!$A37)-ROW('CANARD AERO'!$A$24))*$B$39/100),0)</f>
        <v>5.9690260418206069</v>
      </c>
    </row>
    <row r="59" spans="1:44" x14ac:dyDescent="0.25">
      <c r="A59">
        <f>Loads!A34</f>
        <v>14</v>
      </c>
      <c r="B59">
        <v>14</v>
      </c>
      <c r="C59">
        <f t="shared" si="0"/>
        <v>3.4448820000000005E-2</v>
      </c>
      <c r="D59">
        <f>Loads!B34</f>
        <v>1.3779528000000001</v>
      </c>
      <c r="E59">
        <f t="shared" si="1"/>
        <v>0</v>
      </c>
      <c r="F59">
        <f t="shared" si="2"/>
        <v>0</v>
      </c>
      <c r="G59" s="560">
        <f>Stiffness!AQ58/144</f>
        <v>185486.32420141617</v>
      </c>
      <c r="H59" s="560">
        <f>Stiffness!AV58/144</f>
        <v>164851.95455343759</v>
      </c>
      <c r="I59">
        <v>0</v>
      </c>
      <c r="J59">
        <v>0</v>
      </c>
      <c r="K59">
        <v>0</v>
      </c>
      <c r="L59" s="560">
        <f>Stiffness!BC58/144</f>
        <v>3176598.4613986588</v>
      </c>
      <c r="M59">
        <v>0</v>
      </c>
      <c r="N59">
        <v>0</v>
      </c>
      <c r="O59">
        <v>0</v>
      </c>
      <c r="P59">
        <v>0</v>
      </c>
      <c r="Q59">
        <v>0</v>
      </c>
      <c r="R59">
        <f>'Weight '!BT60*'Weight '!$E$36/Stiffness!D58</f>
        <v>3.1711164260040428</v>
      </c>
      <c r="S59">
        <f ca="1">'Weight '!BU60-$AL58*$AM58</f>
        <v>0.37680725191727116</v>
      </c>
      <c r="T59" s="2">
        <v>0</v>
      </c>
      <c r="U59">
        <v>0</v>
      </c>
      <c r="V59">
        <v>0</v>
      </c>
      <c r="W59">
        <v>0</v>
      </c>
      <c r="X59">
        <v>0</v>
      </c>
      <c r="Y59">
        <v>0</v>
      </c>
      <c r="Z59">
        <f ca="1">Stiffness!CV58-AL59*AM59</f>
        <v>0.18057636245191655</v>
      </c>
      <c r="AA59">
        <v>0</v>
      </c>
      <c r="AB59">
        <v>0</v>
      </c>
      <c r="AC59" s="207">
        <v>0</v>
      </c>
      <c r="AD59">
        <f t="shared" si="3"/>
        <v>2E-3</v>
      </c>
      <c r="AE59">
        <f t="shared" si="4"/>
        <v>2E-3</v>
      </c>
      <c r="AF59">
        <f t="shared" ca="1" si="5"/>
        <v>0</v>
      </c>
      <c r="AG59">
        <f t="shared" si="6"/>
        <v>0.17952756479999998</v>
      </c>
      <c r="AH59" s="565">
        <f>Sizing!AD74*(Sizing!CO74+Sizing!CP74) / (12^3)</f>
        <v>1.0381191718015564E-3</v>
      </c>
      <c r="AI59">
        <f t="shared" si="9"/>
        <v>0</v>
      </c>
      <c r="AJ59">
        <f t="shared" si="7"/>
        <v>0</v>
      </c>
      <c r="AK59">
        <f t="shared" si="8"/>
        <v>0</v>
      </c>
      <c r="AL59" s="207">
        <f>Loads!C34</f>
        <v>1.9947507199999999</v>
      </c>
      <c r="AM59">
        <f ca="1">OFFSET('CANARD AERO'!$F$24,((ROW('CANARD AERO'!$A38)-ROW('CANARD AERO'!$A$24))*$B$39/100),0)</f>
        <v>0.25</v>
      </c>
      <c r="AN59" s="207">
        <f ca="1">OFFSET('CANARD AERO'!$J$24,((ROW('CANARD AERO'!$A38)-ROW('CANARD AERO'!$A$24))*$B$39/100),0)</f>
        <v>5.9</v>
      </c>
      <c r="AO59" s="207">
        <f ca="1">OFFSET('CANARD AERO'!$N$24,((ROW('CANARD AERO'!$A38)-ROW('CANARD AERO'!$A$24))*$B$39/100),0)</f>
        <v>-0.15</v>
      </c>
      <c r="AP59" s="207">
        <f ca="1">OFFSET('CANARD AERO'!$O$24,((ROW('CANARD AERO'!$A38)-ROW('CANARD AERO'!$A$24))*$B$39/100),0)</f>
        <v>2.25</v>
      </c>
      <c r="AQ59" s="207">
        <f ca="1">OFFSET('CANARD AERO'!$P$24,((ROW('CANARD AERO'!$A38)-ROW('CANARD AERO'!$A$24))*$B$39/100),0)</f>
        <v>-1.65</v>
      </c>
      <c r="AR59" s="8">
        <f ca="1">OFFSET('CANARD AERO'!$M$24,((ROW('CANARD AERO'!$A38)-ROW('CANARD AERO'!$A$24))*$B$39/100),0)</f>
        <v>5.9690260418206069</v>
      </c>
    </row>
    <row r="60" spans="1:44" x14ac:dyDescent="0.25">
      <c r="A60">
        <f>Loads!A35</f>
        <v>15</v>
      </c>
      <c r="B60">
        <v>15</v>
      </c>
      <c r="C60">
        <f t="shared" si="0"/>
        <v>3.6909450000000003E-2</v>
      </c>
      <c r="D60">
        <f>Loads!B35</f>
        <v>1.476378</v>
      </c>
      <c r="E60">
        <f t="shared" si="1"/>
        <v>0</v>
      </c>
      <c r="F60">
        <f t="shared" si="2"/>
        <v>0</v>
      </c>
      <c r="G60" s="560">
        <f>Stiffness!AQ59/144</f>
        <v>182990.06919537522</v>
      </c>
      <c r="H60" s="560">
        <f>Stiffness!AV59/144</f>
        <v>163229.13961170698</v>
      </c>
      <c r="I60">
        <v>0</v>
      </c>
      <c r="J60">
        <v>0</v>
      </c>
      <c r="K60">
        <v>0</v>
      </c>
      <c r="L60" s="560">
        <f>Stiffness!BC59/144</f>
        <v>3129808.079623953</v>
      </c>
      <c r="M60">
        <v>0</v>
      </c>
      <c r="N60">
        <v>0</v>
      </c>
      <c r="O60">
        <v>0</v>
      </c>
      <c r="P60">
        <v>0</v>
      </c>
      <c r="Q60">
        <v>0</v>
      </c>
      <c r="R60">
        <f>'Weight '!BT61*'Weight '!$E$36/Stiffness!D59</f>
        <v>3.1581207678868806</v>
      </c>
      <c r="S60">
        <f ca="1">'Weight '!BU61-$AL59*$AM59</f>
        <v>0.37462994878002953</v>
      </c>
      <c r="T60" s="2">
        <v>0</v>
      </c>
      <c r="U60">
        <v>0</v>
      </c>
      <c r="V60">
        <v>0</v>
      </c>
      <c r="W60">
        <v>0</v>
      </c>
      <c r="X60">
        <v>0</v>
      </c>
      <c r="Y60">
        <v>0</v>
      </c>
      <c r="Z60">
        <f ca="1">Stiffness!CV59-AL60*AM60</f>
        <v>0.17977490738481139</v>
      </c>
      <c r="AA60">
        <v>0</v>
      </c>
      <c r="AB60">
        <v>0</v>
      </c>
      <c r="AC60" s="207">
        <v>0</v>
      </c>
      <c r="AD60">
        <f t="shared" si="3"/>
        <v>2E-3</v>
      </c>
      <c r="AE60">
        <f t="shared" si="4"/>
        <v>2E-3</v>
      </c>
      <c r="AF60">
        <f t="shared" ca="1" si="5"/>
        <v>0</v>
      </c>
      <c r="AG60">
        <f t="shared" si="6"/>
        <v>0.17864173799999999</v>
      </c>
      <c r="AH60" s="565">
        <f>Sizing!AD75*(Sizing!CO75+Sizing!CP75) / (12^3)</f>
        <v>1.0278998492108098E-3</v>
      </c>
      <c r="AI60">
        <f t="shared" si="9"/>
        <v>0</v>
      </c>
      <c r="AJ60">
        <f t="shared" si="7"/>
        <v>0</v>
      </c>
      <c r="AK60">
        <f t="shared" si="8"/>
        <v>0</v>
      </c>
      <c r="AL60" s="207">
        <f>Loads!C35</f>
        <v>1.9849082</v>
      </c>
      <c r="AM60">
        <f ca="1">OFFSET('CANARD AERO'!$F$24,((ROW('CANARD AERO'!$A39)-ROW('CANARD AERO'!$A$24))*$B$39/100),0)</f>
        <v>0.25</v>
      </c>
      <c r="AN60" s="207">
        <f ca="1">OFFSET('CANARD AERO'!$J$24,((ROW('CANARD AERO'!$A39)-ROW('CANARD AERO'!$A$24))*$B$39/100),0)</f>
        <v>5.9</v>
      </c>
      <c r="AO60" s="207">
        <f ca="1">OFFSET('CANARD AERO'!$N$24,((ROW('CANARD AERO'!$A39)-ROW('CANARD AERO'!$A$24))*$B$39/100),0)</f>
        <v>-0.15</v>
      </c>
      <c r="AP60" s="207">
        <f ca="1">OFFSET('CANARD AERO'!$O$24,((ROW('CANARD AERO'!$A39)-ROW('CANARD AERO'!$A$24))*$B$39/100),0)</f>
        <v>2.25</v>
      </c>
      <c r="AQ60" s="207">
        <f ca="1">OFFSET('CANARD AERO'!$P$24,((ROW('CANARD AERO'!$A39)-ROW('CANARD AERO'!$A$24))*$B$39/100),0)</f>
        <v>-1.65</v>
      </c>
      <c r="AR60" s="8">
        <f ca="1">OFFSET('CANARD AERO'!$M$24,((ROW('CANARD AERO'!$A39)-ROW('CANARD AERO'!$A$24))*$B$39/100),0)</f>
        <v>5.9690260418206069</v>
      </c>
    </row>
    <row r="61" spans="1:44" x14ac:dyDescent="0.25">
      <c r="A61">
        <f>Loads!A36</f>
        <v>16</v>
      </c>
      <c r="B61">
        <v>16</v>
      </c>
      <c r="C61">
        <f t="shared" si="0"/>
        <v>3.9370080000000009E-2</v>
      </c>
      <c r="D61">
        <f>Loads!B36</f>
        <v>1.5748032000000001</v>
      </c>
      <c r="E61">
        <f t="shared" si="1"/>
        <v>0</v>
      </c>
      <c r="F61">
        <f t="shared" si="2"/>
        <v>0</v>
      </c>
      <c r="G61" s="560">
        <f>Stiffness!AQ60/144</f>
        <v>180510.72534202572</v>
      </c>
      <c r="H61" s="560">
        <f>Stiffness!AV60/144</f>
        <v>161614.35178427986</v>
      </c>
      <c r="I61">
        <v>0</v>
      </c>
      <c r="J61">
        <v>0</v>
      </c>
      <c r="K61">
        <v>0</v>
      </c>
      <c r="L61" s="560">
        <f>Stiffness!BC60/144</f>
        <v>3083479.4412719589</v>
      </c>
      <c r="M61">
        <v>0</v>
      </c>
      <c r="N61">
        <v>0</v>
      </c>
      <c r="O61">
        <v>0</v>
      </c>
      <c r="P61">
        <v>0</v>
      </c>
      <c r="Q61">
        <v>0</v>
      </c>
      <c r="R61">
        <f>'Weight '!BT62*'Weight '!$E$36/Stiffness!D60</f>
        <v>3.1451251097697188</v>
      </c>
      <c r="S61">
        <f ca="1">'Weight '!BU62-$AL60*$AM60</f>
        <v>0.37245316396566508</v>
      </c>
      <c r="T61" s="2">
        <v>0</v>
      </c>
      <c r="U61">
        <v>0</v>
      </c>
      <c r="V61">
        <v>0</v>
      </c>
      <c r="W61">
        <v>0</v>
      </c>
      <c r="X61">
        <v>0</v>
      </c>
      <c r="Y61">
        <v>0</v>
      </c>
      <c r="Z61">
        <f ca="1">Stiffness!CV60-AL61*AM61</f>
        <v>0.17897479339038902</v>
      </c>
      <c r="AA61">
        <v>0</v>
      </c>
      <c r="AB61">
        <v>0</v>
      </c>
      <c r="AC61" s="207">
        <v>0</v>
      </c>
      <c r="AD61">
        <f t="shared" si="3"/>
        <v>2E-3</v>
      </c>
      <c r="AE61">
        <f t="shared" si="4"/>
        <v>2E-3</v>
      </c>
      <c r="AF61">
        <f t="shared" ca="1" si="5"/>
        <v>0</v>
      </c>
      <c r="AG61">
        <f t="shared" si="6"/>
        <v>0.17775591120000001</v>
      </c>
      <c r="AH61" s="565">
        <f>Sizing!AD76*(Sizing!CO76+Sizing!CP76) / (12^3)</f>
        <v>1.017731075618863E-3</v>
      </c>
      <c r="AI61">
        <f t="shared" si="9"/>
        <v>0</v>
      </c>
      <c r="AJ61">
        <f t="shared" si="7"/>
        <v>0</v>
      </c>
      <c r="AK61">
        <f t="shared" si="8"/>
        <v>0</v>
      </c>
      <c r="AL61" s="207">
        <f>Loads!C36</f>
        <v>1.9750656800000002</v>
      </c>
      <c r="AM61">
        <f ca="1">OFFSET('CANARD AERO'!$F$24,((ROW('CANARD AERO'!$A40)-ROW('CANARD AERO'!$A$24))*$B$39/100),0)</f>
        <v>0.25</v>
      </c>
      <c r="AN61" s="207">
        <f ca="1">OFFSET('CANARD AERO'!$J$24,((ROW('CANARD AERO'!$A40)-ROW('CANARD AERO'!$A$24))*$B$39/100),0)</f>
        <v>5.9</v>
      </c>
      <c r="AO61" s="207">
        <f ca="1">OFFSET('CANARD AERO'!$N$24,((ROW('CANARD AERO'!$A40)-ROW('CANARD AERO'!$A$24))*$B$39/100),0)</f>
        <v>-0.15</v>
      </c>
      <c r="AP61" s="207">
        <f ca="1">OFFSET('CANARD AERO'!$O$24,((ROW('CANARD AERO'!$A40)-ROW('CANARD AERO'!$A$24))*$B$39/100),0)</f>
        <v>2.25</v>
      </c>
      <c r="AQ61" s="207">
        <f ca="1">OFFSET('CANARD AERO'!$P$24,((ROW('CANARD AERO'!$A40)-ROW('CANARD AERO'!$A$24))*$B$39/100),0)</f>
        <v>-1.65</v>
      </c>
      <c r="AR61" s="8">
        <f ca="1">OFFSET('CANARD AERO'!$M$24,((ROW('CANARD AERO'!$A40)-ROW('CANARD AERO'!$A$24))*$B$39/100),0)</f>
        <v>5.9690260418206069</v>
      </c>
    </row>
    <row r="62" spans="1:44" x14ac:dyDescent="0.25">
      <c r="A62">
        <f>Loads!A37</f>
        <v>17</v>
      </c>
      <c r="B62">
        <v>17</v>
      </c>
      <c r="C62">
        <f t="shared" si="0"/>
        <v>4.1830710000000007E-2</v>
      </c>
      <c r="D62">
        <f>Loads!B37</f>
        <v>1.6732284000000002</v>
      </c>
      <c r="E62">
        <f t="shared" si="1"/>
        <v>0</v>
      </c>
      <c r="F62">
        <f t="shared" si="2"/>
        <v>0</v>
      </c>
      <c r="G62" s="560">
        <f>Stiffness!AQ61/144</f>
        <v>178048.29264136773</v>
      </c>
      <c r="H62" s="560">
        <f>Stiffness!AV61/144</f>
        <v>160007.59107115646</v>
      </c>
      <c r="I62">
        <v>0</v>
      </c>
      <c r="J62">
        <v>0</v>
      </c>
      <c r="K62">
        <v>0</v>
      </c>
      <c r="L62" s="560">
        <f>Stiffness!BC61/144</f>
        <v>3037610.256705875</v>
      </c>
      <c r="M62">
        <v>0</v>
      </c>
      <c r="N62">
        <v>0</v>
      </c>
      <c r="O62">
        <v>0</v>
      </c>
      <c r="P62">
        <v>0</v>
      </c>
      <c r="Q62">
        <v>0</v>
      </c>
      <c r="R62">
        <f>'Weight '!BT63*'Weight '!$E$36/Stiffness!D61</f>
        <v>3.1321294516525562</v>
      </c>
      <c r="S62">
        <f ca="1">'Weight '!BU63-$AL61*$AM61</f>
        <v>0.37027690392596768</v>
      </c>
      <c r="T62" s="2">
        <v>0</v>
      </c>
      <c r="U62">
        <v>0</v>
      </c>
      <c r="V62">
        <v>0</v>
      </c>
      <c r="W62">
        <v>0</v>
      </c>
      <c r="X62">
        <v>0</v>
      </c>
      <c r="Y62">
        <v>0</v>
      </c>
      <c r="Z62">
        <f ca="1">Stiffness!CV61-AL62*AM62</f>
        <v>0.17817603199644788</v>
      </c>
      <c r="AA62">
        <v>0</v>
      </c>
      <c r="AB62">
        <v>0</v>
      </c>
      <c r="AC62" s="207">
        <v>0</v>
      </c>
      <c r="AD62">
        <f t="shared" si="3"/>
        <v>2E-3</v>
      </c>
      <c r="AE62">
        <f t="shared" si="4"/>
        <v>2E-3</v>
      </c>
      <c r="AF62">
        <f t="shared" ca="1" si="5"/>
        <v>0</v>
      </c>
      <c r="AG62">
        <f t="shared" si="6"/>
        <v>0.17687008439999999</v>
      </c>
      <c r="AH62" s="565">
        <f>Sizing!AD77*(Sizing!CO77+Sizing!CP77) / (12^3)</f>
        <v>1.007612851025716E-3</v>
      </c>
      <c r="AI62">
        <f t="shared" si="9"/>
        <v>0</v>
      </c>
      <c r="AJ62">
        <f t="shared" si="7"/>
        <v>0</v>
      </c>
      <c r="AK62">
        <f t="shared" si="8"/>
        <v>0</v>
      </c>
      <c r="AL62" s="207">
        <f>Loads!C37</f>
        <v>1.9652231600000001</v>
      </c>
      <c r="AM62">
        <f ca="1">OFFSET('CANARD AERO'!$F$24,((ROW('CANARD AERO'!$A41)-ROW('CANARD AERO'!$A$24))*$B$39/100),0)</f>
        <v>0.25</v>
      </c>
      <c r="AN62" s="207">
        <f ca="1">OFFSET('CANARD AERO'!$J$24,((ROW('CANARD AERO'!$A41)-ROW('CANARD AERO'!$A$24))*$B$39/100),0)</f>
        <v>5.9</v>
      </c>
      <c r="AO62" s="207">
        <f ca="1">OFFSET('CANARD AERO'!$N$24,((ROW('CANARD AERO'!$A41)-ROW('CANARD AERO'!$A$24))*$B$39/100),0)</f>
        <v>-0.15</v>
      </c>
      <c r="AP62" s="207">
        <f ca="1">OFFSET('CANARD AERO'!$O$24,((ROW('CANARD AERO'!$A41)-ROW('CANARD AERO'!$A$24))*$B$39/100),0)</f>
        <v>2.25</v>
      </c>
      <c r="AQ62" s="207">
        <f ca="1">OFFSET('CANARD AERO'!$P$24,((ROW('CANARD AERO'!$A41)-ROW('CANARD AERO'!$A$24))*$B$39/100),0)</f>
        <v>-1.65</v>
      </c>
      <c r="AR62" s="8">
        <f ca="1">OFFSET('CANARD AERO'!$M$24,((ROW('CANARD AERO'!$A41)-ROW('CANARD AERO'!$A$24))*$B$39/100),0)</f>
        <v>5.9690260418206069</v>
      </c>
    </row>
    <row r="63" spans="1:44" x14ac:dyDescent="0.25">
      <c r="A63">
        <f>Loads!A38</f>
        <v>18</v>
      </c>
      <c r="B63">
        <v>18</v>
      </c>
      <c r="C63">
        <f t="shared" si="0"/>
        <v>4.4291340000000005E-2</v>
      </c>
      <c r="D63">
        <f>Loads!B38</f>
        <v>1.7716536000000001</v>
      </c>
      <c r="E63">
        <f t="shared" si="1"/>
        <v>0</v>
      </c>
      <c r="F63">
        <f t="shared" si="2"/>
        <v>0</v>
      </c>
      <c r="G63" s="560">
        <f>Stiffness!AQ62/144</f>
        <v>175602.77109340127</v>
      </c>
      <c r="H63" s="560">
        <f>Stiffness!AV62/144</f>
        <v>158408.85747233682</v>
      </c>
      <c r="I63">
        <v>0</v>
      </c>
      <c r="J63">
        <v>0</v>
      </c>
      <c r="K63">
        <v>0</v>
      </c>
      <c r="L63" s="560">
        <f>Stiffness!BC62/144</f>
        <v>2992198.2362888977</v>
      </c>
      <c r="M63">
        <v>0</v>
      </c>
      <c r="N63">
        <v>0</v>
      </c>
      <c r="O63">
        <v>0</v>
      </c>
      <c r="P63">
        <v>0</v>
      </c>
      <c r="Q63">
        <v>0</v>
      </c>
      <c r="R63">
        <f>'Weight '!BT64*'Weight '!$E$36/Stiffness!D62</f>
        <v>3.1191337935353949</v>
      </c>
      <c r="S63">
        <f ca="1">'Weight '!BU64-$AL62*$AM62</f>
        <v>0.36810117522025049</v>
      </c>
      <c r="T63" s="2">
        <v>0</v>
      </c>
      <c r="U63">
        <v>0</v>
      </c>
      <c r="V63">
        <v>0</v>
      </c>
      <c r="W63">
        <v>0</v>
      </c>
      <c r="X63">
        <v>0</v>
      </c>
      <c r="Y63">
        <v>0</v>
      </c>
      <c r="Z63">
        <f ca="1">Stiffness!CV62-AL63*AM63</f>
        <v>0.17737863461780123</v>
      </c>
      <c r="AA63">
        <v>0</v>
      </c>
      <c r="AB63">
        <v>0</v>
      </c>
      <c r="AC63" s="207">
        <v>0</v>
      </c>
      <c r="AD63">
        <f t="shared" si="3"/>
        <v>2E-3</v>
      </c>
      <c r="AE63">
        <f t="shared" si="4"/>
        <v>2E-3</v>
      </c>
      <c r="AF63">
        <f t="shared" ca="1" si="5"/>
        <v>0</v>
      </c>
      <c r="AG63">
        <f t="shared" si="6"/>
        <v>0.1759842576</v>
      </c>
      <c r="AH63" s="565">
        <f>Sizing!AD78*(Sizing!CO78+Sizing!CP78) / (12^3)</f>
        <v>9.9754517543136937E-4</v>
      </c>
      <c r="AI63">
        <f t="shared" si="9"/>
        <v>0</v>
      </c>
      <c r="AJ63">
        <f t="shared" si="7"/>
        <v>0</v>
      </c>
      <c r="AK63">
        <f t="shared" si="8"/>
        <v>0</v>
      </c>
      <c r="AL63" s="207">
        <f>Loads!C38</f>
        <v>1.95538064</v>
      </c>
      <c r="AM63">
        <f ca="1">OFFSET('CANARD AERO'!$F$24,((ROW('CANARD AERO'!$A42)-ROW('CANARD AERO'!$A$24))*$B$39/100),0)</f>
        <v>0.25</v>
      </c>
      <c r="AN63" s="207">
        <f ca="1">OFFSET('CANARD AERO'!$J$24,((ROW('CANARD AERO'!$A42)-ROW('CANARD AERO'!$A$24))*$B$39/100),0)</f>
        <v>5.9</v>
      </c>
      <c r="AO63" s="207">
        <f ca="1">OFFSET('CANARD AERO'!$N$24,((ROW('CANARD AERO'!$A42)-ROW('CANARD AERO'!$A$24))*$B$39/100),0)</f>
        <v>-0.15</v>
      </c>
      <c r="AP63" s="207">
        <f ca="1">OFFSET('CANARD AERO'!$O$24,((ROW('CANARD AERO'!$A42)-ROW('CANARD AERO'!$A$24))*$B$39/100),0)</f>
        <v>2.25</v>
      </c>
      <c r="AQ63" s="207">
        <f ca="1">OFFSET('CANARD AERO'!$P$24,((ROW('CANARD AERO'!$A42)-ROW('CANARD AERO'!$A$24))*$B$39/100),0)</f>
        <v>-1.65</v>
      </c>
      <c r="AR63" s="8">
        <f ca="1">OFFSET('CANARD AERO'!$M$24,((ROW('CANARD AERO'!$A42)-ROW('CANARD AERO'!$A$24))*$B$39/100),0)</f>
        <v>5.9690260418206069</v>
      </c>
    </row>
    <row r="64" spans="1:44" x14ac:dyDescent="0.25">
      <c r="A64">
        <f>Loads!A39</f>
        <v>19</v>
      </c>
      <c r="B64">
        <v>19</v>
      </c>
      <c r="C64">
        <f t="shared" si="0"/>
        <v>4.6751970000000004E-2</v>
      </c>
      <c r="D64">
        <f>Loads!B39</f>
        <v>1.8700788000000002</v>
      </c>
      <c r="E64">
        <f t="shared" si="1"/>
        <v>0</v>
      </c>
      <c r="F64">
        <f t="shared" si="2"/>
        <v>0</v>
      </c>
      <c r="G64" s="560">
        <f>Stiffness!AQ63/144</f>
        <v>173174.16069812648</v>
      </c>
      <c r="H64" s="560">
        <f>Stiffness!AV63/144</f>
        <v>156818.15098782096</v>
      </c>
      <c r="I64">
        <v>0</v>
      </c>
      <c r="J64">
        <v>0</v>
      </c>
      <c r="K64">
        <v>0</v>
      </c>
      <c r="L64" s="560">
        <f>Stiffness!BC63/144</f>
        <v>2947241.0903842123</v>
      </c>
      <c r="M64">
        <v>0</v>
      </c>
      <c r="N64">
        <v>0</v>
      </c>
      <c r="O64">
        <v>0</v>
      </c>
      <c r="P64">
        <v>0</v>
      </c>
      <c r="Q64">
        <v>0</v>
      </c>
      <c r="R64">
        <f>'Weight '!BT65*'Weight '!$E$36/Stiffness!D63</f>
        <v>3.1061381354182322</v>
      </c>
      <c r="S64">
        <f ca="1">'Weight '!BU65-$AL63*$AM63</f>
        <v>0.3659259845176005</v>
      </c>
      <c r="T64" s="2">
        <v>0</v>
      </c>
      <c r="U64">
        <v>0</v>
      </c>
      <c r="V64">
        <v>0</v>
      </c>
      <c r="W64">
        <v>0</v>
      </c>
      <c r="X64">
        <v>0</v>
      </c>
      <c r="Y64">
        <v>0</v>
      </c>
      <c r="Z64">
        <f ca="1">Stiffness!CV63-AL64*AM64</f>
        <v>0.1765826125500215</v>
      </c>
      <c r="AA64">
        <v>0</v>
      </c>
      <c r="AB64">
        <v>0</v>
      </c>
      <c r="AC64" s="207">
        <v>0</v>
      </c>
      <c r="AD64">
        <f t="shared" si="3"/>
        <v>2E-3</v>
      </c>
      <c r="AE64">
        <f t="shared" si="4"/>
        <v>2E-3</v>
      </c>
      <c r="AF64">
        <f t="shared" ca="1" si="5"/>
        <v>0</v>
      </c>
      <c r="AG64">
        <f t="shared" si="6"/>
        <v>0.17509843080000001</v>
      </c>
      <c r="AH64" s="565">
        <f>Sizing!AD79*(Sizing!CO79+Sizing!CP79) / (12^3)</f>
        <v>9.8752804883582308E-4</v>
      </c>
      <c r="AI64">
        <f t="shared" si="9"/>
        <v>0</v>
      </c>
      <c r="AJ64">
        <f t="shared" si="7"/>
        <v>0</v>
      </c>
      <c r="AK64">
        <f t="shared" si="8"/>
        <v>0</v>
      </c>
      <c r="AL64" s="207">
        <f>Loads!C39</f>
        <v>1.9455381200000001</v>
      </c>
      <c r="AM64">
        <f ca="1">OFFSET('CANARD AERO'!$F$24,((ROW('CANARD AERO'!$A43)-ROW('CANARD AERO'!$A$24))*$B$39/100),0)</f>
        <v>0.25</v>
      </c>
      <c r="AN64" s="207">
        <f ca="1">OFFSET('CANARD AERO'!$J$24,((ROW('CANARD AERO'!$A43)-ROW('CANARD AERO'!$A$24))*$B$39/100),0)</f>
        <v>5.9</v>
      </c>
      <c r="AO64" s="207">
        <f ca="1">OFFSET('CANARD AERO'!$N$24,((ROW('CANARD AERO'!$A43)-ROW('CANARD AERO'!$A$24))*$B$39/100),0)</f>
        <v>-0.15</v>
      </c>
      <c r="AP64" s="207">
        <f ca="1">OFFSET('CANARD AERO'!$O$24,((ROW('CANARD AERO'!$A43)-ROW('CANARD AERO'!$A$24))*$B$39/100),0)</f>
        <v>2.25</v>
      </c>
      <c r="AQ64" s="207">
        <f ca="1">OFFSET('CANARD AERO'!$P$24,((ROW('CANARD AERO'!$A43)-ROW('CANARD AERO'!$A$24))*$B$39/100),0)</f>
        <v>-1.65</v>
      </c>
      <c r="AR64" s="8">
        <f ca="1">OFFSET('CANARD AERO'!$M$24,((ROW('CANARD AERO'!$A43)-ROW('CANARD AERO'!$A$24))*$B$39/100),0)</f>
        <v>5.9690260418206069</v>
      </c>
    </row>
    <row r="65" spans="1:44" x14ac:dyDescent="0.25">
      <c r="A65">
        <f>Loads!A40</f>
        <v>20</v>
      </c>
      <c r="B65">
        <v>20</v>
      </c>
      <c r="C65">
        <f t="shared" si="0"/>
        <v>4.9212600000000009E-2</v>
      </c>
      <c r="D65">
        <f>Loads!B40</f>
        <v>1.9685040000000003</v>
      </c>
      <c r="E65">
        <f t="shared" si="1"/>
        <v>0</v>
      </c>
      <c r="F65">
        <f t="shared" si="2"/>
        <v>0</v>
      </c>
      <c r="G65" s="560">
        <f>Stiffness!AQ64/144</f>
        <v>141694.06636791804</v>
      </c>
      <c r="H65" s="560">
        <f>Stiffness!AV64/144</f>
        <v>124795.28587397843</v>
      </c>
      <c r="I65">
        <v>0</v>
      </c>
      <c r="J65">
        <v>0</v>
      </c>
      <c r="K65">
        <v>0</v>
      </c>
      <c r="L65" s="560">
        <f>Stiffness!BC64/144</f>
        <v>2902736.5293550142</v>
      </c>
      <c r="M65">
        <v>0</v>
      </c>
      <c r="N65">
        <v>0</v>
      </c>
      <c r="O65">
        <v>0</v>
      </c>
      <c r="P65">
        <v>0</v>
      </c>
      <c r="Q65">
        <v>0</v>
      </c>
      <c r="R65">
        <f>'Weight '!BT66*'Weight '!$E$36/Stiffness!D64</f>
        <v>2.9851697075376307</v>
      </c>
      <c r="S65">
        <f ca="1">'Weight '!BU66-$AL64*$AM64</f>
        <v>0.37673777097431271</v>
      </c>
      <c r="T65" s="2">
        <v>0</v>
      </c>
      <c r="U65">
        <v>0</v>
      </c>
      <c r="V65">
        <v>0</v>
      </c>
      <c r="W65">
        <v>0</v>
      </c>
      <c r="X65">
        <v>0</v>
      </c>
      <c r="Y65">
        <v>0</v>
      </c>
      <c r="Z65">
        <f ca="1">Stiffness!CV64-AL65*AM65</f>
        <v>0.17578797696304738</v>
      </c>
      <c r="AA65">
        <v>0</v>
      </c>
      <c r="AB65">
        <v>0</v>
      </c>
      <c r="AC65" s="207">
        <v>0</v>
      </c>
      <c r="AD65">
        <f t="shared" si="3"/>
        <v>2E-3</v>
      </c>
      <c r="AE65">
        <f t="shared" si="4"/>
        <v>2E-3</v>
      </c>
      <c r="AF65">
        <f t="shared" ca="1" si="5"/>
        <v>0</v>
      </c>
      <c r="AG65">
        <f t="shared" si="6"/>
        <v>0.17421260399999999</v>
      </c>
      <c r="AH65" s="565">
        <f>Sizing!AD80*(Sizing!CO80+Sizing!CP80) / (12^3)</f>
        <v>9.7756147123907581E-4</v>
      </c>
      <c r="AI65">
        <f t="shared" si="9"/>
        <v>0</v>
      </c>
      <c r="AJ65">
        <f t="shared" si="7"/>
        <v>0</v>
      </c>
      <c r="AK65">
        <f t="shared" si="8"/>
        <v>0</v>
      </c>
      <c r="AL65" s="207">
        <f>Loads!C40</f>
        <v>1.9356955999999998</v>
      </c>
      <c r="AM65">
        <f ca="1">OFFSET('CANARD AERO'!$F$24,((ROW('CANARD AERO'!$A44)-ROW('CANARD AERO'!$A$24))*$B$39/100),0)</f>
        <v>0.25</v>
      </c>
      <c r="AN65" s="207">
        <f ca="1">OFFSET('CANARD AERO'!$J$24,((ROW('CANARD AERO'!$A44)-ROW('CANARD AERO'!$A$24))*$B$39/100),0)</f>
        <v>5.9</v>
      </c>
      <c r="AO65" s="207">
        <f ca="1">OFFSET('CANARD AERO'!$N$24,((ROW('CANARD AERO'!$A44)-ROW('CANARD AERO'!$A$24))*$B$39/100),0)</f>
        <v>-0.15</v>
      </c>
      <c r="AP65" s="207">
        <f ca="1">OFFSET('CANARD AERO'!$O$24,((ROW('CANARD AERO'!$A44)-ROW('CANARD AERO'!$A$24))*$B$39/100),0)</f>
        <v>2.25</v>
      </c>
      <c r="AQ65" s="207">
        <f ca="1">OFFSET('CANARD AERO'!$P$24,((ROW('CANARD AERO'!$A44)-ROW('CANARD AERO'!$A$24))*$B$39/100),0)</f>
        <v>-1.65</v>
      </c>
      <c r="AR65" s="8">
        <f ca="1">OFFSET('CANARD AERO'!$M$24,((ROW('CANARD AERO'!$A44)-ROW('CANARD AERO'!$A$24))*$B$39/100),0)</f>
        <v>5.9690260418206069</v>
      </c>
    </row>
    <row r="66" spans="1:44" x14ac:dyDescent="0.25">
      <c r="A66">
        <f>Loads!A41</f>
        <v>21</v>
      </c>
      <c r="B66">
        <v>21</v>
      </c>
      <c r="C66">
        <f t="shared" si="0"/>
        <v>5.1673230000000007E-2</v>
      </c>
      <c r="D66">
        <f>Loads!B41</f>
        <v>2.0669292000000001</v>
      </c>
      <c r="E66">
        <f t="shared" si="1"/>
        <v>0</v>
      </c>
      <c r="F66">
        <f t="shared" si="2"/>
        <v>0</v>
      </c>
      <c r="G66" s="560">
        <f>Stiffness!AQ65/144</f>
        <v>139747.06836631961</v>
      </c>
      <c r="H66" s="560">
        <f>Stiffness!AV65/144</f>
        <v>123529.40780899418</v>
      </c>
      <c r="I66">
        <v>0</v>
      </c>
      <c r="J66">
        <v>0</v>
      </c>
      <c r="K66">
        <v>0</v>
      </c>
      <c r="L66" s="560">
        <f>Stiffness!BC65/144</f>
        <v>2858682.263564501</v>
      </c>
      <c r="M66">
        <v>0</v>
      </c>
      <c r="N66">
        <v>0</v>
      </c>
      <c r="O66">
        <v>0</v>
      </c>
      <c r="P66">
        <v>0</v>
      </c>
      <c r="Q66">
        <v>0</v>
      </c>
      <c r="R66">
        <f>'Weight '!BT67*'Weight '!$E$36/Stiffness!D65</f>
        <v>2.9721740494204685</v>
      </c>
      <c r="S66">
        <f ca="1">'Weight '!BU67-$AL65*$AM65</f>
        <v>0.37454280344614521</v>
      </c>
      <c r="T66" s="2">
        <v>0</v>
      </c>
      <c r="U66">
        <v>0</v>
      </c>
      <c r="V66">
        <v>0</v>
      </c>
      <c r="W66">
        <v>0</v>
      </c>
      <c r="X66">
        <v>0</v>
      </c>
      <c r="Y66">
        <v>0</v>
      </c>
      <c r="Z66">
        <f ca="1">Stiffness!CV65-AL66*AM66</f>
        <v>0.17499473889465211</v>
      </c>
      <c r="AA66">
        <v>0</v>
      </c>
      <c r="AB66">
        <v>0</v>
      </c>
      <c r="AC66" s="207">
        <v>0</v>
      </c>
      <c r="AD66">
        <f t="shared" si="3"/>
        <v>2E-3</v>
      </c>
      <c r="AE66">
        <f t="shared" si="4"/>
        <v>2E-3</v>
      </c>
      <c r="AF66">
        <f t="shared" ca="1" si="5"/>
        <v>0</v>
      </c>
      <c r="AG66">
        <f t="shared" si="6"/>
        <v>0.1733267772</v>
      </c>
      <c r="AH66" s="565">
        <f>Sizing!AD81*(Sizing!CO81+Sizing!CP81) / (12^3)</f>
        <v>9.6764544264112964E-4</v>
      </c>
      <c r="AI66">
        <f t="shared" si="9"/>
        <v>0</v>
      </c>
      <c r="AJ66">
        <f t="shared" si="7"/>
        <v>0</v>
      </c>
      <c r="AK66">
        <f t="shared" si="8"/>
        <v>0</v>
      </c>
      <c r="AL66" s="207">
        <f>Loads!C41</f>
        <v>1.92585308</v>
      </c>
      <c r="AM66">
        <f ca="1">OFFSET('CANARD AERO'!$F$24,((ROW('CANARD AERO'!$A45)-ROW('CANARD AERO'!$A$24))*$B$39/100),0)</f>
        <v>0.25</v>
      </c>
      <c r="AN66" s="207">
        <f ca="1">OFFSET('CANARD AERO'!$J$24,((ROW('CANARD AERO'!$A45)-ROW('CANARD AERO'!$A$24))*$B$39/100),0)</f>
        <v>5.9</v>
      </c>
      <c r="AO66" s="207">
        <f ca="1">OFFSET('CANARD AERO'!$N$24,((ROW('CANARD AERO'!$A45)-ROW('CANARD AERO'!$A$24))*$B$39/100),0)</f>
        <v>-0.15</v>
      </c>
      <c r="AP66" s="207">
        <f ca="1">OFFSET('CANARD AERO'!$O$24,((ROW('CANARD AERO'!$A45)-ROW('CANARD AERO'!$A$24))*$B$39/100),0)</f>
        <v>2.25</v>
      </c>
      <c r="AQ66" s="207">
        <f ca="1">OFFSET('CANARD AERO'!$P$24,((ROW('CANARD AERO'!$A45)-ROW('CANARD AERO'!$A$24))*$B$39/100),0)</f>
        <v>-1.65</v>
      </c>
      <c r="AR66" s="8">
        <f ca="1">OFFSET('CANARD AERO'!$M$24,((ROW('CANARD AERO'!$A45)-ROW('CANARD AERO'!$A$24))*$B$39/100),0)</f>
        <v>5.9690260418206069</v>
      </c>
    </row>
    <row r="67" spans="1:44" x14ac:dyDescent="0.25">
      <c r="A67">
        <f>Loads!A42</f>
        <v>22</v>
      </c>
      <c r="B67">
        <v>22</v>
      </c>
      <c r="C67">
        <f t="shared" si="0"/>
        <v>5.4133860000000006E-2</v>
      </c>
      <c r="D67">
        <f>Loads!B42</f>
        <v>2.1653544</v>
      </c>
      <c r="E67">
        <f t="shared" si="1"/>
        <v>0</v>
      </c>
      <c r="F67">
        <f t="shared" si="2"/>
        <v>0</v>
      </c>
      <c r="G67" s="560">
        <f>Stiffness!AQ66/144</f>
        <v>137813.53977663946</v>
      </c>
      <c r="H67" s="560">
        <f>Stiffness!AV66/144</f>
        <v>122269.98281825799</v>
      </c>
      <c r="I67">
        <v>0</v>
      </c>
      <c r="J67">
        <v>0</v>
      </c>
      <c r="K67">
        <v>0</v>
      </c>
      <c r="L67" s="560">
        <f>Stiffness!BC66/144</f>
        <v>2815076.0033758627</v>
      </c>
      <c r="M67">
        <v>0</v>
      </c>
      <c r="N67">
        <v>0</v>
      </c>
      <c r="O67">
        <v>0</v>
      </c>
      <c r="P67">
        <v>0</v>
      </c>
      <c r="Q67">
        <v>0</v>
      </c>
      <c r="R67">
        <f>'Weight '!BT68*'Weight '!$E$36/Stiffness!D66</f>
        <v>2.9591783913033063</v>
      </c>
      <c r="S67">
        <f ca="1">'Weight '!BU68-$AL66*$AM66</f>
        <v>0.37234823165941966</v>
      </c>
      <c r="T67" s="2">
        <v>0</v>
      </c>
      <c r="U67">
        <v>0</v>
      </c>
      <c r="V67">
        <v>0</v>
      </c>
      <c r="W67">
        <v>0</v>
      </c>
      <c r="X67">
        <v>0</v>
      </c>
      <c r="Y67">
        <v>0</v>
      </c>
      <c r="Z67">
        <f ca="1">Stiffness!CV66-AL67*AM67</f>
        <v>0.17420290924376869</v>
      </c>
      <c r="AA67">
        <v>0</v>
      </c>
      <c r="AB67">
        <v>0</v>
      </c>
      <c r="AC67" s="207">
        <v>0</v>
      </c>
      <c r="AD67">
        <f t="shared" si="3"/>
        <v>2E-3</v>
      </c>
      <c r="AE67">
        <f t="shared" si="4"/>
        <v>2E-3</v>
      </c>
      <c r="AF67">
        <f t="shared" ca="1" si="5"/>
        <v>0</v>
      </c>
      <c r="AG67">
        <f t="shared" si="6"/>
        <v>0.17244095040000001</v>
      </c>
      <c r="AH67" s="565">
        <f>Sizing!AD82*(Sizing!CO82+Sizing!CP82) / (12^3)</f>
        <v>9.5777996304198336E-4</v>
      </c>
      <c r="AI67">
        <f t="shared" si="9"/>
        <v>0</v>
      </c>
      <c r="AJ67">
        <f t="shared" si="7"/>
        <v>0</v>
      </c>
      <c r="AK67">
        <f t="shared" si="8"/>
        <v>0</v>
      </c>
      <c r="AL67" s="207">
        <f>Loads!C42</f>
        <v>1.9160105600000001</v>
      </c>
      <c r="AM67">
        <f ca="1">OFFSET('CANARD AERO'!$F$24,((ROW('CANARD AERO'!$A46)-ROW('CANARD AERO'!$A$24))*$B$39/100),0)</f>
        <v>0.25</v>
      </c>
      <c r="AN67" s="207">
        <f ca="1">OFFSET('CANARD AERO'!$J$24,((ROW('CANARD AERO'!$A46)-ROW('CANARD AERO'!$A$24))*$B$39/100),0)</f>
        <v>5.9</v>
      </c>
      <c r="AO67" s="207">
        <f ca="1">OFFSET('CANARD AERO'!$N$24,((ROW('CANARD AERO'!$A46)-ROW('CANARD AERO'!$A$24))*$B$39/100),0)</f>
        <v>-0.15</v>
      </c>
      <c r="AP67" s="207">
        <f ca="1">OFFSET('CANARD AERO'!$O$24,((ROW('CANARD AERO'!$A46)-ROW('CANARD AERO'!$A$24))*$B$39/100),0)</f>
        <v>2.25</v>
      </c>
      <c r="AQ67" s="207">
        <f ca="1">OFFSET('CANARD AERO'!$P$24,((ROW('CANARD AERO'!$A46)-ROW('CANARD AERO'!$A$24))*$B$39/100),0)</f>
        <v>-1.65</v>
      </c>
      <c r="AR67" s="8">
        <f ca="1">OFFSET('CANARD AERO'!$M$24,((ROW('CANARD AERO'!$A46)-ROW('CANARD AERO'!$A$24))*$B$39/100),0)</f>
        <v>5.9690260418206069</v>
      </c>
    </row>
    <row r="68" spans="1:44" x14ac:dyDescent="0.25">
      <c r="A68">
        <f>Loads!A43</f>
        <v>23</v>
      </c>
      <c r="B68">
        <v>23</v>
      </c>
      <c r="C68">
        <f t="shared" si="0"/>
        <v>5.6594490000000011E-2</v>
      </c>
      <c r="D68">
        <f>Loads!B43</f>
        <v>2.2637796000000003</v>
      </c>
      <c r="E68">
        <f t="shared" si="1"/>
        <v>0</v>
      </c>
      <c r="F68">
        <f t="shared" si="2"/>
        <v>0</v>
      </c>
      <c r="G68" s="560">
        <f>Stiffness!AQ67/144</f>
        <v>135893.48059887759</v>
      </c>
      <c r="H68" s="560">
        <f>Stiffness!AV67/144</f>
        <v>121017.01090176983</v>
      </c>
      <c r="I68">
        <v>0</v>
      </c>
      <c r="J68">
        <v>0</v>
      </c>
      <c r="K68">
        <v>0</v>
      </c>
      <c r="L68" s="560">
        <f>Stiffness!BC67/144</f>
        <v>2771915.4591522906</v>
      </c>
      <c r="M68">
        <v>0</v>
      </c>
      <c r="N68">
        <v>0</v>
      </c>
      <c r="O68">
        <v>0</v>
      </c>
      <c r="P68">
        <v>0</v>
      </c>
      <c r="Q68">
        <v>0</v>
      </c>
      <c r="R68">
        <f>'Weight '!BT69*'Weight '!$E$36/Stiffness!D67</f>
        <v>2.9461827331861437</v>
      </c>
      <c r="S68">
        <f ca="1">'Weight '!BU69-$AL67*$AM67</f>
        <v>0.37015406085100189</v>
      </c>
      <c r="T68" s="2">
        <v>0</v>
      </c>
      <c r="U68">
        <v>0</v>
      </c>
      <c r="V68">
        <v>0</v>
      </c>
      <c r="W68">
        <v>0</v>
      </c>
      <c r="X68">
        <v>0</v>
      </c>
      <c r="Y68">
        <v>0</v>
      </c>
      <c r="Z68">
        <f ca="1">Stiffness!CV67-AL68*AM68</f>
        <v>0.17341249876367321</v>
      </c>
      <c r="AA68">
        <v>0</v>
      </c>
      <c r="AB68">
        <v>0</v>
      </c>
      <c r="AC68" s="207">
        <v>0</v>
      </c>
      <c r="AD68">
        <f t="shared" si="3"/>
        <v>2E-3</v>
      </c>
      <c r="AE68">
        <f t="shared" si="4"/>
        <v>2E-3</v>
      </c>
      <c r="AF68">
        <f t="shared" ca="1" si="5"/>
        <v>0</v>
      </c>
      <c r="AG68">
        <f t="shared" si="6"/>
        <v>0.1715551236</v>
      </c>
      <c r="AH68" s="565">
        <f>Sizing!AD83*(Sizing!CO83+Sizing!CP83) / (12^3)</f>
        <v>9.4796503244163688E-4</v>
      </c>
      <c r="AI68">
        <f t="shared" si="9"/>
        <v>0</v>
      </c>
      <c r="AJ68">
        <f t="shared" si="7"/>
        <v>0</v>
      </c>
      <c r="AK68">
        <f t="shared" si="8"/>
        <v>0</v>
      </c>
      <c r="AL68" s="207">
        <f>Loads!C43</f>
        <v>1.9061680400000001</v>
      </c>
      <c r="AM68">
        <f ca="1">OFFSET('CANARD AERO'!$F$24,((ROW('CANARD AERO'!$A47)-ROW('CANARD AERO'!$A$24))*$B$39/100),0)</f>
        <v>0.25</v>
      </c>
      <c r="AN68" s="207">
        <f ca="1">OFFSET('CANARD AERO'!$J$24,((ROW('CANARD AERO'!$A47)-ROW('CANARD AERO'!$A$24))*$B$39/100),0)</f>
        <v>5.9</v>
      </c>
      <c r="AO68" s="207">
        <f ca="1">OFFSET('CANARD AERO'!$N$24,((ROW('CANARD AERO'!$A47)-ROW('CANARD AERO'!$A$24))*$B$39/100),0)</f>
        <v>-0.15</v>
      </c>
      <c r="AP68" s="207">
        <f ca="1">OFFSET('CANARD AERO'!$O$24,((ROW('CANARD AERO'!$A47)-ROW('CANARD AERO'!$A$24))*$B$39/100),0)</f>
        <v>2.25</v>
      </c>
      <c r="AQ68" s="207">
        <f ca="1">OFFSET('CANARD AERO'!$P$24,((ROW('CANARD AERO'!$A47)-ROW('CANARD AERO'!$A$24))*$B$39/100),0)</f>
        <v>-1.65</v>
      </c>
      <c r="AR68" s="8">
        <f ca="1">OFFSET('CANARD AERO'!$M$24,((ROW('CANARD AERO'!$A47)-ROW('CANARD AERO'!$A$24))*$B$39/100),0)</f>
        <v>5.9690260418206069</v>
      </c>
    </row>
    <row r="69" spans="1:44" x14ac:dyDescent="0.25">
      <c r="A69">
        <f>Loads!A44</f>
        <v>24</v>
      </c>
      <c r="B69">
        <v>24</v>
      </c>
      <c r="C69">
        <f t="shared" si="0"/>
        <v>5.9055120000000003E-2</v>
      </c>
      <c r="D69">
        <f>Loads!B44</f>
        <v>2.3622048000000002</v>
      </c>
      <c r="E69">
        <f t="shared" si="1"/>
        <v>0</v>
      </c>
      <c r="F69">
        <f t="shared" si="2"/>
        <v>0</v>
      </c>
      <c r="G69" s="560">
        <f>Stiffness!AQ68/144</f>
        <v>133986.89083303412</v>
      </c>
      <c r="H69" s="560">
        <f>Stiffness!AV68/144</f>
        <v>119770.49205952953</v>
      </c>
      <c r="I69">
        <v>0</v>
      </c>
      <c r="J69">
        <v>0</v>
      </c>
      <c r="K69">
        <v>0</v>
      </c>
      <c r="L69" s="560">
        <f>Stiffness!BC68/144</f>
        <v>2729198.3412569817</v>
      </c>
      <c r="M69">
        <v>0</v>
      </c>
      <c r="N69">
        <v>0</v>
      </c>
      <c r="O69">
        <v>0</v>
      </c>
      <c r="P69">
        <v>0</v>
      </c>
      <c r="Q69">
        <v>0</v>
      </c>
      <c r="R69">
        <f>'Weight '!BT70*'Weight '!$E$36/Stiffness!D68</f>
        <v>2.9331870750689832</v>
      </c>
      <c r="S69">
        <f ca="1">'Weight '!BU70-$AL68*$AM68</f>
        <v>0.36796029635056576</v>
      </c>
      <c r="T69" s="2">
        <v>0</v>
      </c>
      <c r="U69">
        <v>0</v>
      </c>
      <c r="V69">
        <v>0</v>
      </c>
      <c r="W69">
        <v>0</v>
      </c>
      <c r="X69">
        <v>0</v>
      </c>
      <c r="Y69">
        <v>0</v>
      </c>
      <c r="Z69">
        <f ca="1">Stiffness!CV68-AL69*AM69</f>
        <v>0.1726235180550203</v>
      </c>
      <c r="AA69">
        <v>0</v>
      </c>
      <c r="AB69">
        <v>0</v>
      </c>
      <c r="AC69" s="207">
        <v>0</v>
      </c>
      <c r="AD69">
        <f t="shared" si="3"/>
        <v>2E-3</v>
      </c>
      <c r="AE69">
        <f t="shared" si="4"/>
        <v>2E-3</v>
      </c>
      <c r="AF69">
        <f t="shared" ca="1" si="5"/>
        <v>0</v>
      </c>
      <c r="AG69">
        <f t="shared" si="6"/>
        <v>0.17066929679999998</v>
      </c>
      <c r="AH69" s="565">
        <f>Sizing!AD84*(Sizing!CO84+Sizing!CP84) / (12^3)</f>
        <v>9.3820065084009052E-4</v>
      </c>
      <c r="AI69">
        <f t="shared" si="9"/>
        <v>0</v>
      </c>
      <c r="AJ69">
        <f t="shared" si="7"/>
        <v>0</v>
      </c>
      <c r="AK69">
        <f t="shared" si="8"/>
        <v>0</v>
      </c>
      <c r="AL69" s="207">
        <f>Loads!C44</f>
        <v>1.89632552</v>
      </c>
      <c r="AM69">
        <f ca="1">OFFSET('CANARD AERO'!$F$24,((ROW('CANARD AERO'!$A48)-ROW('CANARD AERO'!$A$24))*$B$39/100),0)</f>
        <v>0.25</v>
      </c>
      <c r="AN69" s="207">
        <f ca="1">OFFSET('CANARD AERO'!$J$24,((ROW('CANARD AERO'!$A48)-ROW('CANARD AERO'!$A$24))*$B$39/100),0)</f>
        <v>5.9</v>
      </c>
      <c r="AO69" s="207">
        <f ca="1">OFFSET('CANARD AERO'!$N$24,((ROW('CANARD AERO'!$A48)-ROW('CANARD AERO'!$A$24))*$B$39/100),0)</f>
        <v>-0.15</v>
      </c>
      <c r="AP69" s="207">
        <f ca="1">OFFSET('CANARD AERO'!$O$24,((ROW('CANARD AERO'!$A48)-ROW('CANARD AERO'!$A$24))*$B$39/100),0)</f>
        <v>2.25</v>
      </c>
      <c r="AQ69" s="207">
        <f ca="1">OFFSET('CANARD AERO'!$P$24,((ROW('CANARD AERO'!$A48)-ROW('CANARD AERO'!$A$24))*$B$39/100),0)</f>
        <v>-1.65</v>
      </c>
      <c r="AR69" s="8">
        <f ca="1">OFFSET('CANARD AERO'!$M$24,((ROW('CANARD AERO'!$A48)-ROW('CANARD AERO'!$A$24))*$B$39/100),0)</f>
        <v>5.9690260418206069</v>
      </c>
    </row>
    <row r="70" spans="1:44" x14ac:dyDescent="0.25">
      <c r="A70">
        <f>Loads!A45</f>
        <v>25</v>
      </c>
      <c r="B70">
        <v>25</v>
      </c>
      <c r="C70">
        <f t="shared" si="0"/>
        <v>6.1515750000000008E-2</v>
      </c>
      <c r="D70">
        <f>Loads!B45</f>
        <v>2.4606300000000001</v>
      </c>
      <c r="E70">
        <f t="shared" si="1"/>
        <v>0</v>
      </c>
      <c r="F70">
        <f t="shared" si="2"/>
        <v>0</v>
      </c>
      <c r="G70" s="560">
        <f>Stiffness!AQ69/144</f>
        <v>132093.77047910891</v>
      </c>
      <c r="H70" s="560">
        <f>Stiffness!AV69/144</f>
        <v>118530.4262915373</v>
      </c>
      <c r="I70">
        <v>0</v>
      </c>
      <c r="J70">
        <v>0</v>
      </c>
      <c r="K70">
        <v>0</v>
      </c>
      <c r="L70" s="560">
        <f>Stiffness!BC69/144</f>
        <v>2686922.3600531258</v>
      </c>
      <c r="M70">
        <v>0</v>
      </c>
      <c r="N70">
        <v>0</v>
      </c>
      <c r="O70">
        <v>0</v>
      </c>
      <c r="P70">
        <v>0</v>
      </c>
      <c r="Q70">
        <v>0</v>
      </c>
      <c r="R70">
        <f>'Weight '!BT71*'Weight '!$E$36/Stiffness!D69</f>
        <v>2.857957182529042</v>
      </c>
      <c r="S70">
        <f ca="1">'Weight '!BU71-$AL69*$AM69</f>
        <v>0.3737853846129745</v>
      </c>
      <c r="T70" s="2">
        <v>0</v>
      </c>
      <c r="U70">
        <v>0</v>
      </c>
      <c r="V70">
        <v>0</v>
      </c>
      <c r="W70">
        <v>0</v>
      </c>
      <c r="X70">
        <v>0</v>
      </c>
      <c r="Y70">
        <v>0</v>
      </c>
      <c r="Z70">
        <f ca="1">Stiffness!CV69-AL70*AM70</f>
        <v>0.17183597755873126</v>
      </c>
      <c r="AA70">
        <v>0</v>
      </c>
      <c r="AB70">
        <v>0</v>
      </c>
      <c r="AC70" s="207">
        <v>0</v>
      </c>
      <c r="AD70">
        <f t="shared" si="3"/>
        <v>2E-3</v>
      </c>
      <c r="AE70">
        <f t="shared" si="4"/>
        <v>2E-3</v>
      </c>
      <c r="AF70">
        <f t="shared" ca="1" si="5"/>
        <v>0</v>
      </c>
      <c r="AG70">
        <f t="shared" si="6"/>
        <v>0.16978346999999999</v>
      </c>
      <c r="AH70" s="565">
        <f>Sizing!AD85*(Sizing!CO85+Sizing!CP85) / (12^3)</f>
        <v>9.2848681823734427E-4</v>
      </c>
      <c r="AI70">
        <f t="shared" si="9"/>
        <v>0</v>
      </c>
      <c r="AJ70">
        <f t="shared" si="7"/>
        <v>0</v>
      </c>
      <c r="AK70">
        <f t="shared" si="8"/>
        <v>0</v>
      </c>
      <c r="AL70" s="207">
        <f>Loads!C45</f>
        <v>1.8864830000000001</v>
      </c>
      <c r="AM70">
        <f ca="1">OFFSET('CANARD AERO'!$F$24,((ROW('CANARD AERO'!$A49)-ROW('CANARD AERO'!$A$24))*$B$39/100),0)</f>
        <v>0.25</v>
      </c>
      <c r="AN70" s="207">
        <f ca="1">OFFSET('CANARD AERO'!$J$24,((ROW('CANARD AERO'!$A49)-ROW('CANARD AERO'!$A$24))*$B$39/100),0)</f>
        <v>5.9</v>
      </c>
      <c r="AO70" s="207">
        <f ca="1">OFFSET('CANARD AERO'!$N$24,((ROW('CANARD AERO'!$A49)-ROW('CANARD AERO'!$A$24))*$B$39/100),0)</f>
        <v>-0.15</v>
      </c>
      <c r="AP70" s="207">
        <f ca="1">OFFSET('CANARD AERO'!$O$24,((ROW('CANARD AERO'!$A49)-ROW('CANARD AERO'!$A$24))*$B$39/100),0)</f>
        <v>2.25</v>
      </c>
      <c r="AQ70" s="207">
        <f ca="1">OFFSET('CANARD AERO'!$P$24,((ROW('CANARD AERO'!$A49)-ROW('CANARD AERO'!$A$24))*$B$39/100),0)</f>
        <v>-1.65</v>
      </c>
      <c r="AR70" s="8">
        <f ca="1">OFFSET('CANARD AERO'!$M$24,((ROW('CANARD AERO'!$A49)-ROW('CANARD AERO'!$A$24))*$B$39/100),0)</f>
        <v>5.9690260418206069</v>
      </c>
    </row>
    <row r="71" spans="1:44" x14ac:dyDescent="0.25">
      <c r="A71">
        <f>Loads!A46</f>
        <v>26</v>
      </c>
      <c r="B71">
        <v>26</v>
      </c>
      <c r="C71">
        <f t="shared" si="0"/>
        <v>6.3976380000000013E-2</v>
      </c>
      <c r="D71">
        <f>Loads!B46</f>
        <v>2.5590552</v>
      </c>
      <c r="E71">
        <f t="shared" si="1"/>
        <v>0</v>
      </c>
      <c r="F71">
        <f t="shared" si="2"/>
        <v>0</v>
      </c>
      <c r="G71" s="560">
        <f>Stiffness!AQ70/144</f>
        <v>130214.11953710199</v>
      </c>
      <c r="H71" s="560">
        <f>Stiffness!AV70/144</f>
        <v>117296.81359779309</v>
      </c>
      <c r="I71">
        <v>0</v>
      </c>
      <c r="J71">
        <v>0</v>
      </c>
      <c r="K71">
        <v>0</v>
      </c>
      <c r="L71" s="560">
        <f>Stiffness!BC70/144</f>
        <v>2645085.225903919</v>
      </c>
      <c r="M71">
        <v>0</v>
      </c>
      <c r="N71">
        <v>0</v>
      </c>
      <c r="O71">
        <v>0</v>
      </c>
      <c r="P71">
        <v>0</v>
      </c>
      <c r="Q71">
        <v>0</v>
      </c>
      <c r="R71">
        <f>'Weight '!BT72*'Weight '!$E$36/Stiffness!D70</f>
        <v>2.8452853799249218</v>
      </c>
      <c r="S71">
        <f ca="1">'Weight '!BU72-$AL70*$AM70</f>
        <v>0.37153853187259522</v>
      </c>
      <c r="T71" s="2">
        <v>0</v>
      </c>
      <c r="U71">
        <v>0</v>
      </c>
      <c r="V71">
        <v>0</v>
      </c>
      <c r="W71">
        <v>0</v>
      </c>
      <c r="X71">
        <v>0</v>
      </c>
      <c r="Y71">
        <v>0</v>
      </c>
      <c r="Z71">
        <f ca="1">Stiffness!CV70-AL71*AM71</f>
        <v>0.17104988754873146</v>
      </c>
      <c r="AA71">
        <v>0</v>
      </c>
      <c r="AB71">
        <v>0</v>
      </c>
      <c r="AC71" s="207">
        <v>0</v>
      </c>
      <c r="AD71">
        <f t="shared" si="3"/>
        <v>2E-3</v>
      </c>
      <c r="AE71">
        <f t="shared" si="4"/>
        <v>2E-3</v>
      </c>
      <c r="AF71">
        <f t="shared" ca="1" si="5"/>
        <v>0</v>
      </c>
      <c r="AG71">
        <f t="shared" si="6"/>
        <v>0.1688976432</v>
      </c>
      <c r="AH71" s="565">
        <f>Sizing!AD86*(Sizing!CO86+Sizing!CP86) / (12^3)</f>
        <v>9.1882353463339824E-4</v>
      </c>
      <c r="AI71">
        <f t="shared" si="9"/>
        <v>0</v>
      </c>
      <c r="AJ71">
        <f t="shared" si="7"/>
        <v>0</v>
      </c>
      <c r="AK71">
        <f t="shared" si="8"/>
        <v>0</v>
      </c>
      <c r="AL71" s="207">
        <f>Loads!C46</f>
        <v>1.8766404800000001</v>
      </c>
      <c r="AM71">
        <f ca="1">OFFSET('CANARD AERO'!$F$24,((ROW('CANARD AERO'!$A50)-ROW('CANARD AERO'!$A$24))*$B$39/100),0)</f>
        <v>0.25</v>
      </c>
      <c r="AN71" s="207">
        <f ca="1">OFFSET('CANARD AERO'!$J$24,((ROW('CANARD AERO'!$A50)-ROW('CANARD AERO'!$A$24))*$B$39/100),0)</f>
        <v>5.9</v>
      </c>
      <c r="AO71" s="207">
        <f ca="1">OFFSET('CANARD AERO'!$N$24,((ROW('CANARD AERO'!$A50)-ROW('CANARD AERO'!$A$24))*$B$39/100),0)</f>
        <v>-0.15</v>
      </c>
      <c r="AP71" s="207">
        <f ca="1">OFFSET('CANARD AERO'!$O$24,((ROW('CANARD AERO'!$A50)-ROW('CANARD AERO'!$A$24))*$B$39/100),0)</f>
        <v>2.25</v>
      </c>
      <c r="AQ71" s="207">
        <f ca="1">OFFSET('CANARD AERO'!$P$24,((ROW('CANARD AERO'!$A50)-ROW('CANARD AERO'!$A$24))*$B$39/100),0)</f>
        <v>-1.65</v>
      </c>
      <c r="AR71" s="8">
        <f ca="1">OFFSET('CANARD AERO'!$M$24,((ROW('CANARD AERO'!$A50)-ROW('CANARD AERO'!$A$24))*$B$39/100),0)</f>
        <v>5.9690260418206069</v>
      </c>
    </row>
    <row r="72" spans="1:44" x14ac:dyDescent="0.25">
      <c r="A72">
        <f>Loads!A47</f>
        <v>27</v>
      </c>
      <c r="B72">
        <v>27</v>
      </c>
      <c r="C72">
        <f t="shared" si="0"/>
        <v>6.6437010000000019E-2</v>
      </c>
      <c r="D72">
        <f>Loads!B47</f>
        <v>2.6574804000000003</v>
      </c>
      <c r="E72">
        <f t="shared" si="1"/>
        <v>0</v>
      </c>
      <c r="F72">
        <f t="shared" si="2"/>
        <v>0</v>
      </c>
      <c r="G72" s="560">
        <f>Stiffness!AQ71/144</f>
        <v>128347.93800701335</v>
      </c>
      <c r="H72" s="560">
        <f>Stiffness!AV71/144</f>
        <v>116069.65397829693</v>
      </c>
      <c r="I72">
        <v>0</v>
      </c>
      <c r="J72">
        <v>0</v>
      </c>
      <c r="K72">
        <v>0</v>
      </c>
      <c r="L72" s="560">
        <f>Stiffness!BC71/144</f>
        <v>2603684.6491725538</v>
      </c>
      <c r="M72">
        <v>0</v>
      </c>
      <c r="N72">
        <v>0</v>
      </c>
      <c r="O72">
        <v>0</v>
      </c>
      <c r="P72">
        <v>0</v>
      </c>
      <c r="Q72">
        <v>0</v>
      </c>
      <c r="R72">
        <f>'Weight '!BT73*'Weight '!$E$36/Stiffness!D71</f>
        <v>2.8326135773208012</v>
      </c>
      <c r="S72">
        <f ca="1">'Weight '!BU73-$AL71*$AM71</f>
        <v>0.36929213024064494</v>
      </c>
      <c r="T72" s="2">
        <v>0</v>
      </c>
      <c r="U72">
        <v>0</v>
      </c>
      <c r="V72">
        <v>0</v>
      </c>
      <c r="W72">
        <v>0</v>
      </c>
      <c r="X72">
        <v>0</v>
      </c>
      <c r="Y72">
        <v>0</v>
      </c>
      <c r="Z72">
        <f ca="1">Stiffness!CV71-AL72*AM72</f>
        <v>0.17026525812453386</v>
      </c>
      <c r="AA72">
        <v>0</v>
      </c>
      <c r="AB72">
        <v>0</v>
      </c>
      <c r="AC72" s="207">
        <v>0</v>
      </c>
      <c r="AD72">
        <f t="shared" si="3"/>
        <v>2E-3</v>
      </c>
      <c r="AE72">
        <f t="shared" si="4"/>
        <v>2E-3</v>
      </c>
      <c r="AF72">
        <f t="shared" ca="1" si="5"/>
        <v>0</v>
      </c>
      <c r="AG72">
        <f t="shared" si="6"/>
        <v>0.16801181639999999</v>
      </c>
      <c r="AH72" s="565">
        <f>Sizing!AD87*(Sizing!CO87+Sizing!CP87) / (12^3)</f>
        <v>9.0921080002825234E-4</v>
      </c>
      <c r="AI72">
        <f t="shared" si="9"/>
        <v>0</v>
      </c>
      <c r="AJ72">
        <f t="shared" si="7"/>
        <v>0</v>
      </c>
      <c r="AK72">
        <f t="shared" si="8"/>
        <v>0</v>
      </c>
      <c r="AL72" s="207">
        <f>Loads!C47</f>
        <v>1.86679796</v>
      </c>
      <c r="AM72">
        <f ca="1">OFFSET('CANARD AERO'!$F$24,((ROW('CANARD AERO'!$A51)-ROW('CANARD AERO'!$A$24))*$B$39/100),0)</f>
        <v>0.25</v>
      </c>
      <c r="AN72" s="207">
        <f ca="1">OFFSET('CANARD AERO'!$J$24,((ROW('CANARD AERO'!$A51)-ROW('CANARD AERO'!$A$24))*$B$39/100),0)</f>
        <v>5.9</v>
      </c>
      <c r="AO72" s="207">
        <f ca="1">OFFSET('CANARD AERO'!$N$24,((ROW('CANARD AERO'!$A51)-ROW('CANARD AERO'!$A$24))*$B$39/100),0)</f>
        <v>-0.15</v>
      </c>
      <c r="AP72" s="207">
        <f ca="1">OFFSET('CANARD AERO'!$O$24,((ROW('CANARD AERO'!$A51)-ROW('CANARD AERO'!$A$24))*$B$39/100),0)</f>
        <v>2.25</v>
      </c>
      <c r="AQ72" s="207">
        <f ca="1">OFFSET('CANARD AERO'!$P$24,((ROW('CANARD AERO'!$A51)-ROW('CANARD AERO'!$A$24))*$B$39/100),0)</f>
        <v>-1.65</v>
      </c>
      <c r="AR72" s="8">
        <f ca="1">OFFSET('CANARD AERO'!$M$24,((ROW('CANARD AERO'!$A51)-ROW('CANARD AERO'!$A$24))*$B$39/100),0)</f>
        <v>5.9690260418206069</v>
      </c>
    </row>
    <row r="73" spans="1:44" x14ac:dyDescent="0.25">
      <c r="A73">
        <f>Loads!A48</f>
        <v>28</v>
      </c>
      <c r="B73">
        <v>28</v>
      </c>
      <c r="C73">
        <f t="shared" si="0"/>
        <v>6.889764000000001E-2</v>
      </c>
      <c r="D73">
        <f>Loads!B48</f>
        <v>2.7559056000000002</v>
      </c>
      <c r="E73">
        <f t="shared" si="1"/>
        <v>0</v>
      </c>
      <c r="F73">
        <f t="shared" si="2"/>
        <v>0</v>
      </c>
      <c r="G73" s="560">
        <f>Stiffness!AQ72/144</f>
        <v>126495.22588884308</v>
      </c>
      <c r="H73" s="560">
        <f>Stiffness!AV72/144</f>
        <v>114848.94743304871</v>
      </c>
      <c r="I73">
        <v>0</v>
      </c>
      <c r="J73">
        <v>0</v>
      </c>
      <c r="K73">
        <v>0</v>
      </c>
      <c r="L73" s="560">
        <f>Stiffness!BC72/144</f>
        <v>2562718.3402222195</v>
      </c>
      <c r="M73">
        <v>0</v>
      </c>
      <c r="N73">
        <v>0</v>
      </c>
      <c r="O73">
        <v>0</v>
      </c>
      <c r="P73">
        <v>0</v>
      </c>
      <c r="Q73">
        <v>0</v>
      </c>
      <c r="R73">
        <f>'Weight '!BT74*'Weight '!$E$36/Stiffness!D72</f>
        <v>2.8199417747166797</v>
      </c>
      <c r="S73">
        <f ca="1">'Weight '!BU74-$AL72*$AM72</f>
        <v>0.36704618579848014</v>
      </c>
      <c r="T73" s="2">
        <v>0</v>
      </c>
      <c r="U73">
        <v>0</v>
      </c>
      <c r="V73">
        <v>0</v>
      </c>
      <c r="W73">
        <v>0</v>
      </c>
      <c r="X73">
        <v>0</v>
      </c>
      <c r="Y73">
        <v>0</v>
      </c>
      <c r="Z73">
        <f ca="1">Stiffness!CV72-AL73*AM73</f>
        <v>0.16948209920366841</v>
      </c>
      <c r="AA73">
        <v>0</v>
      </c>
      <c r="AB73">
        <v>0</v>
      </c>
      <c r="AC73" s="207">
        <v>0</v>
      </c>
      <c r="AD73">
        <f t="shared" si="3"/>
        <v>2E-3</v>
      </c>
      <c r="AE73">
        <f t="shared" si="4"/>
        <v>2E-3</v>
      </c>
      <c r="AF73">
        <f t="shared" ca="1" si="5"/>
        <v>0</v>
      </c>
      <c r="AG73">
        <f t="shared" si="6"/>
        <v>0.1671259896</v>
      </c>
      <c r="AH73" s="565">
        <f>Sizing!AD88*(Sizing!CO88+Sizing!CP88) / (12^3)</f>
        <v>8.99648614421906E-4</v>
      </c>
      <c r="AI73">
        <f t="shared" si="9"/>
        <v>0</v>
      </c>
      <c r="AJ73">
        <f t="shared" si="7"/>
        <v>0</v>
      </c>
      <c r="AK73">
        <f t="shared" si="8"/>
        <v>0</v>
      </c>
      <c r="AL73" s="207">
        <f>Loads!C48</f>
        <v>1.8569554400000001</v>
      </c>
      <c r="AM73">
        <f ca="1">OFFSET('CANARD AERO'!$F$24,((ROW('CANARD AERO'!$A52)-ROW('CANARD AERO'!$A$24))*$B$39/100),0)</f>
        <v>0.25</v>
      </c>
      <c r="AN73" s="207">
        <f ca="1">OFFSET('CANARD AERO'!$J$24,((ROW('CANARD AERO'!$A52)-ROW('CANARD AERO'!$A$24))*$B$39/100),0)</f>
        <v>5.9</v>
      </c>
      <c r="AO73" s="207">
        <f ca="1">OFFSET('CANARD AERO'!$N$24,((ROW('CANARD AERO'!$A52)-ROW('CANARD AERO'!$A$24))*$B$39/100),0)</f>
        <v>-0.15</v>
      </c>
      <c r="AP73" s="207">
        <f ca="1">OFFSET('CANARD AERO'!$O$24,((ROW('CANARD AERO'!$A52)-ROW('CANARD AERO'!$A$24))*$B$39/100),0)</f>
        <v>2.25</v>
      </c>
      <c r="AQ73" s="207">
        <f ca="1">OFFSET('CANARD AERO'!$P$24,((ROW('CANARD AERO'!$A52)-ROW('CANARD AERO'!$A$24))*$B$39/100),0)</f>
        <v>-1.65</v>
      </c>
      <c r="AR73" s="8">
        <f ca="1">OFFSET('CANARD AERO'!$M$24,((ROW('CANARD AERO'!$A52)-ROW('CANARD AERO'!$A$24))*$B$39/100),0)</f>
        <v>5.9690260418206069</v>
      </c>
    </row>
    <row r="74" spans="1:44" x14ac:dyDescent="0.25">
      <c r="A74">
        <f>Loads!A49</f>
        <v>29</v>
      </c>
      <c r="B74">
        <v>29</v>
      </c>
      <c r="C74">
        <f t="shared" si="0"/>
        <v>7.1358270000000001E-2</v>
      </c>
      <c r="D74">
        <f>Loads!B49</f>
        <v>2.8543308000000001</v>
      </c>
      <c r="E74">
        <f t="shared" si="1"/>
        <v>0</v>
      </c>
      <c r="F74">
        <f t="shared" si="2"/>
        <v>0</v>
      </c>
      <c r="G74" s="560">
        <f>Stiffness!AQ73/144</f>
        <v>124655.9831825911</v>
      </c>
      <c r="H74" s="560">
        <f>Stiffness!AV73/144</f>
        <v>113634.69396204848</v>
      </c>
      <c r="I74">
        <v>0</v>
      </c>
      <c r="J74">
        <v>0</v>
      </c>
      <c r="K74">
        <v>0</v>
      </c>
      <c r="L74" s="560">
        <f>Stiffness!BC73/144</f>
        <v>2522184.0094161136</v>
      </c>
      <c r="M74">
        <v>0</v>
      </c>
      <c r="N74">
        <v>0</v>
      </c>
      <c r="O74">
        <v>0</v>
      </c>
      <c r="P74">
        <v>0</v>
      </c>
      <c r="Q74">
        <v>0</v>
      </c>
      <c r="R74">
        <f>'Weight '!BT75*'Weight '!$E$36/Stiffness!D73</f>
        <v>2.8072699721125596</v>
      </c>
      <c r="S74">
        <f ca="1">'Weight '!BU75-$AL73*$AM73</f>
        <v>0.36480070473726023</v>
      </c>
      <c r="T74" s="2">
        <v>0</v>
      </c>
      <c r="U74">
        <v>0</v>
      </c>
      <c r="V74">
        <v>0</v>
      </c>
      <c r="W74">
        <v>0</v>
      </c>
      <c r="X74">
        <v>0</v>
      </c>
      <c r="Y74">
        <v>0</v>
      </c>
      <c r="Z74">
        <f ca="1">Stiffness!CV73-AL74*AM74</f>
        <v>0.16870042051395245</v>
      </c>
      <c r="AA74">
        <v>0</v>
      </c>
      <c r="AB74">
        <v>0</v>
      </c>
      <c r="AC74" s="207">
        <v>0</v>
      </c>
      <c r="AD74">
        <f t="shared" si="3"/>
        <v>2E-3</v>
      </c>
      <c r="AE74">
        <f t="shared" si="4"/>
        <v>2E-3</v>
      </c>
      <c r="AF74">
        <f t="shared" ca="1" si="5"/>
        <v>0</v>
      </c>
      <c r="AG74">
        <f t="shared" si="6"/>
        <v>0.16624016280000001</v>
      </c>
      <c r="AH74" s="565">
        <f>Sizing!AD89*(Sizing!CO89+Sizing!CP89) / (12^3)</f>
        <v>8.9013697781435989E-4</v>
      </c>
      <c r="AI74">
        <f t="shared" si="9"/>
        <v>0</v>
      </c>
      <c r="AJ74">
        <f t="shared" si="7"/>
        <v>0</v>
      </c>
      <c r="AK74">
        <f t="shared" si="8"/>
        <v>0</v>
      </c>
      <c r="AL74" s="207">
        <f>Loads!C49</f>
        <v>1.84711292</v>
      </c>
      <c r="AM74">
        <f ca="1">OFFSET('CANARD AERO'!$F$24,((ROW('CANARD AERO'!$A53)-ROW('CANARD AERO'!$A$24))*$B$39/100),0)</f>
        <v>0.25</v>
      </c>
      <c r="AN74" s="207">
        <f ca="1">OFFSET('CANARD AERO'!$J$24,((ROW('CANARD AERO'!$A53)-ROW('CANARD AERO'!$A$24))*$B$39/100),0)</f>
        <v>5.9</v>
      </c>
      <c r="AO74" s="207">
        <f ca="1">OFFSET('CANARD AERO'!$N$24,((ROW('CANARD AERO'!$A53)-ROW('CANARD AERO'!$A$24))*$B$39/100),0)</f>
        <v>-0.15</v>
      </c>
      <c r="AP74" s="207">
        <f ca="1">OFFSET('CANARD AERO'!$O$24,((ROW('CANARD AERO'!$A53)-ROW('CANARD AERO'!$A$24))*$B$39/100),0)</f>
        <v>2.25</v>
      </c>
      <c r="AQ74" s="207">
        <f ca="1">OFFSET('CANARD AERO'!$P$24,((ROW('CANARD AERO'!$A53)-ROW('CANARD AERO'!$A$24))*$B$39/100),0)</f>
        <v>-1.65</v>
      </c>
      <c r="AR74" s="8">
        <f ca="1">OFFSET('CANARD AERO'!$M$24,((ROW('CANARD AERO'!$A53)-ROW('CANARD AERO'!$A$24))*$B$39/100),0)</f>
        <v>5.9690260418206069</v>
      </c>
    </row>
    <row r="75" spans="1:44" x14ac:dyDescent="0.25">
      <c r="A75">
        <f>Loads!A50</f>
        <v>30</v>
      </c>
      <c r="B75">
        <v>30</v>
      </c>
      <c r="C75">
        <f t="shared" si="0"/>
        <v>7.3818900000000007E-2</v>
      </c>
      <c r="D75">
        <f>Loads!B50</f>
        <v>2.9527559999999999</v>
      </c>
      <c r="E75">
        <f t="shared" si="1"/>
        <v>0</v>
      </c>
      <c r="F75">
        <f t="shared" si="2"/>
        <v>0</v>
      </c>
      <c r="G75" s="560">
        <f>Stiffness!AQ74/144</f>
        <v>98815.056535930853</v>
      </c>
      <c r="H75" s="560">
        <f>Stiffness!AV74/144</f>
        <v>87483.173063071474</v>
      </c>
      <c r="I75">
        <v>0</v>
      </c>
      <c r="J75">
        <v>0</v>
      </c>
      <c r="K75">
        <v>0</v>
      </c>
      <c r="L75" s="560">
        <f>Stiffness!BC74/144</f>
        <v>2482079.3671174287</v>
      </c>
      <c r="M75">
        <v>0</v>
      </c>
      <c r="N75">
        <v>0</v>
      </c>
      <c r="O75">
        <v>0</v>
      </c>
      <c r="P75">
        <v>0</v>
      </c>
      <c r="Q75">
        <v>0</v>
      </c>
      <c r="R75">
        <f>'Weight '!BT76*'Weight '!$E$36/Stiffness!D74</f>
        <v>2.697408906081955</v>
      </c>
      <c r="S75">
        <f ca="1">'Weight '!BU76-$AL74*$AM74</f>
        <v>0.37545961540000178</v>
      </c>
      <c r="T75" s="2">
        <v>0</v>
      </c>
      <c r="U75">
        <v>0</v>
      </c>
      <c r="V75">
        <v>0</v>
      </c>
      <c r="W75">
        <v>0</v>
      </c>
      <c r="X75">
        <v>0</v>
      </c>
      <c r="Y75">
        <v>0</v>
      </c>
      <c r="Z75">
        <f ca="1">Stiffness!CV74-AL75*AM75</f>
        <v>0.16792023158560143</v>
      </c>
      <c r="AA75">
        <v>0</v>
      </c>
      <c r="AB75">
        <v>0</v>
      </c>
      <c r="AC75" s="207">
        <v>0</v>
      </c>
      <c r="AD75">
        <f t="shared" si="3"/>
        <v>2E-3</v>
      </c>
      <c r="AE75">
        <f t="shared" si="4"/>
        <v>2E-3</v>
      </c>
      <c r="AF75">
        <f t="shared" ca="1" si="5"/>
        <v>0</v>
      </c>
      <c r="AG75">
        <f t="shared" si="6"/>
        <v>0.16535433599999999</v>
      </c>
      <c r="AH75" s="565">
        <f>Sizing!AD90*(Sizing!CO90+Sizing!CP90) / (12^3)</f>
        <v>8.8067589020561423E-4</v>
      </c>
      <c r="AI75">
        <f t="shared" si="9"/>
        <v>0</v>
      </c>
      <c r="AJ75">
        <f t="shared" si="7"/>
        <v>0</v>
      </c>
      <c r="AK75">
        <f t="shared" si="8"/>
        <v>0</v>
      </c>
      <c r="AL75" s="207">
        <f>Loads!C50</f>
        <v>1.8372704</v>
      </c>
      <c r="AM75">
        <f ca="1">OFFSET('CANARD AERO'!$F$24,((ROW('CANARD AERO'!$A54)-ROW('CANARD AERO'!$A$24))*$B$39/100),0)</f>
        <v>0.25</v>
      </c>
      <c r="AN75" s="207">
        <f ca="1">OFFSET('CANARD AERO'!$J$24,((ROW('CANARD AERO'!$A54)-ROW('CANARD AERO'!$A$24))*$B$39/100),0)</f>
        <v>5.9</v>
      </c>
      <c r="AO75" s="207">
        <f ca="1">OFFSET('CANARD AERO'!$N$24,((ROW('CANARD AERO'!$A54)-ROW('CANARD AERO'!$A$24))*$B$39/100),0)</f>
        <v>-0.15</v>
      </c>
      <c r="AP75" s="207">
        <f ca="1">OFFSET('CANARD AERO'!$O$24,((ROW('CANARD AERO'!$A54)-ROW('CANARD AERO'!$A$24))*$B$39/100),0)</f>
        <v>2.25</v>
      </c>
      <c r="AQ75" s="207">
        <f ca="1">OFFSET('CANARD AERO'!$P$24,((ROW('CANARD AERO'!$A54)-ROW('CANARD AERO'!$A$24))*$B$39/100),0)</f>
        <v>-1.65</v>
      </c>
      <c r="AR75" s="8">
        <f ca="1">OFFSET('CANARD AERO'!$M$24,((ROW('CANARD AERO'!$A54)-ROW('CANARD AERO'!$A$24))*$B$39/100),0)</f>
        <v>5.9690260418206069</v>
      </c>
    </row>
    <row r="76" spans="1:44" x14ac:dyDescent="0.25">
      <c r="A76">
        <f>Loads!A51</f>
        <v>31</v>
      </c>
      <c r="B76">
        <v>31</v>
      </c>
      <c r="C76">
        <f t="shared" si="0"/>
        <v>7.6279530000000012E-2</v>
      </c>
      <c r="D76">
        <f>Loads!B51</f>
        <v>3.0511812000000003</v>
      </c>
      <c r="E76">
        <f t="shared" si="1"/>
        <v>0</v>
      </c>
      <c r="F76">
        <f t="shared" si="2"/>
        <v>0</v>
      </c>
      <c r="G76" s="560">
        <f>Stiffness!AQ75/144</f>
        <v>97388.530080554934</v>
      </c>
      <c r="H76" s="560">
        <f>Stiffness!AV75/144</f>
        <v>86548.364029479795</v>
      </c>
      <c r="I76">
        <v>0</v>
      </c>
      <c r="J76">
        <v>0</v>
      </c>
      <c r="K76">
        <v>0</v>
      </c>
      <c r="L76" s="560">
        <f>Stiffness!BC75/144</f>
        <v>2442402.1236893558</v>
      </c>
      <c r="M76">
        <v>0</v>
      </c>
      <c r="N76">
        <v>0</v>
      </c>
      <c r="O76">
        <v>0</v>
      </c>
      <c r="P76">
        <v>0</v>
      </c>
      <c r="Q76">
        <v>0</v>
      </c>
      <c r="R76">
        <f>'Weight '!BT77*'Weight '!$E$36/Stiffness!D75</f>
        <v>2.684737103477834</v>
      </c>
      <c r="S76">
        <f ca="1">'Weight '!BU77-$AL75*$AM75</f>
        <v>0.37319606617646184</v>
      </c>
      <c r="T76" s="2">
        <v>0</v>
      </c>
      <c r="U76">
        <v>0</v>
      </c>
      <c r="V76">
        <v>0</v>
      </c>
      <c r="W76">
        <v>0</v>
      </c>
      <c r="X76">
        <v>0</v>
      </c>
      <c r="Y76">
        <v>0</v>
      </c>
      <c r="Z76">
        <f ca="1">Stiffness!CV75-AL76*AM76</f>
        <v>0.16714154174317675</v>
      </c>
      <c r="AA76">
        <v>0</v>
      </c>
      <c r="AB76">
        <v>0</v>
      </c>
      <c r="AC76" s="207">
        <v>0</v>
      </c>
      <c r="AD76">
        <f t="shared" si="3"/>
        <v>2E-3</v>
      </c>
      <c r="AE76">
        <f t="shared" si="4"/>
        <v>2E-3</v>
      </c>
      <c r="AF76">
        <f t="shared" ca="1" si="5"/>
        <v>0</v>
      </c>
      <c r="AG76">
        <f t="shared" si="6"/>
        <v>0.1644685092</v>
      </c>
      <c r="AH76" s="565">
        <f>Sizing!AD91*(Sizing!CO91+Sizing!CP91) / (12^3)</f>
        <v>8.7126535159566857E-4</v>
      </c>
      <c r="AI76">
        <f t="shared" si="9"/>
        <v>0</v>
      </c>
      <c r="AJ76">
        <f t="shared" si="7"/>
        <v>0</v>
      </c>
      <c r="AK76">
        <f t="shared" si="8"/>
        <v>0</v>
      </c>
      <c r="AL76" s="207">
        <f>Loads!C51</f>
        <v>1.8274278800000001</v>
      </c>
      <c r="AM76">
        <f ca="1">OFFSET('CANARD AERO'!$F$24,((ROW('CANARD AERO'!$A55)-ROW('CANARD AERO'!$A$24))*$B$39/100),0)</f>
        <v>0.25</v>
      </c>
      <c r="AN76" s="207">
        <f ca="1">OFFSET('CANARD AERO'!$J$24,((ROW('CANARD AERO'!$A55)-ROW('CANARD AERO'!$A$24))*$B$39/100),0)</f>
        <v>5.9</v>
      </c>
      <c r="AO76" s="207">
        <f ca="1">OFFSET('CANARD AERO'!$N$24,((ROW('CANARD AERO'!$A55)-ROW('CANARD AERO'!$A$24))*$B$39/100),0)</f>
        <v>-0.15</v>
      </c>
      <c r="AP76" s="207">
        <f ca="1">OFFSET('CANARD AERO'!$O$24,((ROW('CANARD AERO'!$A55)-ROW('CANARD AERO'!$A$24))*$B$39/100),0)</f>
        <v>2.25</v>
      </c>
      <c r="AQ76" s="207">
        <f ca="1">OFFSET('CANARD AERO'!$P$24,((ROW('CANARD AERO'!$A55)-ROW('CANARD AERO'!$A$24))*$B$39/100),0)</f>
        <v>-1.65</v>
      </c>
      <c r="AR76" s="8">
        <f ca="1">OFFSET('CANARD AERO'!$M$24,((ROW('CANARD AERO'!$A55)-ROW('CANARD AERO'!$A$24))*$B$39/100),0)</f>
        <v>5.9690260418206069</v>
      </c>
    </row>
    <row r="77" spans="1:44" x14ac:dyDescent="0.25">
      <c r="A77">
        <f>Loads!A52</f>
        <v>32</v>
      </c>
      <c r="B77">
        <v>32</v>
      </c>
      <c r="C77">
        <f t="shared" ref="C77:C108" si="10">B77/$B$145*($B$8-$B$7)</f>
        <v>7.8740160000000017E-2</v>
      </c>
      <c r="D77">
        <f>Loads!B52</f>
        <v>3.1496064000000001</v>
      </c>
      <c r="E77">
        <f t="shared" ref="E77:E108" si="11">D77/$D$145*($D$8-$D$7)</f>
        <v>0</v>
      </c>
      <c r="F77">
        <f t="shared" ref="F77:F108" si="12">($E$8-$E$7)*A77/$A$145</f>
        <v>0</v>
      </c>
      <c r="G77" s="560">
        <f>Stiffness!AQ76/144</f>
        <v>95972.375528450895</v>
      </c>
      <c r="H77" s="560">
        <f>Stiffness!AV76/144</f>
        <v>85618.576351484822</v>
      </c>
      <c r="I77">
        <v>0</v>
      </c>
      <c r="J77">
        <v>0</v>
      </c>
      <c r="K77">
        <v>0</v>
      </c>
      <c r="L77" s="560">
        <f>Stiffness!BC76/144</f>
        <v>2403149.9894950925</v>
      </c>
      <c r="M77">
        <v>0</v>
      </c>
      <c r="N77">
        <v>0</v>
      </c>
      <c r="O77">
        <v>0</v>
      </c>
      <c r="P77">
        <v>0</v>
      </c>
      <c r="Q77">
        <v>0</v>
      </c>
      <c r="R77">
        <f>'Weight '!BT78*'Weight '!$E$36/Stiffness!D76</f>
        <v>2.672065300873713</v>
      </c>
      <c r="S77">
        <f ca="1">'Weight '!BU78-$AL76*$AM76</f>
        <v>0.37093283680542799</v>
      </c>
      <c r="T77" s="2">
        <v>0</v>
      </c>
      <c r="U77">
        <v>0</v>
      </c>
      <c r="V77">
        <v>0</v>
      </c>
      <c r="W77">
        <v>0</v>
      </c>
      <c r="X77">
        <v>0</v>
      </c>
      <c r="Y77">
        <v>0</v>
      </c>
      <c r="Z77">
        <f ca="1">Stiffness!CV76-AL77*AM77</f>
        <v>0.16636436009736816</v>
      </c>
      <c r="AA77">
        <v>0</v>
      </c>
      <c r="AB77">
        <v>0</v>
      </c>
      <c r="AC77" s="207">
        <v>0</v>
      </c>
      <c r="AD77">
        <f t="shared" ref="AD77:AD108" si="13">$B$36</f>
        <v>2E-3</v>
      </c>
      <c r="AE77">
        <f t="shared" ref="AE77:AE108" si="14">$B$37</f>
        <v>2E-3</v>
      </c>
      <c r="AF77">
        <f t="shared" ref="AF77:AF108" ca="1" si="15">AL77*$B$12-AL77*AM77</f>
        <v>0</v>
      </c>
      <c r="AG77">
        <f t="shared" ref="AG77:AG108" si="16">AL77*$B$13/2</f>
        <v>0.16358268239999998</v>
      </c>
      <c r="AH77" s="565">
        <f>Sizing!AD92*(Sizing!CO92+Sizing!CP92) / (12^3)</f>
        <v>8.6190536198452248E-4</v>
      </c>
      <c r="AI77">
        <f t="shared" si="9"/>
        <v>0</v>
      </c>
      <c r="AJ77">
        <f t="shared" ref="AJ77:AJ108" si="17">$B$18</f>
        <v>0</v>
      </c>
      <c r="AK77">
        <f t="shared" ref="AK77:AK108" si="18">$B$19</f>
        <v>0</v>
      </c>
      <c r="AL77" s="207">
        <f>Loads!C52</f>
        <v>1.81758536</v>
      </c>
      <c r="AM77">
        <f ca="1">OFFSET('CANARD AERO'!$F$24,((ROW('CANARD AERO'!$A56)-ROW('CANARD AERO'!$A$24))*$B$39/100),0)</f>
        <v>0.25</v>
      </c>
      <c r="AN77" s="207">
        <f ca="1">OFFSET('CANARD AERO'!$J$24,((ROW('CANARD AERO'!$A56)-ROW('CANARD AERO'!$A$24))*$B$39/100),0)</f>
        <v>5.9</v>
      </c>
      <c r="AO77" s="207">
        <f ca="1">OFFSET('CANARD AERO'!$N$24,((ROW('CANARD AERO'!$A56)-ROW('CANARD AERO'!$A$24))*$B$39/100),0)</f>
        <v>-0.15</v>
      </c>
      <c r="AP77" s="207">
        <f ca="1">OFFSET('CANARD AERO'!$O$24,((ROW('CANARD AERO'!$A56)-ROW('CANARD AERO'!$A$24))*$B$39/100),0)</f>
        <v>2.25</v>
      </c>
      <c r="AQ77" s="207">
        <f ca="1">OFFSET('CANARD AERO'!$P$24,((ROW('CANARD AERO'!$A56)-ROW('CANARD AERO'!$A$24))*$B$39/100),0)</f>
        <v>-1.65</v>
      </c>
      <c r="AR77" s="8">
        <f ca="1">OFFSET('CANARD AERO'!$M$24,((ROW('CANARD AERO'!$A56)-ROW('CANARD AERO'!$A$24))*$B$39/100),0)</f>
        <v>5.9690260418206069</v>
      </c>
    </row>
    <row r="78" spans="1:44" x14ac:dyDescent="0.25">
      <c r="A78">
        <f>Loads!A53</f>
        <v>33</v>
      </c>
      <c r="B78">
        <v>33</v>
      </c>
      <c r="C78">
        <f t="shared" si="10"/>
        <v>8.1200790000000009E-2</v>
      </c>
      <c r="D78">
        <f>Loads!B53</f>
        <v>3.2480316000000005</v>
      </c>
      <c r="E78">
        <f t="shared" si="11"/>
        <v>0</v>
      </c>
      <c r="F78">
        <f t="shared" si="12"/>
        <v>0</v>
      </c>
      <c r="G78" s="560">
        <f>Stiffness!AQ77/144</f>
        <v>94566.592879618751</v>
      </c>
      <c r="H78" s="560">
        <f>Stiffness!AV77/144</f>
        <v>84693.810029086584</v>
      </c>
      <c r="I78">
        <v>0</v>
      </c>
      <c r="J78">
        <v>0</v>
      </c>
      <c r="K78">
        <v>0</v>
      </c>
      <c r="L78" s="560">
        <f>Stiffness!BC77/144</f>
        <v>2364320.6748978253</v>
      </c>
      <c r="M78">
        <v>0</v>
      </c>
      <c r="N78">
        <v>0</v>
      </c>
      <c r="O78">
        <v>0</v>
      </c>
      <c r="P78">
        <v>0</v>
      </c>
      <c r="Q78">
        <v>0</v>
      </c>
      <c r="R78">
        <f>'Weight '!BT79*'Weight '!$E$36/Stiffness!D77</f>
        <v>2.6593934982695924</v>
      </c>
      <c r="S78">
        <f ca="1">'Weight '!BU79-$AL77*$AM77</f>
        <v>0.36866993185911717</v>
      </c>
      <c r="T78" s="2">
        <v>0</v>
      </c>
      <c r="U78">
        <v>0</v>
      </c>
      <c r="V78">
        <v>0</v>
      </c>
      <c r="W78">
        <v>0</v>
      </c>
      <c r="X78">
        <v>0</v>
      </c>
      <c r="Y78">
        <v>0</v>
      </c>
      <c r="Z78">
        <f ca="1">Stiffness!CV77-AL78*AM78</f>
        <v>0.16558869553660782</v>
      </c>
      <c r="AA78">
        <v>0</v>
      </c>
      <c r="AB78">
        <v>0</v>
      </c>
      <c r="AC78" s="207">
        <v>0</v>
      </c>
      <c r="AD78">
        <f t="shared" si="13"/>
        <v>2E-3</v>
      </c>
      <c r="AE78">
        <f t="shared" si="14"/>
        <v>2E-3</v>
      </c>
      <c r="AF78">
        <f t="shared" ca="1" si="15"/>
        <v>0</v>
      </c>
      <c r="AG78">
        <f t="shared" si="16"/>
        <v>0.1626968556</v>
      </c>
      <c r="AH78" s="565">
        <f>Sizing!AD93*(Sizing!CO93+Sizing!CP93) / (12^3)</f>
        <v>8.5259592137217684E-4</v>
      </c>
      <c r="AI78">
        <f t="shared" si="9"/>
        <v>0</v>
      </c>
      <c r="AJ78">
        <f t="shared" si="17"/>
        <v>0</v>
      </c>
      <c r="AK78">
        <f t="shared" si="18"/>
        <v>0</v>
      </c>
      <c r="AL78" s="207">
        <f>Loads!C53</f>
        <v>1.80774284</v>
      </c>
      <c r="AM78">
        <f ca="1">OFFSET('CANARD AERO'!$F$24,((ROW('CANARD AERO'!$A57)-ROW('CANARD AERO'!$A$24))*$B$39/100),0)</f>
        <v>0.25</v>
      </c>
      <c r="AN78" s="207">
        <f ca="1">OFFSET('CANARD AERO'!$J$24,((ROW('CANARD AERO'!$A57)-ROW('CANARD AERO'!$A$24))*$B$39/100),0)</f>
        <v>5.9</v>
      </c>
      <c r="AO78" s="207">
        <f ca="1">OFFSET('CANARD AERO'!$N$24,((ROW('CANARD AERO'!$A57)-ROW('CANARD AERO'!$A$24))*$B$39/100),0)</f>
        <v>-0.15</v>
      </c>
      <c r="AP78" s="207">
        <f ca="1">OFFSET('CANARD AERO'!$O$24,((ROW('CANARD AERO'!$A57)-ROW('CANARD AERO'!$A$24))*$B$39/100),0)</f>
        <v>2.25</v>
      </c>
      <c r="AQ78" s="207">
        <f ca="1">OFFSET('CANARD AERO'!$P$24,((ROW('CANARD AERO'!$A57)-ROW('CANARD AERO'!$A$24))*$B$39/100),0)</f>
        <v>-1.65</v>
      </c>
      <c r="AR78" s="8">
        <f ca="1">OFFSET('CANARD AERO'!$M$24,((ROW('CANARD AERO'!$A57)-ROW('CANARD AERO'!$A$24))*$B$39/100),0)</f>
        <v>5.9690260418206069</v>
      </c>
    </row>
    <row r="79" spans="1:44" x14ac:dyDescent="0.25">
      <c r="A79">
        <f>Loads!A54</f>
        <v>34</v>
      </c>
      <c r="B79">
        <v>34</v>
      </c>
      <c r="C79">
        <f t="shared" si="10"/>
        <v>8.3661420000000014E-2</v>
      </c>
      <c r="D79">
        <f>Loads!B54</f>
        <v>3.3464568000000003</v>
      </c>
      <c r="E79">
        <f t="shared" si="11"/>
        <v>0</v>
      </c>
      <c r="F79">
        <f t="shared" si="12"/>
        <v>0</v>
      </c>
      <c r="G79" s="560">
        <f>Stiffness!AQ78/144</f>
        <v>93171.182134058487</v>
      </c>
      <c r="H79" s="560">
        <f>Stiffness!AV78/144</f>
        <v>83774.065062285139</v>
      </c>
      <c r="I79">
        <v>0</v>
      </c>
      <c r="J79">
        <v>0</v>
      </c>
      <c r="K79">
        <v>0</v>
      </c>
      <c r="L79" s="560">
        <f>Stiffness!BC78/144</f>
        <v>2325911.8902607514</v>
      </c>
      <c r="M79">
        <v>0</v>
      </c>
      <c r="N79">
        <v>0</v>
      </c>
      <c r="O79">
        <v>0</v>
      </c>
      <c r="P79">
        <v>0</v>
      </c>
      <c r="Q79">
        <v>0</v>
      </c>
      <c r="R79">
        <f>'Weight '!BT80*'Weight '!$E$36/Stiffness!D78</f>
        <v>2.6467216956654718</v>
      </c>
      <c r="S79">
        <f ca="1">'Weight '!BU80-$AL78*$AM78</f>
        <v>0.36640735599730845</v>
      </c>
      <c r="T79" s="2">
        <v>0</v>
      </c>
      <c r="U79">
        <v>0</v>
      </c>
      <c r="V79">
        <v>0</v>
      </c>
      <c r="W79">
        <v>0</v>
      </c>
      <c r="X79">
        <v>0</v>
      </c>
      <c r="Y79">
        <v>0</v>
      </c>
      <c r="Z79">
        <f ca="1">Stiffness!CV78-AL79*AM79</f>
        <v>0.16481455671851464</v>
      </c>
      <c r="AA79">
        <v>0</v>
      </c>
      <c r="AB79">
        <v>0</v>
      </c>
      <c r="AC79" s="207">
        <v>0</v>
      </c>
      <c r="AD79">
        <f t="shared" si="13"/>
        <v>2E-3</v>
      </c>
      <c r="AE79">
        <f t="shared" si="14"/>
        <v>2E-3</v>
      </c>
      <c r="AF79">
        <f t="shared" ca="1" si="15"/>
        <v>0</v>
      </c>
      <c r="AG79">
        <f t="shared" si="16"/>
        <v>0.16181102880000001</v>
      </c>
      <c r="AH79" s="565">
        <f>Sizing!AD94*(Sizing!CO94+Sizing!CP94) / (12^3)</f>
        <v>8.4333702975863121E-4</v>
      </c>
      <c r="AI79">
        <f t="shared" si="9"/>
        <v>0</v>
      </c>
      <c r="AJ79">
        <f t="shared" si="17"/>
        <v>0</v>
      </c>
      <c r="AK79">
        <f t="shared" si="18"/>
        <v>0</v>
      </c>
      <c r="AL79" s="207">
        <f>Loads!C54</f>
        <v>1.7979003200000001</v>
      </c>
      <c r="AM79">
        <f ca="1">OFFSET('CANARD AERO'!$F$24,((ROW('CANARD AERO'!$A58)-ROW('CANARD AERO'!$A$24))*$B$39/100),0)</f>
        <v>0.25</v>
      </c>
      <c r="AN79" s="207">
        <f ca="1">OFFSET('CANARD AERO'!$J$24,((ROW('CANARD AERO'!$A58)-ROW('CANARD AERO'!$A$24))*$B$39/100),0)</f>
        <v>5.9</v>
      </c>
      <c r="AO79" s="207">
        <f ca="1">OFFSET('CANARD AERO'!$N$24,((ROW('CANARD AERO'!$A58)-ROW('CANARD AERO'!$A$24))*$B$39/100),0)</f>
        <v>-0.15</v>
      </c>
      <c r="AP79" s="207">
        <f ca="1">OFFSET('CANARD AERO'!$O$24,((ROW('CANARD AERO'!$A58)-ROW('CANARD AERO'!$A$24))*$B$39/100),0)</f>
        <v>2.25</v>
      </c>
      <c r="AQ79" s="207">
        <f ca="1">OFFSET('CANARD AERO'!$P$24,((ROW('CANARD AERO'!$A58)-ROW('CANARD AERO'!$A$24))*$B$39/100),0)</f>
        <v>-1.65</v>
      </c>
      <c r="AR79" s="8">
        <f ca="1">OFFSET('CANARD AERO'!$M$24,((ROW('CANARD AERO'!$A58)-ROW('CANARD AERO'!$A$24))*$B$39/100),0)</f>
        <v>5.9690260418206069</v>
      </c>
    </row>
    <row r="80" spans="1:44" x14ac:dyDescent="0.25">
      <c r="A80">
        <f>Loads!A55</f>
        <v>35</v>
      </c>
      <c r="B80">
        <v>35</v>
      </c>
      <c r="C80">
        <f t="shared" si="10"/>
        <v>8.6122050000000006E-2</v>
      </c>
      <c r="D80">
        <f>Loads!B55</f>
        <v>3.4448819999999998</v>
      </c>
      <c r="E80">
        <f t="shared" si="11"/>
        <v>0</v>
      </c>
      <c r="F80">
        <f t="shared" si="12"/>
        <v>0</v>
      </c>
      <c r="G80" s="560">
        <f>Stiffness!AQ79/144</f>
        <v>91786.143291770146</v>
      </c>
      <c r="H80" s="560">
        <f>Stiffness!AV79/144</f>
        <v>82859.3414510804</v>
      </c>
      <c r="I80">
        <v>0</v>
      </c>
      <c r="J80">
        <v>0</v>
      </c>
      <c r="K80">
        <v>0</v>
      </c>
      <c r="L80" s="560">
        <f>Stiffness!BC79/144</f>
        <v>2287921.345947064</v>
      </c>
      <c r="M80">
        <v>0</v>
      </c>
      <c r="N80">
        <v>0</v>
      </c>
      <c r="O80">
        <v>0</v>
      </c>
      <c r="P80">
        <v>0</v>
      </c>
      <c r="Q80">
        <v>0</v>
      </c>
      <c r="R80">
        <f>'Weight '!BT81*'Weight '!$E$36/Stiffness!D79</f>
        <v>2.6340498930613507</v>
      </c>
      <c r="S80">
        <f ca="1">'Weight '!BU81-$AL79*$AM79</f>
        <v>0.36414511396944871</v>
      </c>
      <c r="T80" s="2">
        <v>0</v>
      </c>
      <c r="U80">
        <v>0</v>
      </c>
      <c r="V80">
        <v>0</v>
      </c>
      <c r="W80">
        <v>0</v>
      </c>
      <c r="X80">
        <v>0</v>
      </c>
      <c r="Y80">
        <v>0</v>
      </c>
      <c r="Z80">
        <f ca="1">Stiffness!CV79-AL80*AM80</f>
        <v>0.16404195206116384</v>
      </c>
      <c r="AA80">
        <v>0</v>
      </c>
      <c r="AB80">
        <v>0</v>
      </c>
      <c r="AC80" s="207">
        <v>0</v>
      </c>
      <c r="AD80">
        <f t="shared" si="13"/>
        <v>2E-3</v>
      </c>
      <c r="AE80">
        <f t="shared" si="14"/>
        <v>2E-3</v>
      </c>
      <c r="AF80">
        <f t="shared" ca="1" si="15"/>
        <v>0</v>
      </c>
      <c r="AG80">
        <f t="shared" si="16"/>
        <v>0.16092520199999999</v>
      </c>
      <c r="AH80" s="565">
        <f>Sizing!AD95*(Sizing!CO95+Sizing!CP95) / (12^3)</f>
        <v>8.3412868714388591E-4</v>
      </c>
      <c r="AI80">
        <f t="shared" si="9"/>
        <v>0</v>
      </c>
      <c r="AJ80">
        <f t="shared" si="17"/>
        <v>0</v>
      </c>
      <c r="AK80">
        <f t="shared" si="18"/>
        <v>0</v>
      </c>
      <c r="AL80" s="207">
        <f>Loads!C55</f>
        <v>1.7880578</v>
      </c>
      <c r="AM80">
        <f ca="1">OFFSET('CANARD AERO'!$F$24,((ROW('CANARD AERO'!$A59)-ROW('CANARD AERO'!$A$24))*$B$39/100),0)</f>
        <v>0.25</v>
      </c>
      <c r="AN80" s="207">
        <f ca="1">OFFSET('CANARD AERO'!$J$24,((ROW('CANARD AERO'!$A59)-ROW('CANARD AERO'!$A$24))*$B$39/100),0)</f>
        <v>5.9</v>
      </c>
      <c r="AO80" s="207">
        <f ca="1">OFFSET('CANARD AERO'!$N$24,((ROW('CANARD AERO'!$A59)-ROW('CANARD AERO'!$A$24))*$B$39/100),0)</f>
        <v>-0.15</v>
      </c>
      <c r="AP80" s="207">
        <f ca="1">OFFSET('CANARD AERO'!$O$24,((ROW('CANARD AERO'!$A59)-ROW('CANARD AERO'!$A$24))*$B$39/100),0)</f>
        <v>2.25</v>
      </c>
      <c r="AQ80" s="207">
        <f ca="1">OFFSET('CANARD AERO'!$P$24,((ROW('CANARD AERO'!$A59)-ROW('CANARD AERO'!$A$24))*$B$39/100),0)</f>
        <v>-1.65</v>
      </c>
      <c r="AR80" s="8">
        <f ca="1">OFFSET('CANARD AERO'!$M$24,((ROW('CANARD AERO'!$A59)-ROW('CANARD AERO'!$A$24))*$B$39/100),0)</f>
        <v>5.9690260418206069</v>
      </c>
    </row>
    <row r="81" spans="1:44" x14ac:dyDescent="0.25">
      <c r="A81">
        <f>Loads!A56</f>
        <v>36</v>
      </c>
      <c r="B81">
        <v>36</v>
      </c>
      <c r="C81">
        <f t="shared" si="10"/>
        <v>8.8582680000000011E-2</v>
      </c>
      <c r="D81">
        <f>Loads!B56</f>
        <v>3.5433072000000001</v>
      </c>
      <c r="E81">
        <f t="shared" si="11"/>
        <v>0</v>
      </c>
      <c r="F81">
        <f t="shared" si="12"/>
        <v>0</v>
      </c>
      <c r="G81" s="560">
        <f>Stiffness!AQ80/144</f>
        <v>90411.476352753642</v>
      </c>
      <c r="H81" s="560">
        <f>Stiffness!AV80/144</f>
        <v>81949.639195472322</v>
      </c>
      <c r="I81">
        <v>0</v>
      </c>
      <c r="J81">
        <v>0</v>
      </c>
      <c r="K81">
        <v>0</v>
      </c>
      <c r="L81" s="560">
        <f>Stiffness!BC80/144</f>
        <v>2250346.7523199562</v>
      </c>
      <c r="M81">
        <v>0</v>
      </c>
      <c r="N81">
        <v>0</v>
      </c>
      <c r="O81">
        <v>0</v>
      </c>
      <c r="P81">
        <v>0</v>
      </c>
      <c r="Q81">
        <v>0</v>
      </c>
      <c r="R81">
        <f>'Weight '!BT82*'Weight '!$E$36/Stiffness!D80</f>
        <v>2.621378090457231</v>
      </c>
      <c r="S81">
        <f ca="1">'Weight '!BU82-$AL80*$AM80</f>
        <v>0.36188321061682188</v>
      </c>
      <c r="T81" s="2">
        <v>0</v>
      </c>
      <c r="U81">
        <v>0</v>
      </c>
      <c r="V81">
        <v>0</v>
      </c>
      <c r="W81">
        <v>0</v>
      </c>
      <c r="X81">
        <v>0</v>
      </c>
      <c r="Y81">
        <v>0</v>
      </c>
      <c r="Z81">
        <f ca="1">Stiffness!CV80-AL81*AM81</f>
        <v>0.16327088973418225</v>
      </c>
      <c r="AA81">
        <v>0</v>
      </c>
      <c r="AB81">
        <v>0</v>
      </c>
      <c r="AC81" s="207">
        <v>0</v>
      </c>
      <c r="AD81">
        <f t="shared" si="13"/>
        <v>2E-3</v>
      </c>
      <c r="AE81">
        <f t="shared" si="14"/>
        <v>2E-3</v>
      </c>
      <c r="AF81">
        <f t="shared" ca="1" si="15"/>
        <v>0</v>
      </c>
      <c r="AG81">
        <f t="shared" si="16"/>
        <v>0.1600393752</v>
      </c>
      <c r="AH81" s="565">
        <f>Sizing!AD96*(Sizing!CO96+Sizing!CP96) / (12^3)</f>
        <v>8.2497089352794018E-4</v>
      </c>
      <c r="AI81">
        <f t="shared" si="9"/>
        <v>0</v>
      </c>
      <c r="AJ81">
        <f t="shared" si="17"/>
        <v>0</v>
      </c>
      <c r="AK81">
        <f t="shared" si="18"/>
        <v>0</v>
      </c>
      <c r="AL81" s="207">
        <f>Loads!C56</f>
        <v>1.77821528</v>
      </c>
      <c r="AM81">
        <f ca="1">OFFSET('CANARD AERO'!$F$24,((ROW('CANARD AERO'!$A60)-ROW('CANARD AERO'!$A$24))*$B$39/100),0)</f>
        <v>0.25</v>
      </c>
      <c r="AN81" s="207">
        <f ca="1">OFFSET('CANARD AERO'!$J$24,((ROW('CANARD AERO'!$A60)-ROW('CANARD AERO'!$A$24))*$B$39/100),0)</f>
        <v>5.9</v>
      </c>
      <c r="AO81" s="207">
        <f ca="1">OFFSET('CANARD AERO'!$N$24,((ROW('CANARD AERO'!$A60)-ROW('CANARD AERO'!$A$24))*$B$39/100),0)</f>
        <v>-0.15</v>
      </c>
      <c r="AP81" s="207">
        <f ca="1">OFFSET('CANARD AERO'!$O$24,((ROW('CANARD AERO'!$A60)-ROW('CANARD AERO'!$A$24))*$B$39/100),0)</f>
        <v>2.25</v>
      </c>
      <c r="AQ81" s="207">
        <f ca="1">OFFSET('CANARD AERO'!$P$24,((ROW('CANARD AERO'!$A60)-ROW('CANARD AERO'!$A$24))*$B$39/100),0)</f>
        <v>-1.65</v>
      </c>
      <c r="AR81" s="8">
        <f ca="1">OFFSET('CANARD AERO'!$M$24,((ROW('CANARD AERO'!$A60)-ROW('CANARD AERO'!$A$24))*$B$39/100),0)</f>
        <v>5.9690260418206069</v>
      </c>
    </row>
    <row r="82" spans="1:44" x14ac:dyDescent="0.25">
      <c r="A82">
        <f>Loads!A57</f>
        <v>37</v>
      </c>
      <c r="B82">
        <v>37</v>
      </c>
      <c r="C82">
        <f t="shared" si="10"/>
        <v>9.1043310000000016E-2</v>
      </c>
      <c r="D82">
        <f>Loads!B57</f>
        <v>3.6417324</v>
      </c>
      <c r="E82">
        <f t="shared" si="11"/>
        <v>0</v>
      </c>
      <c r="F82">
        <f t="shared" si="12"/>
        <v>0</v>
      </c>
      <c r="G82" s="560">
        <f>Stiffness!AQ81/144</f>
        <v>89047.181317008974</v>
      </c>
      <c r="H82" s="560">
        <f>Stiffness!AV81/144</f>
        <v>81044.958295461023</v>
      </c>
      <c r="I82">
        <v>0</v>
      </c>
      <c r="J82">
        <v>0</v>
      </c>
      <c r="K82">
        <v>0</v>
      </c>
      <c r="L82" s="560">
        <f>Stiffness!BC81/144</f>
        <v>2213185.8197426191</v>
      </c>
      <c r="M82">
        <v>0</v>
      </c>
      <c r="N82">
        <v>0</v>
      </c>
      <c r="O82">
        <v>0</v>
      </c>
      <c r="P82">
        <v>0</v>
      </c>
      <c r="Q82">
        <v>0</v>
      </c>
      <c r="R82">
        <f>'Weight '!BT83*'Weight '!$E$36/Stiffness!D81</f>
        <v>2.6087062878531095</v>
      </c>
      <c r="S82">
        <f ca="1">'Weight '!BU83-$AL81*$AM81</f>
        <v>0.35962165087477715</v>
      </c>
      <c r="T82" s="2">
        <v>0</v>
      </c>
      <c r="U82">
        <v>0</v>
      </c>
      <c r="V82">
        <v>0</v>
      </c>
      <c r="W82">
        <v>0</v>
      </c>
      <c r="X82">
        <v>0</v>
      </c>
      <c r="Y82">
        <v>0</v>
      </c>
      <c r="Z82">
        <f ca="1">Stiffness!CV81-AL82*AM82</f>
        <v>0.16250137764966244</v>
      </c>
      <c r="AA82">
        <v>0</v>
      </c>
      <c r="AB82">
        <v>0</v>
      </c>
      <c r="AC82" s="207">
        <v>0</v>
      </c>
      <c r="AD82">
        <f t="shared" si="13"/>
        <v>2E-3</v>
      </c>
      <c r="AE82">
        <f t="shared" si="14"/>
        <v>2E-3</v>
      </c>
      <c r="AF82">
        <f t="shared" ca="1" si="15"/>
        <v>0</v>
      </c>
      <c r="AG82">
        <f t="shared" si="16"/>
        <v>0.15915354840000001</v>
      </c>
      <c r="AH82" s="565">
        <f>Sizing!AD97*(Sizing!CO97+Sizing!CP97) / (12^3)</f>
        <v>8.1586364891079468E-4</v>
      </c>
      <c r="AI82">
        <f t="shared" si="9"/>
        <v>0</v>
      </c>
      <c r="AJ82">
        <f t="shared" si="17"/>
        <v>0</v>
      </c>
      <c r="AK82">
        <f t="shared" si="18"/>
        <v>0</v>
      </c>
      <c r="AL82" s="207">
        <f>Loads!C57</f>
        <v>1.7683727600000001</v>
      </c>
      <c r="AM82">
        <f ca="1">OFFSET('CANARD AERO'!$F$24,((ROW('CANARD AERO'!$A61)-ROW('CANARD AERO'!$A$24))*$B$39/100),0)</f>
        <v>0.25</v>
      </c>
      <c r="AN82" s="207">
        <f ca="1">OFFSET('CANARD AERO'!$J$24,((ROW('CANARD AERO'!$A61)-ROW('CANARD AERO'!$A$24))*$B$39/100),0)</f>
        <v>5.9</v>
      </c>
      <c r="AO82" s="207">
        <f ca="1">OFFSET('CANARD AERO'!$N$24,((ROW('CANARD AERO'!$A61)-ROW('CANARD AERO'!$A$24))*$B$39/100),0)</f>
        <v>-0.15</v>
      </c>
      <c r="AP82" s="207">
        <f ca="1">OFFSET('CANARD AERO'!$O$24,((ROW('CANARD AERO'!$A61)-ROW('CANARD AERO'!$A$24))*$B$39/100),0)</f>
        <v>2.25</v>
      </c>
      <c r="AQ82" s="207">
        <f ca="1">OFFSET('CANARD AERO'!$P$24,((ROW('CANARD AERO'!$A61)-ROW('CANARD AERO'!$A$24))*$B$39/100),0)</f>
        <v>-1.65</v>
      </c>
      <c r="AR82" s="8">
        <f ca="1">OFFSET('CANARD AERO'!$M$24,((ROW('CANARD AERO'!$A61)-ROW('CANARD AERO'!$A$24))*$B$39/100),0)</f>
        <v>5.9690260418206069</v>
      </c>
    </row>
    <row r="83" spans="1:44" x14ac:dyDescent="0.25">
      <c r="A83">
        <f>Loads!A58</f>
        <v>38</v>
      </c>
      <c r="B83">
        <v>38</v>
      </c>
      <c r="C83">
        <f t="shared" si="10"/>
        <v>9.3503940000000008E-2</v>
      </c>
      <c r="D83">
        <f>Loads!B58</f>
        <v>3.7401576000000003</v>
      </c>
      <c r="E83">
        <f t="shared" si="11"/>
        <v>0</v>
      </c>
      <c r="F83">
        <f t="shared" si="12"/>
        <v>0</v>
      </c>
      <c r="G83" s="560">
        <f>Stiffness!AQ82/144</f>
        <v>87693.258184536229</v>
      </c>
      <c r="H83" s="560">
        <f>Stiffness!AV82/144</f>
        <v>80145.298751046503</v>
      </c>
      <c r="I83">
        <v>0</v>
      </c>
      <c r="J83">
        <v>0</v>
      </c>
      <c r="K83">
        <v>0</v>
      </c>
      <c r="L83" s="560">
        <f>Stiffness!BC82/144</f>
        <v>2176436.2585782488</v>
      </c>
      <c r="M83">
        <v>0</v>
      </c>
      <c r="N83">
        <v>0</v>
      </c>
      <c r="O83">
        <v>0</v>
      </c>
      <c r="P83">
        <v>0</v>
      </c>
      <c r="Q83">
        <v>0</v>
      </c>
      <c r="R83">
        <f>'Weight '!BT84*'Weight '!$E$36/Stiffness!D82</f>
        <v>2.5960344852489898</v>
      </c>
      <c r="S83">
        <f ca="1">'Weight '!BU84-$AL82*$AM82</f>
        <v>0.3573604397750253</v>
      </c>
      <c r="T83" s="2">
        <v>0</v>
      </c>
      <c r="U83">
        <v>0</v>
      </c>
      <c r="V83">
        <v>0</v>
      </c>
      <c r="W83">
        <v>0</v>
      </c>
      <c r="X83">
        <v>0</v>
      </c>
      <c r="Y83">
        <v>0</v>
      </c>
      <c r="Z83">
        <f ca="1">Stiffness!CV82-AL83*AM83</f>
        <v>0.1617334234528966</v>
      </c>
      <c r="AA83">
        <v>0</v>
      </c>
      <c r="AB83">
        <v>0</v>
      </c>
      <c r="AC83" s="207">
        <v>0</v>
      </c>
      <c r="AD83">
        <f t="shared" si="13"/>
        <v>2E-3</v>
      </c>
      <c r="AE83">
        <f t="shared" si="14"/>
        <v>2E-3</v>
      </c>
      <c r="AF83">
        <f t="shared" ca="1" si="15"/>
        <v>0</v>
      </c>
      <c r="AG83">
        <f t="shared" si="16"/>
        <v>0.15826772159999999</v>
      </c>
      <c r="AH83" s="565">
        <f>Sizing!AD98*(Sizing!CO98+Sizing!CP98) / (12^3)</f>
        <v>8.0680695329244951E-4</v>
      </c>
      <c r="AI83">
        <f t="shared" si="9"/>
        <v>0</v>
      </c>
      <c r="AJ83">
        <f t="shared" si="17"/>
        <v>0</v>
      </c>
      <c r="AK83">
        <f t="shared" si="18"/>
        <v>0</v>
      </c>
      <c r="AL83" s="207">
        <f>Loads!C58</f>
        <v>1.75853024</v>
      </c>
      <c r="AM83">
        <f ca="1">OFFSET('CANARD AERO'!$F$24,((ROW('CANARD AERO'!$A62)-ROW('CANARD AERO'!$A$24))*$B$39/100),0)</f>
        <v>0.25</v>
      </c>
      <c r="AN83" s="207">
        <f ca="1">OFFSET('CANARD AERO'!$J$24,((ROW('CANARD AERO'!$A62)-ROW('CANARD AERO'!$A$24))*$B$39/100),0)</f>
        <v>5.9</v>
      </c>
      <c r="AO83" s="207">
        <f ca="1">OFFSET('CANARD AERO'!$N$24,((ROW('CANARD AERO'!$A62)-ROW('CANARD AERO'!$A$24))*$B$39/100),0)</f>
        <v>-0.15</v>
      </c>
      <c r="AP83" s="207">
        <f ca="1">OFFSET('CANARD AERO'!$O$24,((ROW('CANARD AERO'!$A62)-ROW('CANARD AERO'!$A$24))*$B$39/100),0)</f>
        <v>2.25</v>
      </c>
      <c r="AQ83" s="207">
        <f ca="1">OFFSET('CANARD AERO'!$P$24,((ROW('CANARD AERO'!$A62)-ROW('CANARD AERO'!$A$24))*$B$39/100),0)</f>
        <v>-1.65</v>
      </c>
      <c r="AR83" s="8">
        <f ca="1">OFFSET('CANARD AERO'!$M$24,((ROW('CANARD AERO'!$A62)-ROW('CANARD AERO'!$A$24))*$B$39/100),0)</f>
        <v>5.9690260418206069</v>
      </c>
    </row>
    <row r="84" spans="1:44" x14ac:dyDescent="0.25">
      <c r="A84">
        <f>Loads!A59</f>
        <v>39</v>
      </c>
      <c r="B84">
        <v>39</v>
      </c>
      <c r="C84">
        <f t="shared" si="10"/>
        <v>9.5964570000000013E-2</v>
      </c>
      <c r="D84">
        <f>Loads!B59</f>
        <v>3.8385828000000002</v>
      </c>
      <c r="E84">
        <f t="shared" si="11"/>
        <v>0</v>
      </c>
      <c r="F84">
        <f t="shared" si="12"/>
        <v>0</v>
      </c>
      <c r="G84" s="560">
        <f>Stiffness!AQ83/144</f>
        <v>86349.70695533535</v>
      </c>
      <c r="H84" s="560">
        <f>Stiffness!AV83/144</f>
        <v>79250.660562228644</v>
      </c>
      <c r="I84">
        <v>0</v>
      </c>
      <c r="J84">
        <v>0</v>
      </c>
      <c r="K84">
        <v>0</v>
      </c>
      <c r="L84" s="560">
        <f>Stiffness!BC83/144</f>
        <v>2140095.779190036</v>
      </c>
      <c r="M84">
        <v>0</v>
      </c>
      <c r="N84">
        <v>0</v>
      </c>
      <c r="O84">
        <v>0</v>
      </c>
      <c r="P84">
        <v>0</v>
      </c>
      <c r="Q84">
        <v>0</v>
      </c>
      <c r="R84">
        <f>'Weight '!BT85*'Weight '!$E$36/Stiffness!D83</f>
        <v>2.5833626826448679</v>
      </c>
      <c r="S84">
        <f ca="1">'Weight '!BU85-$AL83*$AM83</f>
        <v>0.35509958244800405</v>
      </c>
      <c r="T84" s="2">
        <v>0</v>
      </c>
      <c r="U84">
        <v>0</v>
      </c>
      <c r="V84">
        <v>0</v>
      </c>
      <c r="W84">
        <v>0</v>
      </c>
      <c r="X84">
        <v>0</v>
      </c>
      <c r="Y84">
        <v>0</v>
      </c>
      <c r="Z84">
        <f ca="1">Stiffness!CV83-AL84*AM84</f>
        <v>0.16096703451292516</v>
      </c>
      <c r="AA84">
        <v>0</v>
      </c>
      <c r="AB84">
        <v>0</v>
      </c>
      <c r="AC84" s="207">
        <v>0</v>
      </c>
      <c r="AD84">
        <f t="shared" si="13"/>
        <v>2E-3</v>
      </c>
      <c r="AE84">
        <f t="shared" si="14"/>
        <v>2E-3</v>
      </c>
      <c r="AF84">
        <f t="shared" ca="1" si="15"/>
        <v>0</v>
      </c>
      <c r="AG84">
        <f t="shared" si="16"/>
        <v>0.15738189479999998</v>
      </c>
      <c r="AH84" s="565">
        <f>Sizing!AD99*(Sizing!CO99+Sizing!CP99) / (12^3)</f>
        <v>7.9780080667290413E-4</v>
      </c>
      <c r="AI84">
        <f t="shared" si="9"/>
        <v>0</v>
      </c>
      <c r="AJ84">
        <f t="shared" si="17"/>
        <v>0</v>
      </c>
      <c r="AK84">
        <f t="shared" si="18"/>
        <v>0</v>
      </c>
      <c r="AL84" s="207">
        <f>Loads!C59</f>
        <v>1.7486877199999999</v>
      </c>
      <c r="AM84">
        <f ca="1">OFFSET('CANARD AERO'!$F$24,((ROW('CANARD AERO'!$A63)-ROW('CANARD AERO'!$A$24))*$B$39/100),0)</f>
        <v>0.25</v>
      </c>
      <c r="AN84" s="207">
        <f ca="1">OFFSET('CANARD AERO'!$J$24,((ROW('CANARD AERO'!$A63)-ROW('CANARD AERO'!$A$24))*$B$39/100),0)</f>
        <v>5.9</v>
      </c>
      <c r="AO84" s="207">
        <f ca="1">OFFSET('CANARD AERO'!$N$24,((ROW('CANARD AERO'!$A63)-ROW('CANARD AERO'!$A$24))*$B$39/100),0)</f>
        <v>-0.15</v>
      </c>
      <c r="AP84" s="207">
        <f ca="1">OFFSET('CANARD AERO'!$O$24,((ROW('CANARD AERO'!$A63)-ROW('CANARD AERO'!$A$24))*$B$39/100),0)</f>
        <v>2.25</v>
      </c>
      <c r="AQ84" s="207">
        <f ca="1">OFFSET('CANARD AERO'!$P$24,((ROW('CANARD AERO'!$A63)-ROW('CANARD AERO'!$A$24))*$B$39/100),0)</f>
        <v>-1.65</v>
      </c>
      <c r="AR84" s="8">
        <f ca="1">OFFSET('CANARD AERO'!$M$24,((ROW('CANARD AERO'!$A63)-ROW('CANARD AERO'!$A$24))*$B$39/100),0)</f>
        <v>5.9690260418206069</v>
      </c>
    </row>
    <row r="85" spans="1:44" x14ac:dyDescent="0.25">
      <c r="A85">
        <f>Loads!A60</f>
        <v>40</v>
      </c>
      <c r="B85">
        <v>40</v>
      </c>
      <c r="C85">
        <f t="shared" si="10"/>
        <v>9.8425200000000018E-2</v>
      </c>
      <c r="D85">
        <f>Loads!B60</f>
        <v>3.9370080000000005</v>
      </c>
      <c r="E85">
        <f t="shared" si="11"/>
        <v>0</v>
      </c>
      <c r="F85">
        <f t="shared" si="12"/>
        <v>0</v>
      </c>
      <c r="G85" s="560">
        <f>Stiffness!AQ84/144</f>
        <v>65641.781219559096</v>
      </c>
      <c r="H85" s="560">
        <f>Stiffness!AV84/144</f>
        <v>58421.107396131978</v>
      </c>
      <c r="I85">
        <v>0</v>
      </c>
      <c r="J85">
        <v>0</v>
      </c>
      <c r="K85">
        <v>0</v>
      </c>
      <c r="L85" s="560">
        <f>Stiffness!BC84/144</f>
        <v>2104162.0919411741</v>
      </c>
      <c r="M85">
        <v>0</v>
      </c>
      <c r="N85">
        <v>0</v>
      </c>
      <c r="O85">
        <v>0</v>
      </c>
      <c r="P85">
        <v>0</v>
      </c>
      <c r="Q85">
        <v>0</v>
      </c>
      <c r="R85">
        <f>'Weight '!BT86*'Weight '!$E$36/Stiffness!D84</f>
        <v>2.485019624742566</v>
      </c>
      <c r="S85">
        <f ca="1">'Weight '!BU86-$AL84*$AM84</f>
        <v>0.36486080245059838</v>
      </c>
      <c r="T85" s="2">
        <v>0</v>
      </c>
      <c r="U85">
        <v>0</v>
      </c>
      <c r="V85">
        <v>0</v>
      </c>
      <c r="W85">
        <v>0</v>
      </c>
      <c r="X85">
        <v>0</v>
      </c>
      <c r="Y85">
        <v>0</v>
      </c>
      <c r="Z85">
        <f ca="1">Stiffness!CV84-AL85*AM85</f>
        <v>0.16020221791289635</v>
      </c>
      <c r="AA85">
        <v>0</v>
      </c>
      <c r="AB85">
        <v>0</v>
      </c>
      <c r="AC85" s="207">
        <v>0</v>
      </c>
      <c r="AD85">
        <f t="shared" si="13"/>
        <v>2E-3</v>
      </c>
      <c r="AE85">
        <f t="shared" si="14"/>
        <v>2E-3</v>
      </c>
      <c r="AF85">
        <f t="shared" ca="1" si="15"/>
        <v>0</v>
      </c>
      <c r="AG85">
        <f t="shared" si="16"/>
        <v>0.15649606800000002</v>
      </c>
      <c r="AH85" s="565">
        <f>Sizing!AD100*(Sizing!CO100+Sizing!CP100) / (12^3)</f>
        <v>7.8884520905215876E-4</v>
      </c>
      <c r="AI85">
        <f t="shared" si="9"/>
        <v>0</v>
      </c>
      <c r="AJ85">
        <f t="shared" si="17"/>
        <v>0</v>
      </c>
      <c r="AK85">
        <f t="shared" si="18"/>
        <v>0</v>
      </c>
      <c r="AL85" s="207">
        <f>Loads!C60</f>
        <v>1.7388452000000001</v>
      </c>
      <c r="AM85">
        <f ca="1">OFFSET('CANARD AERO'!$F$24,((ROW('CANARD AERO'!$A64)-ROW('CANARD AERO'!$A$24))*$B$39/100),0)</f>
        <v>0.25</v>
      </c>
      <c r="AN85" s="207">
        <f ca="1">OFFSET('CANARD AERO'!$J$24,((ROW('CANARD AERO'!$A64)-ROW('CANARD AERO'!$A$24))*$B$39/100),0)</f>
        <v>5.9</v>
      </c>
      <c r="AO85" s="207">
        <f ca="1">OFFSET('CANARD AERO'!$N$24,((ROW('CANARD AERO'!$A64)-ROW('CANARD AERO'!$A$24))*$B$39/100),0)</f>
        <v>-0.15</v>
      </c>
      <c r="AP85" s="207">
        <f ca="1">OFFSET('CANARD AERO'!$O$24,((ROW('CANARD AERO'!$A64)-ROW('CANARD AERO'!$A$24))*$B$39/100),0)</f>
        <v>2.25</v>
      </c>
      <c r="AQ85" s="207">
        <f ca="1">OFFSET('CANARD AERO'!$P$24,((ROW('CANARD AERO'!$A64)-ROW('CANARD AERO'!$A$24))*$B$39/100),0)</f>
        <v>-1.65</v>
      </c>
      <c r="AR85" s="8">
        <f ca="1">OFFSET('CANARD AERO'!$M$24,((ROW('CANARD AERO'!$A64)-ROW('CANARD AERO'!$A$24))*$B$39/100),0)</f>
        <v>5.9690260418206069</v>
      </c>
    </row>
    <row r="86" spans="1:44" x14ac:dyDescent="0.25">
      <c r="A86">
        <f>Loads!A61</f>
        <v>41</v>
      </c>
      <c r="B86">
        <v>41</v>
      </c>
      <c r="C86">
        <f t="shared" si="10"/>
        <v>0.10088583000000001</v>
      </c>
      <c r="D86">
        <f>Loads!B61</f>
        <v>4.0354331999999999</v>
      </c>
      <c r="E86">
        <f t="shared" si="11"/>
        <v>0</v>
      </c>
      <c r="F86">
        <f t="shared" si="12"/>
        <v>0</v>
      </c>
      <c r="G86" s="560">
        <f>Stiffness!AQ85/144</f>
        <v>64643.968511928608</v>
      </c>
      <c r="H86" s="560">
        <f>Stiffness!AV85/144</f>
        <v>57761.608173799716</v>
      </c>
      <c r="I86">
        <v>0</v>
      </c>
      <c r="J86">
        <v>0</v>
      </c>
      <c r="K86">
        <v>0</v>
      </c>
      <c r="L86" s="560">
        <f>Stiffness!BC85/144</f>
        <v>2068632.9071948598</v>
      </c>
      <c r="M86">
        <v>0</v>
      </c>
      <c r="N86">
        <v>0</v>
      </c>
      <c r="O86">
        <v>0</v>
      </c>
      <c r="P86">
        <v>0</v>
      </c>
      <c r="Q86">
        <v>0</v>
      </c>
      <c r="R86">
        <f>'Weight '!BT87*'Weight '!$E$36/Stiffness!D85</f>
        <v>2.4723478221384454</v>
      </c>
      <c r="S86">
        <f ca="1">'Weight '!BU87-$AL85*$AM85</f>
        <v>0.36258526008451908</v>
      </c>
      <c r="T86" s="2">
        <v>0</v>
      </c>
      <c r="U86">
        <v>0</v>
      </c>
      <c r="V86">
        <v>0</v>
      </c>
      <c r="W86">
        <v>0</v>
      </c>
      <c r="X86">
        <v>0</v>
      </c>
      <c r="Y86">
        <v>0</v>
      </c>
      <c r="Z86">
        <f ca="1">Stiffness!CV85-AL86*AM86</f>
        <v>0.15943898044023658</v>
      </c>
      <c r="AA86">
        <v>0</v>
      </c>
      <c r="AB86">
        <v>0</v>
      </c>
      <c r="AC86" s="207">
        <v>0</v>
      </c>
      <c r="AD86">
        <f t="shared" si="13"/>
        <v>2E-3</v>
      </c>
      <c r="AE86">
        <f t="shared" si="14"/>
        <v>2E-3</v>
      </c>
      <c r="AF86">
        <f t="shared" ca="1" si="15"/>
        <v>0</v>
      </c>
      <c r="AG86">
        <f t="shared" si="16"/>
        <v>0.1556102412</v>
      </c>
      <c r="AH86" s="565">
        <f>Sizing!AD101*(Sizing!CO101+Sizing!CP101) / (12^3)</f>
        <v>7.7994016043021384E-4</v>
      </c>
      <c r="AI86">
        <f t="shared" si="9"/>
        <v>0</v>
      </c>
      <c r="AJ86">
        <f t="shared" si="17"/>
        <v>0</v>
      </c>
      <c r="AK86">
        <f t="shared" si="18"/>
        <v>0</v>
      </c>
      <c r="AL86" s="207">
        <f>Loads!C61</f>
        <v>1.72900268</v>
      </c>
      <c r="AM86">
        <f ca="1">OFFSET('CANARD AERO'!$F$24,((ROW('CANARD AERO'!$A65)-ROW('CANARD AERO'!$A$24))*$B$39/100),0)</f>
        <v>0.25</v>
      </c>
      <c r="AN86" s="207">
        <f ca="1">OFFSET('CANARD AERO'!$J$24,((ROW('CANARD AERO'!$A65)-ROW('CANARD AERO'!$A$24))*$B$39/100),0)</f>
        <v>5.9</v>
      </c>
      <c r="AO86" s="207">
        <f ca="1">OFFSET('CANARD AERO'!$N$24,((ROW('CANARD AERO'!$A65)-ROW('CANARD AERO'!$A$24))*$B$39/100),0)</f>
        <v>-0.15</v>
      </c>
      <c r="AP86" s="207">
        <f ca="1">OFFSET('CANARD AERO'!$O$24,((ROW('CANARD AERO'!$A65)-ROW('CANARD AERO'!$A$24))*$B$39/100),0)</f>
        <v>2.25</v>
      </c>
      <c r="AQ86" s="207">
        <f ca="1">OFFSET('CANARD AERO'!$P$24,((ROW('CANARD AERO'!$A65)-ROW('CANARD AERO'!$A$24))*$B$39/100),0)</f>
        <v>-1.65</v>
      </c>
      <c r="AR86" s="8">
        <f ca="1">OFFSET('CANARD AERO'!$M$24,((ROW('CANARD AERO'!$A65)-ROW('CANARD AERO'!$A$24))*$B$39/100),0)</f>
        <v>5.9690260418206069</v>
      </c>
    </row>
    <row r="87" spans="1:44" x14ac:dyDescent="0.25">
      <c r="A87">
        <f>Loads!A62</f>
        <v>42</v>
      </c>
      <c r="B87">
        <v>42</v>
      </c>
      <c r="C87">
        <f t="shared" si="10"/>
        <v>0.10334646000000001</v>
      </c>
      <c r="D87">
        <f>Loads!B62</f>
        <v>4.1338584000000003</v>
      </c>
      <c r="E87">
        <f t="shared" si="11"/>
        <v>0</v>
      </c>
      <c r="F87">
        <f t="shared" si="12"/>
        <v>0</v>
      </c>
      <c r="G87" s="560">
        <f>Stiffness!AQ86/144</f>
        <v>63653.79781274213</v>
      </c>
      <c r="H87" s="560">
        <f>Stiffness!AV86/144</f>
        <v>57105.85256105494</v>
      </c>
      <c r="I87">
        <v>0</v>
      </c>
      <c r="J87">
        <v>0</v>
      </c>
      <c r="K87">
        <v>0</v>
      </c>
      <c r="L87" s="560">
        <f>Stiffness!BC86/144</f>
        <v>2033505.9353142816</v>
      </c>
      <c r="M87">
        <v>0</v>
      </c>
      <c r="N87">
        <v>0</v>
      </c>
      <c r="O87">
        <v>0</v>
      </c>
      <c r="P87">
        <v>0</v>
      </c>
      <c r="Q87">
        <v>0</v>
      </c>
      <c r="R87">
        <f>'Weight '!BT88*'Weight '!$E$36/Stiffness!D86</f>
        <v>2.4596760195343257</v>
      </c>
      <c r="S87">
        <f ca="1">'Weight '!BU88-$AL86*$AM86</f>
        <v>0.36030994161675384</v>
      </c>
      <c r="T87" s="2">
        <v>0</v>
      </c>
      <c r="U87">
        <v>0</v>
      </c>
      <c r="V87">
        <v>0</v>
      </c>
      <c r="W87">
        <v>0</v>
      </c>
      <c r="X87">
        <v>0</v>
      </c>
      <c r="Y87">
        <v>0</v>
      </c>
      <c r="Z87">
        <f ca="1">Stiffness!CV86-AL87*AM87</f>
        <v>0.15867732857662453</v>
      </c>
      <c r="AA87">
        <v>0</v>
      </c>
      <c r="AB87">
        <v>0</v>
      </c>
      <c r="AC87" s="207">
        <v>0</v>
      </c>
      <c r="AD87">
        <f t="shared" si="13"/>
        <v>2E-3</v>
      </c>
      <c r="AE87">
        <f t="shared" si="14"/>
        <v>2E-3</v>
      </c>
      <c r="AF87">
        <f t="shared" ca="1" si="15"/>
        <v>0</v>
      </c>
      <c r="AG87">
        <f t="shared" si="16"/>
        <v>0.15472441439999998</v>
      </c>
      <c r="AH87" s="565">
        <f>Sizing!AD102*(Sizing!CO102+Sizing!CP102) / (12^3)</f>
        <v>7.7108566080706859E-4</v>
      </c>
      <c r="AI87">
        <f t="shared" si="9"/>
        <v>0</v>
      </c>
      <c r="AJ87">
        <f t="shared" si="17"/>
        <v>0</v>
      </c>
      <c r="AK87">
        <f t="shared" si="18"/>
        <v>0</v>
      </c>
      <c r="AL87" s="207">
        <f>Loads!C62</f>
        <v>1.7191601599999999</v>
      </c>
      <c r="AM87">
        <f ca="1">OFFSET('CANARD AERO'!$F$24,((ROW('CANARD AERO'!$A66)-ROW('CANARD AERO'!$A$24))*$B$39/100),0)</f>
        <v>0.25</v>
      </c>
      <c r="AN87" s="207">
        <f ca="1">OFFSET('CANARD AERO'!$J$24,((ROW('CANARD AERO'!$A66)-ROW('CANARD AERO'!$A$24))*$B$39/100),0)</f>
        <v>5.9</v>
      </c>
      <c r="AO87" s="207">
        <f ca="1">OFFSET('CANARD AERO'!$N$24,((ROW('CANARD AERO'!$A66)-ROW('CANARD AERO'!$A$24))*$B$39/100),0)</f>
        <v>-0.15</v>
      </c>
      <c r="AP87" s="207">
        <f ca="1">OFFSET('CANARD AERO'!$O$24,((ROW('CANARD AERO'!$A66)-ROW('CANARD AERO'!$A$24))*$B$39/100),0)</f>
        <v>2.25</v>
      </c>
      <c r="AQ87" s="207">
        <f ca="1">OFFSET('CANARD AERO'!$P$24,((ROW('CANARD AERO'!$A66)-ROW('CANARD AERO'!$A$24))*$B$39/100),0)</f>
        <v>-1.65</v>
      </c>
      <c r="AR87" s="8">
        <f ca="1">OFFSET('CANARD AERO'!$M$24,((ROW('CANARD AERO'!$A66)-ROW('CANARD AERO'!$A$24))*$B$39/100),0)</f>
        <v>5.9690260418206069</v>
      </c>
    </row>
    <row r="88" spans="1:44" x14ac:dyDescent="0.25">
      <c r="A88">
        <f>Loads!A63</f>
        <v>43</v>
      </c>
      <c r="B88">
        <v>43</v>
      </c>
      <c r="C88">
        <f t="shared" si="10"/>
        <v>0.10580709000000001</v>
      </c>
      <c r="D88">
        <f>Loads!B63</f>
        <v>4.2322835999999997</v>
      </c>
      <c r="E88">
        <f t="shared" si="11"/>
        <v>0</v>
      </c>
      <c r="F88">
        <f t="shared" si="12"/>
        <v>0</v>
      </c>
      <c r="G88" s="560">
        <f>Stiffness!AQ87/144</f>
        <v>62671.269121999656</v>
      </c>
      <c r="H88" s="560">
        <f>Stiffness!AV87/144</f>
        <v>56453.840557897682</v>
      </c>
      <c r="I88">
        <v>0</v>
      </c>
      <c r="J88">
        <v>0</v>
      </c>
      <c r="K88">
        <v>0</v>
      </c>
      <c r="L88" s="560">
        <f>Stiffness!BC87/144</f>
        <v>1998778.8866626339</v>
      </c>
      <c r="M88">
        <v>0</v>
      </c>
      <c r="N88">
        <v>0</v>
      </c>
      <c r="O88">
        <v>0</v>
      </c>
      <c r="P88">
        <v>0</v>
      </c>
      <c r="Q88">
        <v>0</v>
      </c>
      <c r="R88">
        <f>'Weight '!BT89*'Weight '!$E$36/Stiffness!D87</f>
        <v>2.4470042169302042</v>
      </c>
      <c r="S88">
        <f ca="1">'Weight '!BU89-$AL87*$AM87</f>
        <v>0.35803485052567263</v>
      </c>
      <c r="T88" s="2">
        <v>0</v>
      </c>
      <c r="U88">
        <v>0</v>
      </c>
      <c r="V88">
        <v>0</v>
      </c>
      <c r="W88">
        <v>0</v>
      </c>
      <c r="X88">
        <v>0</v>
      </c>
      <c r="Y88">
        <v>0</v>
      </c>
      <c r="Z88">
        <f ca="1">Stiffness!CV87-AL88*AM88</f>
        <v>0.15791726848776855</v>
      </c>
      <c r="AA88">
        <v>0</v>
      </c>
      <c r="AB88">
        <v>0</v>
      </c>
      <c r="AC88" s="207">
        <v>0</v>
      </c>
      <c r="AD88">
        <f t="shared" si="13"/>
        <v>2E-3</v>
      </c>
      <c r="AE88">
        <f t="shared" si="14"/>
        <v>2E-3</v>
      </c>
      <c r="AF88">
        <f t="shared" ca="1" si="15"/>
        <v>0</v>
      </c>
      <c r="AG88">
        <f t="shared" si="16"/>
        <v>0.15383858759999999</v>
      </c>
      <c r="AH88" s="565">
        <f>Sizing!AD103*(Sizing!CO103+Sizing!CP103) / (12^3)</f>
        <v>7.6228171018272368E-4</v>
      </c>
      <c r="AI88">
        <f t="shared" si="9"/>
        <v>0</v>
      </c>
      <c r="AJ88">
        <f t="shared" si="17"/>
        <v>0</v>
      </c>
      <c r="AK88">
        <f t="shared" si="18"/>
        <v>0</v>
      </c>
      <c r="AL88" s="207">
        <f>Loads!C63</f>
        <v>1.7093176400000001</v>
      </c>
      <c r="AM88">
        <f ca="1">OFFSET('CANARD AERO'!$F$24,((ROW('CANARD AERO'!$A67)-ROW('CANARD AERO'!$A$24))*$B$39/100),0)</f>
        <v>0.25</v>
      </c>
      <c r="AN88" s="207">
        <f ca="1">OFFSET('CANARD AERO'!$J$24,((ROW('CANARD AERO'!$A67)-ROW('CANARD AERO'!$A$24))*$B$39/100),0)</f>
        <v>5.9</v>
      </c>
      <c r="AO88" s="207">
        <f ca="1">OFFSET('CANARD AERO'!$N$24,((ROW('CANARD AERO'!$A67)-ROW('CANARD AERO'!$A$24))*$B$39/100),0)</f>
        <v>-0.15</v>
      </c>
      <c r="AP88" s="207">
        <f ca="1">OFFSET('CANARD AERO'!$O$24,((ROW('CANARD AERO'!$A67)-ROW('CANARD AERO'!$A$24))*$B$39/100),0)</f>
        <v>2.25</v>
      </c>
      <c r="AQ88" s="207">
        <f ca="1">OFFSET('CANARD AERO'!$P$24,((ROW('CANARD AERO'!$A67)-ROW('CANARD AERO'!$A$24))*$B$39/100),0)</f>
        <v>-1.65</v>
      </c>
      <c r="AR88" s="8">
        <f ca="1">OFFSET('CANARD AERO'!$M$24,((ROW('CANARD AERO'!$A67)-ROW('CANARD AERO'!$A$24))*$B$39/100),0)</f>
        <v>5.9690260418206069</v>
      </c>
    </row>
    <row r="89" spans="1:44" x14ac:dyDescent="0.25">
      <c r="A89">
        <f>Loads!A64</f>
        <v>44</v>
      </c>
      <c r="B89">
        <v>44</v>
      </c>
      <c r="C89">
        <f t="shared" si="10"/>
        <v>0.10826772000000001</v>
      </c>
      <c r="D89">
        <f>Loads!B64</f>
        <v>4.3307088</v>
      </c>
      <c r="E89">
        <f t="shared" si="11"/>
        <v>0</v>
      </c>
      <c r="F89">
        <f t="shared" si="12"/>
        <v>0</v>
      </c>
      <c r="G89" s="560">
        <f>Stiffness!AQ88/144</f>
        <v>61696.382439701199</v>
      </c>
      <c r="H89" s="560">
        <f>Stiffness!AV88/144</f>
        <v>55805.572164327932</v>
      </c>
      <c r="I89">
        <v>0</v>
      </c>
      <c r="J89">
        <v>0</v>
      </c>
      <c r="K89">
        <v>0</v>
      </c>
      <c r="L89" s="560">
        <f>Stiffness!BC88/144</f>
        <v>1964449.4716031109</v>
      </c>
      <c r="M89">
        <v>0</v>
      </c>
      <c r="N89">
        <v>0</v>
      </c>
      <c r="O89">
        <v>0</v>
      </c>
      <c r="P89">
        <v>0</v>
      </c>
      <c r="Q89">
        <v>0</v>
      </c>
      <c r="R89">
        <f>'Weight '!BT90*'Weight '!$E$36/Stiffness!D88</f>
        <v>2.4343324143260836</v>
      </c>
      <c r="S89">
        <f ca="1">'Weight '!BU90-$AL88*$AM88</f>
        <v>0.35575999036207051</v>
      </c>
      <c r="T89" s="2">
        <v>0</v>
      </c>
      <c r="U89">
        <v>0</v>
      </c>
      <c r="V89">
        <v>0</v>
      </c>
      <c r="W89">
        <v>0</v>
      </c>
      <c r="X89">
        <v>0</v>
      </c>
      <c r="Y89">
        <v>0</v>
      </c>
      <c r="Z89">
        <f ca="1">Stiffness!CV88-AL89*AM89</f>
        <v>0.15715880601298321</v>
      </c>
      <c r="AA89">
        <v>0</v>
      </c>
      <c r="AB89">
        <v>0</v>
      </c>
      <c r="AC89" s="207">
        <v>0</v>
      </c>
      <c r="AD89">
        <f t="shared" si="13"/>
        <v>2E-3</v>
      </c>
      <c r="AE89">
        <f t="shared" si="14"/>
        <v>2E-3</v>
      </c>
      <c r="AF89">
        <f t="shared" ca="1" si="15"/>
        <v>0</v>
      </c>
      <c r="AG89">
        <f t="shared" si="16"/>
        <v>0.1529527608</v>
      </c>
      <c r="AH89" s="565">
        <f>Sizing!AD104*(Sizing!CO104+Sizing!CP104) / (12^3)</f>
        <v>7.5352830855717867E-4</v>
      </c>
      <c r="AI89">
        <f t="shared" si="9"/>
        <v>0</v>
      </c>
      <c r="AJ89">
        <f t="shared" si="17"/>
        <v>0</v>
      </c>
      <c r="AK89">
        <f t="shared" si="18"/>
        <v>0</v>
      </c>
      <c r="AL89" s="207">
        <f>Loads!C64</f>
        <v>1.69947512</v>
      </c>
      <c r="AM89">
        <f ca="1">OFFSET('CANARD AERO'!$F$24,((ROW('CANARD AERO'!$A68)-ROW('CANARD AERO'!$A$24))*$B$39/100),0)</f>
        <v>0.25</v>
      </c>
      <c r="AN89" s="207">
        <f ca="1">OFFSET('CANARD AERO'!$J$24,((ROW('CANARD AERO'!$A68)-ROW('CANARD AERO'!$A$24))*$B$39/100),0)</f>
        <v>5.9</v>
      </c>
      <c r="AO89" s="207">
        <f ca="1">OFFSET('CANARD AERO'!$N$24,((ROW('CANARD AERO'!$A68)-ROW('CANARD AERO'!$A$24))*$B$39/100),0)</f>
        <v>-0.15</v>
      </c>
      <c r="AP89" s="207">
        <f ca="1">OFFSET('CANARD AERO'!$O$24,((ROW('CANARD AERO'!$A68)-ROW('CANARD AERO'!$A$24))*$B$39/100),0)</f>
        <v>2.25</v>
      </c>
      <c r="AQ89" s="207">
        <f ca="1">OFFSET('CANARD AERO'!$P$24,((ROW('CANARD AERO'!$A68)-ROW('CANARD AERO'!$A$24))*$B$39/100),0)</f>
        <v>-1.65</v>
      </c>
      <c r="AR89" s="8">
        <f ca="1">OFFSET('CANARD AERO'!$M$24,((ROW('CANARD AERO'!$A68)-ROW('CANARD AERO'!$A$24))*$B$39/100),0)</f>
        <v>5.9690260418206069</v>
      </c>
    </row>
    <row r="90" spans="1:44" x14ac:dyDescent="0.25">
      <c r="A90">
        <f>Loads!A65</f>
        <v>45</v>
      </c>
      <c r="B90">
        <v>45</v>
      </c>
      <c r="C90">
        <f t="shared" si="10"/>
        <v>0.11072835000000002</v>
      </c>
      <c r="D90">
        <f>Loads!B65</f>
        <v>4.4291340000000003</v>
      </c>
      <c r="E90">
        <f t="shared" si="11"/>
        <v>0</v>
      </c>
      <c r="F90">
        <f t="shared" si="12"/>
        <v>0</v>
      </c>
      <c r="G90" s="560">
        <f>Stiffness!AQ89/144</f>
        <v>60729.137765846783</v>
      </c>
      <c r="H90" s="560">
        <f>Stiffness!AV89/144</f>
        <v>55161.047380345692</v>
      </c>
      <c r="I90">
        <v>0</v>
      </c>
      <c r="J90">
        <v>0</v>
      </c>
      <c r="K90">
        <v>0</v>
      </c>
      <c r="L90" s="560">
        <f>Stiffness!BC89/144</f>
        <v>1930515.4004989064</v>
      </c>
      <c r="M90">
        <v>0</v>
      </c>
      <c r="N90">
        <v>0</v>
      </c>
      <c r="O90">
        <v>0</v>
      </c>
      <c r="P90">
        <v>0</v>
      </c>
      <c r="Q90">
        <v>0</v>
      </c>
      <c r="R90">
        <f>'Weight '!BT91*'Weight '!$E$36/Stiffness!D89</f>
        <v>2.421660611721963</v>
      </c>
      <c r="S90">
        <f ca="1">'Weight '!BU91-$AL89*$AM89</f>
        <v>0.35348536475106468</v>
      </c>
      <c r="T90" s="2">
        <v>0</v>
      </c>
      <c r="U90">
        <v>0</v>
      </c>
      <c r="V90">
        <v>0</v>
      </c>
      <c r="W90">
        <v>0</v>
      </c>
      <c r="X90">
        <v>0</v>
      </c>
      <c r="Y90">
        <v>0</v>
      </c>
      <c r="Z90">
        <f ca="1">Stiffness!CV89-AL90*AM90</f>
        <v>0.15640194665455986</v>
      </c>
      <c r="AA90">
        <v>0</v>
      </c>
      <c r="AB90">
        <v>0</v>
      </c>
      <c r="AC90" s="207">
        <v>0</v>
      </c>
      <c r="AD90">
        <f t="shared" si="13"/>
        <v>2E-3</v>
      </c>
      <c r="AE90">
        <f t="shared" si="14"/>
        <v>2E-3</v>
      </c>
      <c r="AF90">
        <f t="shared" ca="1" si="15"/>
        <v>0</v>
      </c>
      <c r="AG90">
        <f t="shared" si="16"/>
        <v>0.15206693399999999</v>
      </c>
      <c r="AH90" s="565">
        <f>Sizing!AD105*(Sizing!CO105+Sizing!CP105) / (12^3)</f>
        <v>7.4482545593043377E-4</v>
      </c>
      <c r="AI90">
        <f t="shared" si="9"/>
        <v>0</v>
      </c>
      <c r="AJ90">
        <f t="shared" si="17"/>
        <v>0</v>
      </c>
      <c r="AK90">
        <f t="shared" si="18"/>
        <v>0</v>
      </c>
      <c r="AL90" s="207">
        <f>Loads!C65</f>
        <v>1.6896325999999999</v>
      </c>
      <c r="AM90">
        <f ca="1">OFFSET('CANARD AERO'!$F$24,((ROW('CANARD AERO'!$A69)-ROW('CANARD AERO'!$A$24))*$B$39/100),0)</f>
        <v>0.25</v>
      </c>
      <c r="AN90" s="207">
        <f ca="1">OFFSET('CANARD AERO'!$J$24,((ROW('CANARD AERO'!$A69)-ROW('CANARD AERO'!$A$24))*$B$39/100),0)</f>
        <v>5.9</v>
      </c>
      <c r="AO90" s="207">
        <f ca="1">OFFSET('CANARD AERO'!$N$24,((ROW('CANARD AERO'!$A69)-ROW('CANARD AERO'!$A$24))*$B$39/100),0)</f>
        <v>-0.15</v>
      </c>
      <c r="AP90" s="207">
        <f ca="1">OFFSET('CANARD AERO'!$O$24,((ROW('CANARD AERO'!$A69)-ROW('CANARD AERO'!$A$24))*$B$39/100),0)</f>
        <v>2.25</v>
      </c>
      <c r="AQ90" s="207">
        <f ca="1">OFFSET('CANARD AERO'!$P$24,((ROW('CANARD AERO'!$A69)-ROW('CANARD AERO'!$A$24))*$B$39/100),0)</f>
        <v>-1.65</v>
      </c>
      <c r="AR90" s="8">
        <f ca="1">OFFSET('CANARD AERO'!$M$24,((ROW('CANARD AERO'!$A69)-ROW('CANARD AERO'!$A$24))*$B$39/100),0)</f>
        <v>5.9690260418206069</v>
      </c>
    </row>
    <row r="91" spans="1:44" x14ac:dyDescent="0.25">
      <c r="A91">
        <f>Loads!A66</f>
        <v>46</v>
      </c>
      <c r="B91">
        <v>46</v>
      </c>
      <c r="C91">
        <f t="shared" si="10"/>
        <v>0.11318898000000002</v>
      </c>
      <c r="D91">
        <f>Loads!B66</f>
        <v>4.5275592000000007</v>
      </c>
      <c r="E91">
        <f t="shared" si="11"/>
        <v>0</v>
      </c>
      <c r="F91">
        <f t="shared" si="12"/>
        <v>0</v>
      </c>
      <c r="G91" s="560">
        <f>Stiffness!AQ90/144</f>
        <v>59769.53510043634</v>
      </c>
      <c r="H91" s="560">
        <f>Stiffness!AV90/144</f>
        <v>54520.266205950953</v>
      </c>
      <c r="I91">
        <v>0</v>
      </c>
      <c r="J91">
        <v>0</v>
      </c>
      <c r="K91">
        <v>0</v>
      </c>
      <c r="L91" s="560">
        <f>Stiffness!BC90/144</f>
        <v>1896974.3837132102</v>
      </c>
      <c r="M91">
        <v>0</v>
      </c>
      <c r="N91">
        <v>0</v>
      </c>
      <c r="O91">
        <v>0</v>
      </c>
      <c r="P91">
        <v>0</v>
      </c>
      <c r="Q91">
        <v>0</v>
      </c>
      <c r="R91">
        <f>'Weight '!BT92*'Weight '!$E$36/Stiffness!D90</f>
        <v>2.4089888091178424</v>
      </c>
      <c r="S91">
        <f ca="1">'Weight '!BU92-$AL90*$AM90</f>
        <v>0.35121097739404761</v>
      </c>
      <c r="T91" s="2">
        <v>0</v>
      </c>
      <c r="U91">
        <v>0</v>
      </c>
      <c r="V91">
        <v>0</v>
      </c>
      <c r="W91">
        <v>0</v>
      </c>
      <c r="X91">
        <v>0</v>
      </c>
      <c r="Y91">
        <v>0</v>
      </c>
      <c r="Z91">
        <f ca="1">Stiffness!CV90-AL91*AM91</f>
        <v>0.15564669556693034</v>
      </c>
      <c r="AA91">
        <v>0</v>
      </c>
      <c r="AB91">
        <v>0</v>
      </c>
      <c r="AC91" s="207">
        <v>0</v>
      </c>
      <c r="AD91">
        <f t="shared" si="13"/>
        <v>2E-3</v>
      </c>
      <c r="AE91">
        <f t="shared" si="14"/>
        <v>2E-3</v>
      </c>
      <c r="AF91">
        <f t="shared" ca="1" si="15"/>
        <v>0</v>
      </c>
      <c r="AG91">
        <f t="shared" si="16"/>
        <v>0.1511811072</v>
      </c>
      <c r="AH91" s="565">
        <f>Sizing!AD106*(Sizing!CO106+Sizing!CP106) / (12^3)</f>
        <v>7.3617315230248899E-4</v>
      </c>
      <c r="AI91">
        <f t="shared" si="9"/>
        <v>0</v>
      </c>
      <c r="AJ91">
        <f t="shared" si="17"/>
        <v>0</v>
      </c>
      <c r="AK91">
        <f t="shared" si="18"/>
        <v>0</v>
      </c>
      <c r="AL91" s="207">
        <f>Loads!C66</f>
        <v>1.6797900800000001</v>
      </c>
      <c r="AM91">
        <f ca="1">OFFSET('CANARD AERO'!$F$24,((ROW('CANARD AERO'!$A70)-ROW('CANARD AERO'!$A$24))*$B$39/100),0)</f>
        <v>0.25</v>
      </c>
      <c r="AN91" s="207">
        <f ca="1">OFFSET('CANARD AERO'!$J$24,((ROW('CANARD AERO'!$A70)-ROW('CANARD AERO'!$A$24))*$B$39/100),0)</f>
        <v>5.9</v>
      </c>
      <c r="AO91" s="207">
        <f ca="1">OFFSET('CANARD AERO'!$N$24,((ROW('CANARD AERO'!$A70)-ROW('CANARD AERO'!$A$24))*$B$39/100),0)</f>
        <v>-0.15</v>
      </c>
      <c r="AP91" s="207">
        <f ca="1">OFFSET('CANARD AERO'!$O$24,((ROW('CANARD AERO'!$A70)-ROW('CANARD AERO'!$A$24))*$B$39/100),0)</f>
        <v>2.25</v>
      </c>
      <c r="AQ91" s="207">
        <f ca="1">OFFSET('CANARD AERO'!$P$24,((ROW('CANARD AERO'!$A70)-ROW('CANARD AERO'!$A$24))*$B$39/100),0)</f>
        <v>-1.65</v>
      </c>
      <c r="AR91" s="8">
        <f ca="1">OFFSET('CANARD AERO'!$M$24,((ROW('CANARD AERO'!$A70)-ROW('CANARD AERO'!$A$24))*$B$39/100),0)</f>
        <v>5.9690260418206069</v>
      </c>
    </row>
    <row r="92" spans="1:44" x14ac:dyDescent="0.25">
      <c r="A92">
        <f>Loads!A67</f>
        <v>47</v>
      </c>
      <c r="B92">
        <v>47</v>
      </c>
      <c r="C92">
        <f t="shared" si="10"/>
        <v>0.11564961000000001</v>
      </c>
      <c r="D92">
        <f>Loads!B67</f>
        <v>4.6259844000000001</v>
      </c>
      <c r="E92">
        <f t="shared" si="11"/>
        <v>0</v>
      </c>
      <c r="F92">
        <f t="shared" si="12"/>
        <v>0</v>
      </c>
      <c r="G92" s="560">
        <f>Stiffness!AQ91/144</f>
        <v>58817.574443469908</v>
      </c>
      <c r="H92" s="560">
        <f>Stiffness!AV91/144</f>
        <v>53883.228641143702</v>
      </c>
      <c r="I92">
        <v>0</v>
      </c>
      <c r="J92">
        <v>0</v>
      </c>
      <c r="K92">
        <v>0</v>
      </c>
      <c r="L92" s="560">
        <f>Stiffness!BC91/144</f>
        <v>1863824.1316092191</v>
      </c>
      <c r="M92">
        <v>0</v>
      </c>
      <c r="N92">
        <v>0</v>
      </c>
      <c r="O92">
        <v>0</v>
      </c>
      <c r="P92">
        <v>0</v>
      </c>
      <c r="Q92">
        <v>0</v>
      </c>
      <c r="R92">
        <f>'Weight '!BT93*'Weight '!$E$36/Stiffness!D91</f>
        <v>2.3963170065137214</v>
      </c>
      <c r="S92">
        <f ca="1">'Weight '!BU93-$AL91*$AM91</f>
        <v>0.3489368320707037</v>
      </c>
      <c r="T92" s="2">
        <v>0</v>
      </c>
      <c r="U92">
        <v>0</v>
      </c>
      <c r="V92">
        <v>0</v>
      </c>
      <c r="W92">
        <v>0</v>
      </c>
      <c r="X92">
        <v>0</v>
      </c>
      <c r="Y92">
        <v>0</v>
      </c>
      <c r="Z92">
        <f ca="1">Stiffness!CV91-AL92*AM92</f>
        <v>0.1548930575456175</v>
      </c>
      <c r="AA92">
        <v>0</v>
      </c>
      <c r="AB92">
        <v>0</v>
      </c>
      <c r="AC92" s="207">
        <v>0</v>
      </c>
      <c r="AD92">
        <f t="shared" si="13"/>
        <v>2E-3</v>
      </c>
      <c r="AE92">
        <f t="shared" si="14"/>
        <v>2E-3</v>
      </c>
      <c r="AF92">
        <f t="shared" ca="1" si="15"/>
        <v>0</v>
      </c>
      <c r="AG92">
        <f t="shared" si="16"/>
        <v>0.15029528039999998</v>
      </c>
      <c r="AH92" s="565">
        <f>Sizing!AD107*(Sizing!CO107+Sizing!CP107) / (12^3)</f>
        <v>7.2757139767334411E-4</v>
      </c>
      <c r="AI92">
        <f t="shared" si="9"/>
        <v>0</v>
      </c>
      <c r="AJ92">
        <f t="shared" si="17"/>
        <v>0</v>
      </c>
      <c r="AK92">
        <f t="shared" si="18"/>
        <v>0</v>
      </c>
      <c r="AL92" s="207">
        <f>Loads!C67</f>
        <v>1.66994756</v>
      </c>
      <c r="AM92">
        <f ca="1">OFFSET('CANARD AERO'!$F$24,((ROW('CANARD AERO'!$A71)-ROW('CANARD AERO'!$A$24))*$B$39/100),0)</f>
        <v>0.25</v>
      </c>
      <c r="AN92" s="207">
        <f ca="1">OFFSET('CANARD AERO'!$J$24,((ROW('CANARD AERO'!$A71)-ROW('CANARD AERO'!$A$24))*$B$39/100),0)</f>
        <v>5.9</v>
      </c>
      <c r="AO92" s="207">
        <f ca="1">OFFSET('CANARD AERO'!$N$24,((ROW('CANARD AERO'!$A71)-ROW('CANARD AERO'!$A$24))*$B$39/100),0)</f>
        <v>-0.15</v>
      </c>
      <c r="AP92" s="207">
        <f ca="1">OFFSET('CANARD AERO'!$O$24,((ROW('CANARD AERO'!$A71)-ROW('CANARD AERO'!$A$24))*$B$39/100),0)</f>
        <v>2.25</v>
      </c>
      <c r="AQ92" s="207">
        <f ca="1">OFFSET('CANARD AERO'!$P$24,((ROW('CANARD AERO'!$A71)-ROW('CANARD AERO'!$A$24))*$B$39/100),0)</f>
        <v>-1.65</v>
      </c>
      <c r="AR92" s="8">
        <f ca="1">OFFSET('CANARD AERO'!$M$24,((ROW('CANARD AERO'!$A71)-ROW('CANARD AERO'!$A$24))*$B$39/100),0)</f>
        <v>5.9690260418206069</v>
      </c>
    </row>
    <row r="93" spans="1:44" x14ac:dyDescent="0.25">
      <c r="A93">
        <f>Loads!A68</f>
        <v>48</v>
      </c>
      <c r="B93">
        <v>48</v>
      </c>
      <c r="C93">
        <f t="shared" si="10"/>
        <v>0.11811024000000001</v>
      </c>
      <c r="D93">
        <f>Loads!B68</f>
        <v>4.7244096000000004</v>
      </c>
      <c r="E93">
        <f t="shared" si="11"/>
        <v>0</v>
      </c>
      <c r="F93">
        <f t="shared" si="12"/>
        <v>0</v>
      </c>
      <c r="G93" s="560">
        <f>Stiffness!AQ92/144</f>
        <v>57873.255794947487</v>
      </c>
      <c r="H93" s="560">
        <f>Stiffness!AV92/144</f>
        <v>53249.934685923989</v>
      </c>
      <c r="I93">
        <v>0</v>
      </c>
      <c r="J93">
        <v>0</v>
      </c>
      <c r="K93">
        <v>0</v>
      </c>
      <c r="L93" s="560">
        <f>Stiffness!BC92/144</f>
        <v>1831062.3545501244</v>
      </c>
      <c r="M93">
        <v>0</v>
      </c>
      <c r="N93">
        <v>0</v>
      </c>
      <c r="O93">
        <v>0</v>
      </c>
      <c r="P93">
        <v>0</v>
      </c>
      <c r="Q93">
        <v>0</v>
      </c>
      <c r="R93">
        <f>'Weight '!BT94*'Weight '!$E$36/Stiffness!D92</f>
        <v>2.3836452039096012</v>
      </c>
      <c r="S93">
        <f ca="1">'Weight '!BU94-$AL92*$AM92</f>
        <v>0.34666293264109077</v>
      </c>
      <c r="T93" s="2">
        <v>0</v>
      </c>
      <c r="U93">
        <v>0</v>
      </c>
      <c r="V93">
        <v>0</v>
      </c>
      <c r="W93">
        <v>0</v>
      </c>
      <c r="X93">
        <v>0</v>
      </c>
      <c r="Y93">
        <v>0</v>
      </c>
      <c r="Z93">
        <f ca="1">Stiffness!CV92-AL93*AM93</f>
        <v>0.15414103701597037</v>
      </c>
      <c r="AA93">
        <v>0</v>
      </c>
      <c r="AB93">
        <v>0</v>
      </c>
      <c r="AC93" s="207">
        <v>0</v>
      </c>
      <c r="AD93">
        <f t="shared" si="13"/>
        <v>2E-3</v>
      </c>
      <c r="AE93">
        <f t="shared" si="14"/>
        <v>2E-3</v>
      </c>
      <c r="AF93">
        <f t="shared" ca="1" si="15"/>
        <v>0</v>
      </c>
      <c r="AG93">
        <f t="shared" si="16"/>
        <v>0.14940945359999999</v>
      </c>
      <c r="AH93" s="565">
        <f>Sizing!AD108*(Sizing!CO108+Sizing!CP108) / (12^3)</f>
        <v>7.1902019204299946E-4</v>
      </c>
      <c r="AI93">
        <f t="shared" si="9"/>
        <v>0</v>
      </c>
      <c r="AJ93">
        <f t="shared" si="17"/>
        <v>0</v>
      </c>
      <c r="AK93">
        <f t="shared" si="18"/>
        <v>0</v>
      </c>
      <c r="AL93" s="207">
        <f>Loads!C68</f>
        <v>1.6601050399999999</v>
      </c>
      <c r="AM93">
        <f ca="1">OFFSET('CANARD AERO'!$F$24,((ROW('CANARD AERO'!$A72)-ROW('CANARD AERO'!$A$24))*$B$39/100),0)</f>
        <v>0.25</v>
      </c>
      <c r="AN93" s="207">
        <f ca="1">OFFSET('CANARD AERO'!$J$24,((ROW('CANARD AERO'!$A72)-ROW('CANARD AERO'!$A$24))*$B$39/100),0)</f>
        <v>5.9</v>
      </c>
      <c r="AO93" s="207">
        <f ca="1">OFFSET('CANARD AERO'!$N$24,((ROW('CANARD AERO'!$A72)-ROW('CANARD AERO'!$A$24))*$B$39/100),0)</f>
        <v>-0.15</v>
      </c>
      <c r="AP93" s="207">
        <f ca="1">OFFSET('CANARD AERO'!$O$24,((ROW('CANARD AERO'!$A72)-ROW('CANARD AERO'!$A$24))*$B$39/100),0)</f>
        <v>2.25</v>
      </c>
      <c r="AQ93" s="207">
        <f ca="1">OFFSET('CANARD AERO'!$P$24,((ROW('CANARD AERO'!$A72)-ROW('CANARD AERO'!$A$24))*$B$39/100),0)</f>
        <v>-1.65</v>
      </c>
      <c r="AR93" s="8">
        <f ca="1">OFFSET('CANARD AERO'!$M$24,((ROW('CANARD AERO'!$A72)-ROW('CANARD AERO'!$A$24))*$B$39/100),0)</f>
        <v>5.9690260418206069</v>
      </c>
    </row>
    <row r="94" spans="1:44" x14ac:dyDescent="0.25">
      <c r="A94">
        <f>Loads!A69</f>
        <v>49</v>
      </c>
      <c r="B94">
        <v>49</v>
      </c>
      <c r="C94">
        <f t="shared" si="10"/>
        <v>0.12057087000000001</v>
      </c>
      <c r="D94">
        <f>Loads!B69</f>
        <v>4.8228347999999999</v>
      </c>
      <c r="E94">
        <f t="shared" si="11"/>
        <v>0</v>
      </c>
      <c r="F94">
        <f t="shared" si="12"/>
        <v>0</v>
      </c>
      <c r="G94" s="560">
        <f>Stiffness!AQ93/144</f>
        <v>56936.579154869069</v>
      </c>
      <c r="H94" s="560">
        <f>Stiffness!AV93/144</f>
        <v>52620.384340291756</v>
      </c>
      <c r="I94">
        <v>0</v>
      </c>
      <c r="J94">
        <v>0</v>
      </c>
      <c r="K94">
        <v>0</v>
      </c>
      <c r="L94" s="560">
        <f>Stiffness!BC93/144</f>
        <v>1798686.7628991201</v>
      </c>
      <c r="M94">
        <v>0</v>
      </c>
      <c r="N94">
        <v>0</v>
      </c>
      <c r="O94">
        <v>0</v>
      </c>
      <c r="P94">
        <v>0</v>
      </c>
      <c r="Q94">
        <v>0</v>
      </c>
      <c r="R94">
        <f>'Weight '!BT95*'Weight '!$E$36/Stiffness!D93</f>
        <v>2.3709734013054802</v>
      </c>
      <c r="S94">
        <f ca="1">'Weight '!BU95-$AL93*$AM93</f>
        <v>0.34438928304778849</v>
      </c>
      <c r="T94" s="2">
        <v>0</v>
      </c>
      <c r="U94">
        <v>0</v>
      </c>
      <c r="V94">
        <v>0</v>
      </c>
      <c r="W94">
        <v>0</v>
      </c>
      <c r="X94">
        <v>0</v>
      </c>
      <c r="Y94">
        <v>0</v>
      </c>
      <c r="Z94">
        <f ca="1">Stiffness!CV93-AL94*AM94</f>
        <v>0.15339063802167863</v>
      </c>
      <c r="AA94">
        <v>0</v>
      </c>
      <c r="AB94">
        <v>0</v>
      </c>
      <c r="AC94" s="207">
        <v>0</v>
      </c>
      <c r="AD94">
        <f t="shared" si="13"/>
        <v>2E-3</v>
      </c>
      <c r="AE94">
        <f t="shared" si="14"/>
        <v>2E-3</v>
      </c>
      <c r="AF94">
        <f t="shared" ca="1" si="15"/>
        <v>0</v>
      </c>
      <c r="AG94">
        <f t="shared" si="16"/>
        <v>0.1485236268</v>
      </c>
      <c r="AH94" s="565">
        <f>Sizing!AD109*(Sizing!CO109+Sizing!CP109) / (12^3)</f>
        <v>7.1051953541145471E-4</v>
      </c>
      <c r="AI94">
        <f t="shared" si="9"/>
        <v>0</v>
      </c>
      <c r="AJ94">
        <f t="shared" si="17"/>
        <v>0</v>
      </c>
      <c r="AK94">
        <f t="shared" si="18"/>
        <v>0</v>
      </c>
      <c r="AL94" s="207">
        <f>Loads!C69</f>
        <v>1.6502625200000001</v>
      </c>
      <c r="AM94">
        <f ca="1">OFFSET('CANARD AERO'!$F$24,((ROW('CANARD AERO'!$A73)-ROW('CANARD AERO'!$A$24))*$B$39/100),0)</f>
        <v>0.25</v>
      </c>
      <c r="AN94" s="207">
        <f ca="1">OFFSET('CANARD AERO'!$J$24,((ROW('CANARD AERO'!$A73)-ROW('CANARD AERO'!$A$24))*$B$39/100),0)</f>
        <v>5.9</v>
      </c>
      <c r="AO94" s="207">
        <f ca="1">OFFSET('CANARD AERO'!$N$24,((ROW('CANARD AERO'!$A73)-ROW('CANARD AERO'!$A$24))*$B$39/100),0)</f>
        <v>-0.15</v>
      </c>
      <c r="AP94" s="207">
        <f ca="1">OFFSET('CANARD AERO'!$O$24,((ROW('CANARD AERO'!$A73)-ROW('CANARD AERO'!$A$24))*$B$39/100),0)</f>
        <v>2.25</v>
      </c>
      <c r="AQ94" s="207">
        <f ca="1">OFFSET('CANARD AERO'!$P$24,((ROW('CANARD AERO'!$A73)-ROW('CANARD AERO'!$A$24))*$B$39/100),0)</f>
        <v>-1.65</v>
      </c>
      <c r="AR94" s="8">
        <f ca="1">OFFSET('CANARD AERO'!$M$24,((ROW('CANARD AERO'!$A73)-ROW('CANARD AERO'!$A$24))*$B$39/100),0)</f>
        <v>5.9690260418206069</v>
      </c>
    </row>
    <row r="95" spans="1:44" x14ac:dyDescent="0.25">
      <c r="A95">
        <f>Loads!A70</f>
        <v>50</v>
      </c>
      <c r="B95">
        <v>50</v>
      </c>
      <c r="C95">
        <f t="shared" si="10"/>
        <v>0.12303150000000002</v>
      </c>
      <c r="D95">
        <f>Loads!B70</f>
        <v>4.9212600000000002</v>
      </c>
      <c r="E95">
        <f t="shared" si="11"/>
        <v>0</v>
      </c>
      <c r="F95">
        <f t="shared" si="12"/>
        <v>0</v>
      </c>
      <c r="G95" s="560">
        <f>Stiffness!AQ94/144</f>
        <v>40855.102295452874</v>
      </c>
      <c r="H95" s="560">
        <f>Stiffness!AV94/144</f>
        <v>36557.815062179849</v>
      </c>
      <c r="I95">
        <v>0</v>
      </c>
      <c r="J95">
        <v>0</v>
      </c>
      <c r="K95">
        <v>0</v>
      </c>
      <c r="L95" s="560">
        <f>Stiffness!BC94/144</f>
        <v>1766695.0670193969</v>
      </c>
      <c r="M95">
        <v>0</v>
      </c>
      <c r="N95">
        <v>0</v>
      </c>
      <c r="O95">
        <v>0</v>
      </c>
      <c r="P95">
        <v>0</v>
      </c>
      <c r="Q95">
        <v>0</v>
      </c>
      <c r="R95">
        <f>'Weight '!BT96*'Weight '!$E$36/Stiffness!D94</f>
        <v>2.2848576869453163</v>
      </c>
      <c r="S95">
        <f ca="1">'Weight '!BU96-$AL94*$AM94</f>
        <v>0.35298898683980939</v>
      </c>
      <c r="T95" s="2">
        <v>0</v>
      </c>
      <c r="U95">
        <v>0</v>
      </c>
      <c r="V95">
        <v>0</v>
      </c>
      <c r="W95">
        <v>0</v>
      </c>
      <c r="X95">
        <v>0</v>
      </c>
      <c r="Y95">
        <v>0</v>
      </c>
      <c r="Z95">
        <f ca="1">Stiffness!CV94-AL95*AM95</f>
        <v>0.15264186421306331</v>
      </c>
      <c r="AA95">
        <v>0</v>
      </c>
      <c r="AB95">
        <v>0</v>
      </c>
      <c r="AC95" s="207">
        <v>0</v>
      </c>
      <c r="AD95">
        <f t="shared" si="13"/>
        <v>2E-3</v>
      </c>
      <c r="AE95">
        <f t="shared" si="14"/>
        <v>2E-3</v>
      </c>
      <c r="AF95">
        <f t="shared" ca="1" si="15"/>
        <v>0</v>
      </c>
      <c r="AG95">
        <f t="shared" si="16"/>
        <v>0.14763779999999999</v>
      </c>
      <c r="AH95" s="565">
        <f>Sizing!AD110*(Sizing!CO110+Sizing!CP110) / (12^3)</f>
        <v>7.0206942777871018E-4</v>
      </c>
      <c r="AI95">
        <f t="shared" si="9"/>
        <v>0</v>
      </c>
      <c r="AJ95">
        <f t="shared" si="17"/>
        <v>0</v>
      </c>
      <c r="AK95">
        <f t="shared" si="18"/>
        <v>0</v>
      </c>
      <c r="AL95" s="207">
        <f>Loads!C70</f>
        <v>1.64042</v>
      </c>
      <c r="AM95">
        <f ca="1">OFFSET('CANARD AERO'!$F$24,((ROW('CANARD AERO'!$A74)-ROW('CANARD AERO'!$A$24))*$B$39/100),0)</f>
        <v>0.25</v>
      </c>
      <c r="AN95" s="207">
        <f ca="1">OFFSET('CANARD AERO'!$J$24,((ROW('CANARD AERO'!$A74)-ROW('CANARD AERO'!$A$24))*$B$39/100),0)</f>
        <v>5.9</v>
      </c>
      <c r="AO95" s="207">
        <f ca="1">OFFSET('CANARD AERO'!$N$24,((ROW('CANARD AERO'!$A74)-ROW('CANARD AERO'!$A$24))*$B$39/100),0)</f>
        <v>-0.15</v>
      </c>
      <c r="AP95" s="207">
        <f ca="1">OFFSET('CANARD AERO'!$O$24,((ROW('CANARD AERO'!$A74)-ROW('CANARD AERO'!$A$24))*$B$39/100),0)</f>
        <v>2.25</v>
      </c>
      <c r="AQ95" s="207">
        <f ca="1">OFFSET('CANARD AERO'!$P$24,((ROW('CANARD AERO'!$A74)-ROW('CANARD AERO'!$A$24))*$B$39/100),0)</f>
        <v>-1.65</v>
      </c>
      <c r="AR95" s="8">
        <f ca="1">OFFSET('CANARD AERO'!$M$24,((ROW('CANARD AERO'!$A74)-ROW('CANARD AERO'!$A$24))*$B$39/100),0)</f>
        <v>5.9690260418206069</v>
      </c>
    </row>
    <row r="96" spans="1:44" x14ac:dyDescent="0.25">
      <c r="A96">
        <f>Loads!A71</f>
        <v>51</v>
      </c>
      <c r="B96">
        <v>51</v>
      </c>
      <c r="C96">
        <f t="shared" si="10"/>
        <v>0.12549213000000001</v>
      </c>
      <c r="D96">
        <f>Loads!B71</f>
        <v>5.0196852000000005</v>
      </c>
      <c r="E96">
        <f t="shared" si="11"/>
        <v>0</v>
      </c>
      <c r="F96">
        <f t="shared" si="12"/>
        <v>0</v>
      </c>
      <c r="G96" s="560">
        <f>Stiffness!AQ95/144</f>
        <v>40199.536339226383</v>
      </c>
      <c r="H96" s="560">
        <f>Stiffness!AV95/144</f>
        <v>36120.43736277592</v>
      </c>
      <c r="I96">
        <v>0</v>
      </c>
      <c r="J96">
        <v>0</v>
      </c>
      <c r="K96">
        <v>0</v>
      </c>
      <c r="L96" s="560">
        <f>Stiffness!BC95/144</f>
        <v>1735084.977274152</v>
      </c>
      <c r="M96">
        <v>0</v>
      </c>
      <c r="N96">
        <v>0</v>
      </c>
      <c r="O96">
        <v>0</v>
      </c>
      <c r="P96">
        <v>0</v>
      </c>
      <c r="Q96">
        <v>0</v>
      </c>
      <c r="R96">
        <f>'Weight '!BT97*'Weight '!$E$36/Stiffness!D95</f>
        <v>2.2721858843411966</v>
      </c>
      <c r="S96">
        <f ca="1">'Weight '!BU97-$AL95*$AM95</f>
        <v>0.35070423692910874</v>
      </c>
      <c r="T96" s="2">
        <v>0</v>
      </c>
      <c r="U96">
        <v>0</v>
      </c>
      <c r="V96">
        <v>0</v>
      </c>
      <c r="W96">
        <v>0</v>
      </c>
      <c r="X96">
        <v>0</v>
      </c>
      <c r="Y96">
        <v>0</v>
      </c>
      <c r="Z96">
        <f ca="1">Stiffness!CV95-AL96*AM96</f>
        <v>0.15189471883513861</v>
      </c>
      <c r="AA96">
        <v>0</v>
      </c>
      <c r="AB96">
        <v>0</v>
      </c>
      <c r="AC96" s="207">
        <v>0</v>
      </c>
      <c r="AD96">
        <f t="shared" si="13"/>
        <v>2E-3</v>
      </c>
      <c r="AE96">
        <f t="shared" si="14"/>
        <v>2E-3</v>
      </c>
      <c r="AF96">
        <f t="shared" ca="1" si="15"/>
        <v>0</v>
      </c>
      <c r="AG96">
        <f t="shared" si="16"/>
        <v>0.1467519732</v>
      </c>
      <c r="AH96" s="565">
        <f>Sizing!AD111*(Sizing!CO111+Sizing!CP111) / (12^3)</f>
        <v>6.9366986914476565E-4</v>
      </c>
      <c r="AI96">
        <f t="shared" si="9"/>
        <v>0</v>
      </c>
      <c r="AJ96">
        <f t="shared" si="17"/>
        <v>0</v>
      </c>
      <c r="AK96">
        <f t="shared" si="18"/>
        <v>0</v>
      </c>
      <c r="AL96" s="207">
        <f>Loads!C71</f>
        <v>1.6305774799999999</v>
      </c>
      <c r="AM96">
        <f ca="1">OFFSET('CANARD AERO'!$F$24,((ROW('CANARD AERO'!$A75)-ROW('CANARD AERO'!$A$24))*$B$39/100),0)</f>
        <v>0.25</v>
      </c>
      <c r="AN96" s="207">
        <f ca="1">OFFSET('CANARD AERO'!$J$24,((ROW('CANARD AERO'!$A75)-ROW('CANARD AERO'!$A$24))*$B$39/100),0)</f>
        <v>5.9</v>
      </c>
      <c r="AO96" s="207">
        <f ca="1">OFFSET('CANARD AERO'!$N$24,((ROW('CANARD AERO'!$A75)-ROW('CANARD AERO'!$A$24))*$B$39/100),0)</f>
        <v>-0.15</v>
      </c>
      <c r="AP96" s="207">
        <f ca="1">OFFSET('CANARD AERO'!$O$24,((ROW('CANARD AERO'!$A75)-ROW('CANARD AERO'!$A$24))*$B$39/100),0)</f>
        <v>2.25</v>
      </c>
      <c r="AQ96" s="207">
        <f ca="1">OFFSET('CANARD AERO'!$P$24,((ROW('CANARD AERO'!$A75)-ROW('CANARD AERO'!$A$24))*$B$39/100),0)</f>
        <v>-1.65</v>
      </c>
      <c r="AR96" s="8">
        <f ca="1">OFFSET('CANARD AERO'!$M$24,((ROW('CANARD AERO'!$A75)-ROW('CANARD AERO'!$A$24))*$B$39/100),0)</f>
        <v>5.9690260418206069</v>
      </c>
    </row>
    <row r="97" spans="1:44" x14ac:dyDescent="0.25">
      <c r="A97">
        <f>Loads!A72</f>
        <v>52</v>
      </c>
      <c r="B97">
        <v>52</v>
      </c>
      <c r="C97">
        <f t="shared" si="10"/>
        <v>0.12795276000000003</v>
      </c>
      <c r="D97">
        <f>Loads!B72</f>
        <v>5.1181103999999999</v>
      </c>
      <c r="E97">
        <f t="shared" si="11"/>
        <v>0</v>
      </c>
      <c r="F97">
        <f t="shared" si="12"/>
        <v>0</v>
      </c>
      <c r="G97" s="560">
        <f>Stiffness!AQ96/144</f>
        <v>39549.272655130451</v>
      </c>
      <c r="H97" s="560">
        <f>Stiffness!AV96/144</f>
        <v>35685.691826056485</v>
      </c>
      <c r="I97">
        <v>0</v>
      </c>
      <c r="J97">
        <v>0</v>
      </c>
      <c r="K97">
        <v>0</v>
      </c>
      <c r="L97" s="560">
        <f>Stiffness!BC96/144</f>
        <v>1703854.2040265766</v>
      </c>
      <c r="M97">
        <v>0</v>
      </c>
      <c r="N97">
        <v>0</v>
      </c>
      <c r="O97">
        <v>0</v>
      </c>
      <c r="P97">
        <v>0</v>
      </c>
      <c r="Q97">
        <v>0</v>
      </c>
      <c r="R97">
        <f>'Weight '!BT98*'Weight '!$E$36/Stiffness!D96</f>
        <v>2.2595140817370751</v>
      </c>
      <c r="S97">
        <f ca="1">'Weight '!BU98-$AL96*$AM96</f>
        <v>0.34841962747557131</v>
      </c>
      <c r="T97" s="2">
        <v>0</v>
      </c>
      <c r="U97">
        <v>0</v>
      </c>
      <c r="V97">
        <v>0</v>
      </c>
      <c r="W97">
        <v>0</v>
      </c>
      <c r="X97">
        <v>0</v>
      </c>
      <c r="Y97">
        <v>0</v>
      </c>
      <c r="Z97">
        <f ca="1">Stiffness!CV96-AL97*AM97</f>
        <v>0.15114920471544047</v>
      </c>
      <c r="AA97">
        <v>0</v>
      </c>
      <c r="AB97">
        <v>0</v>
      </c>
      <c r="AC97" s="207">
        <v>0</v>
      </c>
      <c r="AD97">
        <f t="shared" si="13"/>
        <v>2E-3</v>
      </c>
      <c r="AE97">
        <f t="shared" si="14"/>
        <v>2E-3</v>
      </c>
      <c r="AF97">
        <f t="shared" ca="1" si="15"/>
        <v>0</v>
      </c>
      <c r="AG97">
        <f t="shared" si="16"/>
        <v>0.14586614640000001</v>
      </c>
      <c r="AH97" s="565">
        <f>Sizing!AD112*(Sizing!CO112+Sizing!CP112) / (12^3)</f>
        <v>6.8532085950962136E-4</v>
      </c>
      <c r="AI97">
        <f t="shared" si="9"/>
        <v>0</v>
      </c>
      <c r="AJ97">
        <f t="shared" si="17"/>
        <v>0</v>
      </c>
      <c r="AK97">
        <f t="shared" si="18"/>
        <v>0</v>
      </c>
      <c r="AL97" s="207">
        <f>Loads!C72</f>
        <v>1.6207349600000001</v>
      </c>
      <c r="AM97">
        <f ca="1">OFFSET('CANARD AERO'!$F$24,((ROW('CANARD AERO'!$A76)-ROW('CANARD AERO'!$A$24))*$B$39/100),0)</f>
        <v>0.25</v>
      </c>
      <c r="AN97" s="207">
        <f ca="1">OFFSET('CANARD AERO'!$J$24,((ROW('CANARD AERO'!$A76)-ROW('CANARD AERO'!$A$24))*$B$39/100),0)</f>
        <v>5.9</v>
      </c>
      <c r="AO97" s="207">
        <f ca="1">OFFSET('CANARD AERO'!$N$24,((ROW('CANARD AERO'!$A76)-ROW('CANARD AERO'!$A$24))*$B$39/100),0)</f>
        <v>-0.15</v>
      </c>
      <c r="AP97" s="207">
        <f ca="1">OFFSET('CANARD AERO'!$O$24,((ROW('CANARD AERO'!$A76)-ROW('CANARD AERO'!$A$24))*$B$39/100),0)</f>
        <v>2.25</v>
      </c>
      <c r="AQ97" s="207">
        <f ca="1">OFFSET('CANARD AERO'!$P$24,((ROW('CANARD AERO'!$A76)-ROW('CANARD AERO'!$A$24))*$B$39/100),0)</f>
        <v>-1.65</v>
      </c>
      <c r="AR97" s="8">
        <f ca="1">OFFSET('CANARD AERO'!$M$24,((ROW('CANARD AERO'!$A76)-ROW('CANARD AERO'!$A$24))*$B$39/100),0)</f>
        <v>5.9690260418206069</v>
      </c>
    </row>
    <row r="98" spans="1:44" x14ac:dyDescent="0.25">
      <c r="A98">
        <f>Loads!A73</f>
        <v>53</v>
      </c>
      <c r="B98">
        <v>53</v>
      </c>
      <c r="C98">
        <f t="shared" si="10"/>
        <v>0.13041339000000002</v>
      </c>
      <c r="D98">
        <f>Loads!B73</f>
        <v>5.2165356000000003</v>
      </c>
      <c r="E98">
        <f t="shared" si="11"/>
        <v>0</v>
      </c>
      <c r="F98">
        <f t="shared" si="12"/>
        <v>0</v>
      </c>
      <c r="G98" s="560">
        <f>Stiffness!AQ97/144</f>
        <v>38904.311243165081</v>
      </c>
      <c r="H98" s="560">
        <f>Stiffness!AV97/144</f>
        <v>35253.578452021509</v>
      </c>
      <c r="I98">
        <v>0</v>
      </c>
      <c r="J98">
        <v>0</v>
      </c>
      <c r="K98">
        <v>0</v>
      </c>
      <c r="L98" s="560">
        <f>Stiffness!BC97/144</f>
        <v>1673000.4576398623</v>
      </c>
      <c r="M98">
        <v>0</v>
      </c>
      <c r="N98">
        <v>0</v>
      </c>
      <c r="O98">
        <v>0</v>
      </c>
      <c r="P98">
        <v>0</v>
      </c>
      <c r="Q98">
        <v>0</v>
      </c>
      <c r="R98">
        <f>'Weight '!BT99*'Weight '!$E$36/Stiffness!D97</f>
        <v>2.2468422791329545</v>
      </c>
      <c r="S98">
        <f ca="1">'Weight '!BU99-$AL97*$AM97</f>
        <v>0.34613516085565921</v>
      </c>
      <c r="T98" s="2">
        <v>0</v>
      </c>
      <c r="U98">
        <v>0</v>
      </c>
      <c r="V98">
        <v>0</v>
      </c>
      <c r="W98">
        <v>0</v>
      </c>
      <c r="X98">
        <v>0</v>
      </c>
      <c r="Y98">
        <v>0</v>
      </c>
      <c r="Z98">
        <f ca="1">Stiffness!CV97-AL98*AM98</f>
        <v>0.15040532425161829</v>
      </c>
      <c r="AA98">
        <v>0</v>
      </c>
      <c r="AB98">
        <v>0</v>
      </c>
      <c r="AC98" s="207">
        <v>0</v>
      </c>
      <c r="AD98">
        <f t="shared" si="13"/>
        <v>2E-3</v>
      </c>
      <c r="AE98">
        <f t="shared" si="14"/>
        <v>2E-3</v>
      </c>
      <c r="AF98">
        <f t="shared" ca="1" si="15"/>
        <v>0</v>
      </c>
      <c r="AG98">
        <f t="shared" si="16"/>
        <v>0.14498031959999999</v>
      </c>
      <c r="AH98" s="565">
        <f>Sizing!AD113*(Sizing!CO113+Sizing!CP113) / (12^3)</f>
        <v>6.7702239887327707E-4</v>
      </c>
      <c r="AI98">
        <f t="shared" si="9"/>
        <v>0</v>
      </c>
      <c r="AJ98">
        <f t="shared" si="17"/>
        <v>0</v>
      </c>
      <c r="AK98">
        <f t="shared" si="18"/>
        <v>0</v>
      </c>
      <c r="AL98" s="207">
        <f>Loads!C73</f>
        <v>1.61089244</v>
      </c>
      <c r="AM98">
        <f ca="1">OFFSET('CANARD AERO'!$F$24,((ROW('CANARD AERO'!$A77)-ROW('CANARD AERO'!$A$24))*$B$39/100),0)</f>
        <v>0.25</v>
      </c>
      <c r="AN98" s="207">
        <f ca="1">OFFSET('CANARD AERO'!$J$24,((ROW('CANARD AERO'!$A77)-ROW('CANARD AERO'!$A$24))*$B$39/100),0)</f>
        <v>5.9</v>
      </c>
      <c r="AO98" s="207">
        <f ca="1">OFFSET('CANARD AERO'!$N$24,((ROW('CANARD AERO'!$A77)-ROW('CANARD AERO'!$A$24))*$B$39/100),0)</f>
        <v>-0.15</v>
      </c>
      <c r="AP98" s="207">
        <f ca="1">OFFSET('CANARD AERO'!$O$24,((ROW('CANARD AERO'!$A77)-ROW('CANARD AERO'!$A$24))*$B$39/100),0)</f>
        <v>2.25</v>
      </c>
      <c r="AQ98" s="207">
        <f ca="1">OFFSET('CANARD AERO'!$P$24,((ROW('CANARD AERO'!$A77)-ROW('CANARD AERO'!$A$24))*$B$39/100),0)</f>
        <v>-1.65</v>
      </c>
      <c r="AR98" s="8">
        <f ca="1">OFFSET('CANARD AERO'!$M$24,((ROW('CANARD AERO'!$A77)-ROW('CANARD AERO'!$A$24))*$B$39/100),0)</f>
        <v>5.9690260418206069</v>
      </c>
    </row>
    <row r="99" spans="1:44" x14ac:dyDescent="0.25">
      <c r="A99">
        <f>Loads!A74</f>
        <v>54</v>
      </c>
      <c r="B99">
        <v>54</v>
      </c>
      <c r="C99">
        <f t="shared" si="10"/>
        <v>0.13287402000000004</v>
      </c>
      <c r="D99">
        <f>Loads!B74</f>
        <v>5.3149608000000006</v>
      </c>
      <c r="E99">
        <f t="shared" si="11"/>
        <v>0</v>
      </c>
      <c r="F99">
        <f t="shared" si="12"/>
        <v>0</v>
      </c>
      <c r="G99" s="560">
        <f>Stiffness!AQ98/144</f>
        <v>38264.652103330271</v>
      </c>
      <c r="H99" s="560">
        <f>Stiffness!AV98/144</f>
        <v>34824.097240671028</v>
      </c>
      <c r="I99">
        <v>0</v>
      </c>
      <c r="J99">
        <v>0</v>
      </c>
      <c r="K99">
        <v>0</v>
      </c>
      <c r="L99" s="560">
        <f>Stiffness!BC98/144</f>
        <v>1642521.4484772037</v>
      </c>
      <c r="M99">
        <v>0</v>
      </c>
      <c r="N99">
        <v>0</v>
      </c>
      <c r="O99">
        <v>0</v>
      </c>
      <c r="P99">
        <v>0</v>
      </c>
      <c r="Q99">
        <v>0</v>
      </c>
      <c r="R99">
        <f>'Weight '!BT100*'Weight '!$E$36/Stiffness!D98</f>
        <v>2.2341704765288348</v>
      </c>
      <c r="S99">
        <f ca="1">'Weight '!BU100-$AL98*$AM98</f>
        <v>0.34385083949975043</v>
      </c>
      <c r="T99" s="2">
        <v>0</v>
      </c>
      <c r="U99">
        <v>0</v>
      </c>
      <c r="V99">
        <v>0</v>
      </c>
      <c r="W99">
        <v>0</v>
      </c>
      <c r="X99">
        <v>0</v>
      </c>
      <c r="Y99">
        <v>0</v>
      </c>
      <c r="Z99">
        <f ca="1">Stiffness!CV98-AL99*AM99</f>
        <v>0.14966307939878198</v>
      </c>
      <c r="AA99">
        <v>0</v>
      </c>
      <c r="AB99">
        <v>0</v>
      </c>
      <c r="AC99" s="207">
        <v>0</v>
      </c>
      <c r="AD99">
        <f t="shared" si="13"/>
        <v>2E-3</v>
      </c>
      <c r="AE99">
        <f t="shared" si="14"/>
        <v>2E-3</v>
      </c>
      <c r="AF99">
        <f t="shared" ca="1" si="15"/>
        <v>0</v>
      </c>
      <c r="AG99">
        <f t="shared" si="16"/>
        <v>0.14409449279999997</v>
      </c>
      <c r="AH99" s="565">
        <f>Sizing!AD114*(Sizing!CO114+Sizing!CP114) / (12^3)</f>
        <v>6.6877448723573268E-4</v>
      </c>
      <c r="AI99">
        <f t="shared" si="9"/>
        <v>0</v>
      </c>
      <c r="AJ99">
        <f t="shared" si="17"/>
        <v>0</v>
      </c>
      <c r="AK99">
        <f t="shared" si="18"/>
        <v>0</v>
      </c>
      <c r="AL99" s="207">
        <f>Loads!C74</f>
        <v>1.6010499199999999</v>
      </c>
      <c r="AM99">
        <f ca="1">OFFSET('CANARD AERO'!$F$24,((ROW('CANARD AERO'!$A78)-ROW('CANARD AERO'!$A$24))*$B$39/100),0)</f>
        <v>0.25</v>
      </c>
      <c r="AN99" s="207">
        <f ca="1">OFFSET('CANARD AERO'!$J$24,((ROW('CANARD AERO'!$A78)-ROW('CANARD AERO'!$A$24))*$B$39/100),0)</f>
        <v>5.9</v>
      </c>
      <c r="AO99" s="207">
        <f ca="1">OFFSET('CANARD AERO'!$N$24,((ROW('CANARD AERO'!$A78)-ROW('CANARD AERO'!$A$24))*$B$39/100),0)</f>
        <v>-0.15</v>
      </c>
      <c r="AP99" s="207">
        <f ca="1">OFFSET('CANARD AERO'!$O$24,((ROW('CANARD AERO'!$A78)-ROW('CANARD AERO'!$A$24))*$B$39/100),0)</f>
        <v>2.25</v>
      </c>
      <c r="AQ99" s="207">
        <f ca="1">OFFSET('CANARD AERO'!$P$24,((ROW('CANARD AERO'!$A78)-ROW('CANARD AERO'!$A$24))*$B$39/100),0)</f>
        <v>-1.65</v>
      </c>
      <c r="AR99" s="8">
        <f ca="1">OFFSET('CANARD AERO'!$M$24,((ROW('CANARD AERO'!$A78)-ROW('CANARD AERO'!$A$24))*$B$39/100),0)</f>
        <v>5.9690260418206069</v>
      </c>
    </row>
    <row r="100" spans="1:44" x14ac:dyDescent="0.25">
      <c r="A100">
        <f>Loads!A75</f>
        <v>55</v>
      </c>
      <c r="B100">
        <v>55</v>
      </c>
      <c r="C100">
        <f t="shared" si="10"/>
        <v>0.13533465000000003</v>
      </c>
      <c r="D100">
        <f>Loads!B75</f>
        <v>5.4133860000000009</v>
      </c>
      <c r="E100">
        <f t="shared" si="11"/>
        <v>0</v>
      </c>
      <c r="F100">
        <f t="shared" si="12"/>
        <v>0</v>
      </c>
      <c r="G100" s="560">
        <f>Stiffness!AQ99/144</f>
        <v>37630.295235626065</v>
      </c>
      <c r="H100" s="560">
        <f>Stiffness!AV99/144</f>
        <v>34397.248192005005</v>
      </c>
      <c r="I100">
        <v>0</v>
      </c>
      <c r="J100">
        <v>0</v>
      </c>
      <c r="K100">
        <v>0</v>
      </c>
      <c r="L100" s="560">
        <f>Stiffness!BC99/144</f>
        <v>1612414.8869017949</v>
      </c>
      <c r="M100">
        <v>0</v>
      </c>
      <c r="N100">
        <v>0</v>
      </c>
      <c r="O100">
        <v>0</v>
      </c>
      <c r="P100">
        <v>0</v>
      </c>
      <c r="Q100">
        <v>0</v>
      </c>
      <c r="R100">
        <f>'Weight '!BT101*'Weight '!$E$36/Stiffness!D99</f>
        <v>2.2214986739247133</v>
      </c>
      <c r="S100">
        <f ca="1">'Weight '!BU101-$AL99*$AM99</f>
        <v>0.34156666589367635</v>
      </c>
      <c r="T100" s="2">
        <v>0</v>
      </c>
      <c r="U100">
        <v>0</v>
      </c>
      <c r="V100">
        <v>0</v>
      </c>
      <c r="W100">
        <v>0</v>
      </c>
      <c r="X100">
        <v>0</v>
      </c>
      <c r="Y100">
        <v>0</v>
      </c>
      <c r="Z100">
        <f ca="1">Stiffness!CV99-AL100*AM100</f>
        <v>0.14892247165660333</v>
      </c>
      <c r="AA100">
        <v>0</v>
      </c>
      <c r="AB100">
        <v>0</v>
      </c>
      <c r="AC100" s="207">
        <v>0</v>
      </c>
      <c r="AD100">
        <f t="shared" si="13"/>
        <v>2E-3</v>
      </c>
      <c r="AE100">
        <f t="shared" si="14"/>
        <v>2E-3</v>
      </c>
      <c r="AF100">
        <f t="shared" ca="1" si="15"/>
        <v>0</v>
      </c>
      <c r="AG100">
        <f t="shared" si="16"/>
        <v>0.14320866600000001</v>
      </c>
      <c r="AH100" s="565">
        <f>Sizing!AD115*(Sizing!CO115+Sizing!CP115) / (12^3)</f>
        <v>6.6057712459698841E-4</v>
      </c>
      <c r="AI100">
        <f t="shared" si="9"/>
        <v>0</v>
      </c>
      <c r="AJ100">
        <f t="shared" si="17"/>
        <v>0</v>
      </c>
      <c r="AK100">
        <f t="shared" si="18"/>
        <v>0</v>
      </c>
      <c r="AL100" s="207">
        <f>Loads!C75</f>
        <v>1.5912074</v>
      </c>
      <c r="AM100">
        <f ca="1">OFFSET('CANARD AERO'!$F$24,((ROW('CANARD AERO'!$A79)-ROW('CANARD AERO'!$A$24))*$B$39/100),0)</f>
        <v>0.25</v>
      </c>
      <c r="AN100" s="207">
        <f ca="1">OFFSET('CANARD AERO'!$J$24,((ROW('CANARD AERO'!$A79)-ROW('CANARD AERO'!$A$24))*$B$39/100),0)</f>
        <v>5.9</v>
      </c>
      <c r="AO100" s="207">
        <f ca="1">OFFSET('CANARD AERO'!$N$24,((ROW('CANARD AERO'!$A79)-ROW('CANARD AERO'!$A$24))*$B$39/100),0)</f>
        <v>-0.15</v>
      </c>
      <c r="AP100" s="207">
        <f ca="1">OFFSET('CANARD AERO'!$O$24,((ROW('CANARD AERO'!$A79)-ROW('CANARD AERO'!$A$24))*$B$39/100),0)</f>
        <v>2.25</v>
      </c>
      <c r="AQ100" s="207">
        <f ca="1">OFFSET('CANARD AERO'!$P$24,((ROW('CANARD AERO'!$A79)-ROW('CANARD AERO'!$A$24))*$B$39/100),0)</f>
        <v>-1.65</v>
      </c>
      <c r="AR100" s="8">
        <f ca="1">OFFSET('CANARD AERO'!$M$24,((ROW('CANARD AERO'!$A79)-ROW('CANARD AERO'!$A$24))*$B$39/100),0)</f>
        <v>5.9690260418206069</v>
      </c>
    </row>
    <row r="101" spans="1:44" x14ac:dyDescent="0.25">
      <c r="A101">
        <f>Loads!A76</f>
        <v>56</v>
      </c>
      <c r="B101">
        <v>56</v>
      </c>
      <c r="C101">
        <f t="shared" si="10"/>
        <v>0.13779528000000002</v>
      </c>
      <c r="D101">
        <f>Loads!B76</f>
        <v>5.5118112000000004</v>
      </c>
      <c r="E101">
        <f t="shared" si="11"/>
        <v>0</v>
      </c>
      <c r="F101">
        <f t="shared" si="12"/>
        <v>0</v>
      </c>
      <c r="G101" s="560">
        <f>Stiffness!AQ100/144</f>
        <v>37001.240640052391</v>
      </c>
      <c r="H101" s="560">
        <f>Stiffness!AV100/144</f>
        <v>33973.031306023477</v>
      </c>
      <c r="I101">
        <v>0</v>
      </c>
      <c r="J101">
        <v>0</v>
      </c>
      <c r="K101">
        <v>0</v>
      </c>
      <c r="L101" s="560">
        <f>Stiffness!BC100/144</f>
        <v>1582678.4832768275</v>
      </c>
      <c r="M101">
        <v>0</v>
      </c>
      <c r="N101">
        <v>0</v>
      </c>
      <c r="O101">
        <v>0</v>
      </c>
      <c r="P101">
        <v>0</v>
      </c>
      <c r="Q101">
        <v>0</v>
      </c>
      <c r="R101">
        <f>'Weight '!BT102*'Weight '!$E$36/Stiffness!D100</f>
        <v>2.2088268713205923</v>
      </c>
      <c r="S101">
        <f ca="1">'Weight '!BU102-$AL100*$AM100</f>
        <v>0.33928264258031127</v>
      </c>
      <c r="T101" s="2">
        <v>0</v>
      </c>
      <c r="U101">
        <v>0</v>
      </c>
      <c r="V101">
        <v>0</v>
      </c>
      <c r="W101">
        <v>0</v>
      </c>
      <c r="X101">
        <v>0</v>
      </c>
      <c r="Y101">
        <v>0</v>
      </c>
      <c r="Z101">
        <f ca="1">Stiffness!CV100-AL101*AM101</f>
        <v>0.14818350205616321</v>
      </c>
      <c r="AA101">
        <v>0</v>
      </c>
      <c r="AB101">
        <v>0</v>
      </c>
      <c r="AC101" s="207">
        <v>0</v>
      </c>
      <c r="AD101">
        <f t="shared" si="13"/>
        <v>2E-3</v>
      </c>
      <c r="AE101">
        <f t="shared" si="14"/>
        <v>2E-3</v>
      </c>
      <c r="AF101">
        <f t="shared" ca="1" si="15"/>
        <v>0</v>
      </c>
      <c r="AG101">
        <f t="shared" si="16"/>
        <v>0.1423228392</v>
      </c>
      <c r="AH101" s="565">
        <f>Sizing!AD116*(Sizing!CO116+Sizing!CP116) / (12^3)</f>
        <v>6.5243031095704436E-4</v>
      </c>
      <c r="AI101">
        <f t="shared" si="9"/>
        <v>0</v>
      </c>
      <c r="AJ101">
        <f t="shared" si="17"/>
        <v>0</v>
      </c>
      <c r="AK101">
        <f t="shared" si="18"/>
        <v>0</v>
      </c>
      <c r="AL101" s="207">
        <f>Loads!C76</f>
        <v>1.58136488</v>
      </c>
      <c r="AM101">
        <f ca="1">OFFSET('CANARD AERO'!$F$24,((ROW('CANARD AERO'!$A80)-ROW('CANARD AERO'!$A$24))*$B$39/100),0)</f>
        <v>0.25</v>
      </c>
      <c r="AN101" s="207">
        <f ca="1">OFFSET('CANARD AERO'!$J$24,((ROW('CANARD AERO'!$A80)-ROW('CANARD AERO'!$A$24))*$B$39/100),0)</f>
        <v>5.9</v>
      </c>
      <c r="AO101" s="207">
        <f ca="1">OFFSET('CANARD AERO'!$N$24,((ROW('CANARD AERO'!$A80)-ROW('CANARD AERO'!$A$24))*$B$39/100),0)</f>
        <v>-0.15</v>
      </c>
      <c r="AP101" s="207">
        <f ca="1">OFFSET('CANARD AERO'!$O$24,((ROW('CANARD AERO'!$A80)-ROW('CANARD AERO'!$A$24))*$B$39/100),0)</f>
        <v>2.25</v>
      </c>
      <c r="AQ101" s="207">
        <f ca="1">OFFSET('CANARD AERO'!$P$24,((ROW('CANARD AERO'!$A80)-ROW('CANARD AERO'!$A$24))*$B$39/100),0)</f>
        <v>-1.65</v>
      </c>
      <c r="AR101" s="8">
        <f ca="1">OFFSET('CANARD AERO'!$M$24,((ROW('CANARD AERO'!$A80)-ROW('CANARD AERO'!$A$24))*$B$39/100),0)</f>
        <v>5.9690260418206069</v>
      </c>
    </row>
    <row r="102" spans="1:44" x14ac:dyDescent="0.25">
      <c r="A102">
        <f>Loads!A77</f>
        <v>57</v>
      </c>
      <c r="B102">
        <v>57</v>
      </c>
      <c r="C102">
        <f t="shared" si="10"/>
        <v>0.14025591000000001</v>
      </c>
      <c r="D102">
        <f>Loads!B77</f>
        <v>5.6102363999999998</v>
      </c>
      <c r="E102">
        <f t="shared" si="11"/>
        <v>0</v>
      </c>
      <c r="F102">
        <f t="shared" si="12"/>
        <v>0</v>
      </c>
      <c r="G102" s="560">
        <f>Stiffness!AQ101/144</f>
        <v>36377.488316609277</v>
      </c>
      <c r="H102" s="560">
        <f>Stiffness!AV101/144</f>
        <v>33551.446582726414</v>
      </c>
      <c r="I102">
        <v>0</v>
      </c>
      <c r="J102">
        <v>0</v>
      </c>
      <c r="K102">
        <v>0</v>
      </c>
      <c r="L102" s="560">
        <f>Stiffness!BC101/144</f>
        <v>1553309.9479654953</v>
      </c>
      <c r="M102">
        <v>0</v>
      </c>
      <c r="N102">
        <v>0</v>
      </c>
      <c r="O102">
        <v>0</v>
      </c>
      <c r="P102">
        <v>0</v>
      </c>
      <c r="Q102">
        <v>0</v>
      </c>
      <c r="R102">
        <f>'Weight '!BT103*'Weight '!$E$36/Stiffness!D101</f>
        <v>2.1961550687164717</v>
      </c>
      <c r="S102">
        <f ca="1">'Weight '!BU103-$AL101*$AM101</f>
        <v>0.33699877216121982</v>
      </c>
      <c r="T102" s="2">
        <v>0</v>
      </c>
      <c r="U102">
        <v>0</v>
      </c>
      <c r="V102">
        <v>0</v>
      </c>
      <c r="W102">
        <v>0</v>
      </c>
      <c r="X102">
        <v>0</v>
      </c>
      <c r="Y102">
        <v>0</v>
      </c>
      <c r="Z102">
        <f ca="1">Stiffness!CV101-AL102*AM102</f>
        <v>0.14744617114654046</v>
      </c>
      <c r="AA102">
        <v>0</v>
      </c>
      <c r="AB102">
        <v>0</v>
      </c>
      <c r="AC102" s="207">
        <v>0</v>
      </c>
      <c r="AD102">
        <f t="shared" si="13"/>
        <v>2E-3</v>
      </c>
      <c r="AE102">
        <f t="shared" si="14"/>
        <v>2E-3</v>
      </c>
      <c r="AF102">
        <f t="shared" ca="1" si="15"/>
        <v>0</v>
      </c>
      <c r="AG102">
        <f t="shared" si="16"/>
        <v>0.14143701239999998</v>
      </c>
      <c r="AH102" s="565">
        <f>Sizing!AD117*(Sizing!CO117+Sizing!CP117) / (12^3)</f>
        <v>6.4433404631590021E-4</v>
      </c>
      <c r="AI102">
        <f t="shared" si="9"/>
        <v>0</v>
      </c>
      <c r="AJ102">
        <f t="shared" si="17"/>
        <v>0</v>
      </c>
      <c r="AK102">
        <f t="shared" si="18"/>
        <v>0</v>
      </c>
      <c r="AL102" s="207">
        <f>Loads!C77</f>
        <v>1.5715223599999999</v>
      </c>
      <c r="AM102">
        <f ca="1">OFFSET('CANARD AERO'!$F$24,((ROW('CANARD AERO'!$A81)-ROW('CANARD AERO'!$A$24))*$B$39/100),0)</f>
        <v>0.25</v>
      </c>
      <c r="AN102" s="207">
        <f ca="1">OFFSET('CANARD AERO'!$J$24,((ROW('CANARD AERO'!$A81)-ROW('CANARD AERO'!$A$24))*$B$39/100),0)</f>
        <v>5.9</v>
      </c>
      <c r="AO102" s="207">
        <f ca="1">OFFSET('CANARD AERO'!$N$24,((ROW('CANARD AERO'!$A81)-ROW('CANARD AERO'!$A$24))*$B$39/100),0)</f>
        <v>-0.15</v>
      </c>
      <c r="AP102" s="207">
        <f ca="1">OFFSET('CANARD AERO'!$O$24,((ROW('CANARD AERO'!$A81)-ROW('CANARD AERO'!$A$24))*$B$39/100),0)</f>
        <v>2.25</v>
      </c>
      <c r="AQ102" s="207">
        <f ca="1">OFFSET('CANARD AERO'!$P$24,((ROW('CANARD AERO'!$A81)-ROW('CANARD AERO'!$A$24))*$B$39/100),0)</f>
        <v>-1.65</v>
      </c>
      <c r="AR102" s="8">
        <f ca="1">OFFSET('CANARD AERO'!$M$24,((ROW('CANARD AERO'!$A81)-ROW('CANARD AERO'!$A$24))*$B$39/100),0)</f>
        <v>5.9690260418206069</v>
      </c>
    </row>
    <row r="103" spans="1:44" x14ac:dyDescent="0.25">
      <c r="A103">
        <f>Loads!A78</f>
        <v>58</v>
      </c>
      <c r="B103">
        <v>58</v>
      </c>
      <c r="C103">
        <f t="shared" si="10"/>
        <v>0.14271654</v>
      </c>
      <c r="D103">
        <f>Loads!B78</f>
        <v>5.7086616000000001</v>
      </c>
      <c r="E103">
        <f t="shared" si="11"/>
        <v>0</v>
      </c>
      <c r="F103">
        <f t="shared" si="12"/>
        <v>0</v>
      </c>
      <c r="G103" s="560">
        <f>Stiffness!AQ102/144</f>
        <v>35759.038265296731</v>
      </c>
      <c r="H103" s="560">
        <f>Stiffness!AV102/144</f>
        <v>33132.494022113839</v>
      </c>
      <c r="I103">
        <v>0</v>
      </c>
      <c r="J103">
        <v>0</v>
      </c>
      <c r="K103">
        <v>0</v>
      </c>
      <c r="L103" s="560">
        <f>Stiffness!BC102/144</f>
        <v>1524306.9913309917</v>
      </c>
      <c r="M103">
        <v>0</v>
      </c>
      <c r="N103">
        <v>0</v>
      </c>
      <c r="O103">
        <v>0</v>
      </c>
      <c r="P103">
        <v>0</v>
      </c>
      <c r="Q103">
        <v>0</v>
      </c>
      <c r="R103">
        <f>'Weight '!BT104*'Weight '!$E$36/Stiffness!D102</f>
        <v>2.1834832661123511</v>
      </c>
      <c r="S103">
        <f ca="1">'Weight '!BU104-$AL102*$AM102</f>
        <v>0.33471505729835804</v>
      </c>
      <c r="T103" s="2">
        <v>0</v>
      </c>
      <c r="U103">
        <v>0</v>
      </c>
      <c r="V103">
        <v>0</v>
      </c>
      <c r="W103">
        <v>0</v>
      </c>
      <c r="X103">
        <v>0</v>
      </c>
      <c r="Y103">
        <v>0</v>
      </c>
      <c r="Z103">
        <f ca="1">Stiffness!CV102-AL103*AM103</f>
        <v>0.14671047898113676</v>
      </c>
      <c r="AA103">
        <v>0</v>
      </c>
      <c r="AB103">
        <v>0</v>
      </c>
      <c r="AC103" s="207">
        <v>0</v>
      </c>
      <c r="AD103">
        <f t="shared" si="13"/>
        <v>2E-3</v>
      </c>
      <c r="AE103">
        <f t="shared" si="14"/>
        <v>2E-3</v>
      </c>
      <c r="AF103">
        <f t="shared" ca="1" si="15"/>
        <v>0</v>
      </c>
      <c r="AG103">
        <f t="shared" si="16"/>
        <v>0.14055118559999999</v>
      </c>
      <c r="AH103" s="565">
        <f>Sizing!AD118*(Sizing!CO118+Sizing!CP118) / (12^3)</f>
        <v>6.3628833067355618E-4</v>
      </c>
      <c r="AI103">
        <f t="shared" si="9"/>
        <v>0</v>
      </c>
      <c r="AJ103">
        <f t="shared" si="17"/>
        <v>0</v>
      </c>
      <c r="AK103">
        <f t="shared" si="18"/>
        <v>0</v>
      </c>
      <c r="AL103" s="207">
        <f>Loads!C78</f>
        <v>1.56167984</v>
      </c>
      <c r="AM103">
        <f ca="1">OFFSET('CANARD AERO'!$F$24,((ROW('CANARD AERO'!$A82)-ROW('CANARD AERO'!$A$24))*$B$39/100),0)</f>
        <v>0.25</v>
      </c>
      <c r="AN103" s="207">
        <f ca="1">OFFSET('CANARD AERO'!$J$24,((ROW('CANARD AERO'!$A82)-ROW('CANARD AERO'!$A$24))*$B$39/100),0)</f>
        <v>5.9</v>
      </c>
      <c r="AO103" s="207">
        <f ca="1">OFFSET('CANARD AERO'!$N$24,((ROW('CANARD AERO'!$A82)-ROW('CANARD AERO'!$A$24))*$B$39/100),0)</f>
        <v>-0.15</v>
      </c>
      <c r="AP103" s="207">
        <f ca="1">OFFSET('CANARD AERO'!$O$24,((ROW('CANARD AERO'!$A82)-ROW('CANARD AERO'!$A$24))*$B$39/100),0)</f>
        <v>2.25</v>
      </c>
      <c r="AQ103" s="207">
        <f ca="1">OFFSET('CANARD AERO'!$P$24,((ROW('CANARD AERO'!$A82)-ROW('CANARD AERO'!$A$24))*$B$39/100),0)</f>
        <v>-1.65</v>
      </c>
      <c r="AR103" s="8">
        <f ca="1">OFFSET('CANARD AERO'!$M$24,((ROW('CANARD AERO'!$A82)-ROW('CANARD AERO'!$A$24))*$B$39/100),0)</f>
        <v>5.9690260418206069</v>
      </c>
    </row>
    <row r="104" spans="1:44" x14ac:dyDescent="0.25">
      <c r="A104">
        <f>Loads!A79</f>
        <v>59</v>
      </c>
      <c r="B104">
        <v>59</v>
      </c>
      <c r="C104">
        <f t="shared" si="10"/>
        <v>0.14517717000000002</v>
      </c>
      <c r="D104">
        <f>Loads!B79</f>
        <v>5.8070867999999995</v>
      </c>
      <c r="E104">
        <f t="shared" si="11"/>
        <v>0</v>
      </c>
      <c r="F104">
        <f t="shared" si="12"/>
        <v>0</v>
      </c>
      <c r="G104" s="560">
        <f>Stiffness!AQ103/144</f>
        <v>35145.890486114746</v>
      </c>
      <c r="H104" s="560">
        <f>Stiffness!AV103/144</f>
        <v>32716.173624185743</v>
      </c>
      <c r="I104">
        <v>0</v>
      </c>
      <c r="J104">
        <v>0</v>
      </c>
      <c r="K104">
        <v>0</v>
      </c>
      <c r="L104" s="560">
        <f>Stiffness!BC103/144</f>
        <v>1495667.3237365088</v>
      </c>
      <c r="M104">
        <v>0</v>
      </c>
      <c r="N104">
        <v>0</v>
      </c>
      <c r="O104">
        <v>0</v>
      </c>
      <c r="P104">
        <v>0</v>
      </c>
      <c r="Q104">
        <v>0</v>
      </c>
      <c r="R104">
        <f>'Weight '!BT105*'Weight '!$E$36/Stiffness!D103</f>
        <v>2.1708114635082305</v>
      </c>
      <c r="S104">
        <f ca="1">'Weight '!BU105-$AL103*$AM103</f>
        <v>0.33243150071583905</v>
      </c>
      <c r="T104" s="2">
        <v>0</v>
      </c>
      <c r="U104">
        <v>0</v>
      </c>
      <c r="V104">
        <v>0</v>
      </c>
      <c r="W104">
        <v>0</v>
      </c>
      <c r="X104">
        <v>0</v>
      </c>
      <c r="Y104">
        <v>0</v>
      </c>
      <c r="Z104">
        <f ca="1">Stiffness!CV103-AL104*AM104</f>
        <v>0.14597642510373116</v>
      </c>
      <c r="AA104">
        <v>0</v>
      </c>
      <c r="AB104">
        <v>0</v>
      </c>
      <c r="AC104" s="207">
        <v>0</v>
      </c>
      <c r="AD104">
        <f t="shared" si="13"/>
        <v>2E-3</v>
      </c>
      <c r="AE104">
        <f t="shared" si="14"/>
        <v>2E-3</v>
      </c>
      <c r="AF104">
        <f t="shared" ca="1" si="15"/>
        <v>0</v>
      </c>
      <c r="AG104">
        <f t="shared" si="16"/>
        <v>0.1396653588</v>
      </c>
      <c r="AH104" s="565">
        <f>Sizing!AD119*(Sizing!CO119+Sizing!CP119) / (12^3)</f>
        <v>6.2829316403001227E-4</v>
      </c>
      <c r="AI104">
        <f t="shared" si="9"/>
        <v>0</v>
      </c>
      <c r="AJ104">
        <f t="shared" si="17"/>
        <v>0</v>
      </c>
      <c r="AK104">
        <f t="shared" si="18"/>
        <v>0</v>
      </c>
      <c r="AL104" s="207">
        <f>Loads!C79</f>
        <v>1.55183732</v>
      </c>
      <c r="AM104">
        <f ca="1">OFFSET('CANARD AERO'!$F$24,((ROW('CANARD AERO'!$A83)-ROW('CANARD AERO'!$A$24))*$B$39/100),0)</f>
        <v>0.25</v>
      </c>
      <c r="AN104" s="207">
        <f ca="1">OFFSET('CANARD AERO'!$J$24,((ROW('CANARD AERO'!$A83)-ROW('CANARD AERO'!$A$24))*$B$39/100),0)</f>
        <v>5.9</v>
      </c>
      <c r="AO104" s="207">
        <f ca="1">OFFSET('CANARD AERO'!$N$24,((ROW('CANARD AERO'!$A83)-ROW('CANARD AERO'!$A$24))*$B$39/100),0)</f>
        <v>-0.15</v>
      </c>
      <c r="AP104" s="207">
        <f ca="1">OFFSET('CANARD AERO'!$O$24,((ROW('CANARD AERO'!$A83)-ROW('CANARD AERO'!$A$24))*$B$39/100),0)</f>
        <v>2.25</v>
      </c>
      <c r="AQ104" s="207">
        <f ca="1">OFFSET('CANARD AERO'!$P$24,((ROW('CANARD AERO'!$A83)-ROW('CANARD AERO'!$A$24))*$B$39/100),0)</f>
        <v>-1.65</v>
      </c>
      <c r="AR104" s="8">
        <f ca="1">OFFSET('CANARD AERO'!$M$24,((ROW('CANARD AERO'!$A83)-ROW('CANARD AERO'!$A$24))*$B$39/100),0)</f>
        <v>5.9690260418206069</v>
      </c>
    </row>
    <row r="105" spans="1:44" x14ac:dyDescent="0.25">
      <c r="A105">
        <f>Loads!A80</f>
        <v>60</v>
      </c>
      <c r="B105">
        <v>60</v>
      </c>
      <c r="C105">
        <f t="shared" si="10"/>
        <v>0.14763780000000001</v>
      </c>
      <c r="D105">
        <f>Loads!B80</f>
        <v>5.9055119999999999</v>
      </c>
      <c r="E105">
        <f t="shared" si="11"/>
        <v>0</v>
      </c>
      <c r="F105">
        <f t="shared" si="12"/>
        <v>0</v>
      </c>
      <c r="G105" s="560">
        <f>Stiffness!AQ104/144</f>
        <v>23183.589064615568</v>
      </c>
      <c r="H105" s="560">
        <f>Stiffness!AV104/144</f>
        <v>20862.064594170271</v>
      </c>
      <c r="I105">
        <v>0</v>
      </c>
      <c r="J105">
        <v>0</v>
      </c>
      <c r="K105">
        <v>0</v>
      </c>
      <c r="L105" s="560">
        <f>Stiffness!BC104/144</f>
        <v>1467388.6555452393</v>
      </c>
      <c r="M105">
        <v>0</v>
      </c>
      <c r="N105">
        <v>0</v>
      </c>
      <c r="O105">
        <v>0</v>
      </c>
      <c r="P105">
        <v>0</v>
      </c>
      <c r="Q105">
        <v>0</v>
      </c>
      <c r="R105">
        <f>'Weight '!BT106*'Weight '!$E$36/Stiffness!D104</f>
        <v>2.097581664875988</v>
      </c>
      <c r="S105">
        <f ca="1">'Weight '!BU106-$AL104*$AM104</f>
        <v>0.33957636032097221</v>
      </c>
      <c r="T105" s="2">
        <v>0</v>
      </c>
      <c r="U105">
        <v>0</v>
      </c>
      <c r="V105">
        <v>0</v>
      </c>
      <c r="W105">
        <v>0</v>
      </c>
      <c r="X105">
        <v>0</v>
      </c>
      <c r="Y105">
        <v>0</v>
      </c>
      <c r="Z105">
        <f ca="1">Stiffness!CV104-AL105*AM105</f>
        <v>0.14524400853425756</v>
      </c>
      <c r="AA105">
        <v>0</v>
      </c>
      <c r="AB105">
        <v>0</v>
      </c>
      <c r="AC105" s="207">
        <v>0</v>
      </c>
      <c r="AD105">
        <f t="shared" si="13"/>
        <v>2E-3</v>
      </c>
      <c r="AE105">
        <f t="shared" si="14"/>
        <v>2E-3</v>
      </c>
      <c r="AF105">
        <f t="shared" ca="1" si="15"/>
        <v>0</v>
      </c>
      <c r="AG105">
        <f t="shared" si="16"/>
        <v>0.13877953199999998</v>
      </c>
      <c r="AH105" s="565">
        <f>Sizing!AD120*(Sizing!CO120+Sizing!CP120) / (12^3)</f>
        <v>6.2034854638526825E-4</v>
      </c>
      <c r="AI105">
        <f t="shared" si="9"/>
        <v>0</v>
      </c>
      <c r="AJ105">
        <f t="shared" si="17"/>
        <v>0</v>
      </c>
      <c r="AK105">
        <f t="shared" si="18"/>
        <v>0</v>
      </c>
      <c r="AL105" s="207">
        <f>Loads!C80</f>
        <v>1.5419947999999999</v>
      </c>
      <c r="AM105">
        <f ca="1">OFFSET('CANARD AERO'!$F$24,((ROW('CANARD AERO'!$A84)-ROW('CANARD AERO'!$A$24))*$B$39/100),0)</f>
        <v>0.25</v>
      </c>
      <c r="AN105" s="207">
        <f ca="1">OFFSET('CANARD AERO'!$J$24,((ROW('CANARD AERO'!$A84)-ROW('CANARD AERO'!$A$24))*$B$39/100),0)</f>
        <v>5.9</v>
      </c>
      <c r="AO105" s="207">
        <f ca="1">OFFSET('CANARD AERO'!$N$24,((ROW('CANARD AERO'!$A84)-ROW('CANARD AERO'!$A$24))*$B$39/100),0)</f>
        <v>-0.15</v>
      </c>
      <c r="AP105" s="207">
        <f ca="1">OFFSET('CANARD AERO'!$O$24,((ROW('CANARD AERO'!$A84)-ROW('CANARD AERO'!$A$24))*$B$39/100),0)</f>
        <v>2.25</v>
      </c>
      <c r="AQ105" s="207">
        <f ca="1">OFFSET('CANARD AERO'!$P$24,((ROW('CANARD AERO'!$A84)-ROW('CANARD AERO'!$A$24))*$B$39/100),0)</f>
        <v>-1.65</v>
      </c>
      <c r="AR105" s="8">
        <f ca="1">OFFSET('CANARD AERO'!$M$24,((ROW('CANARD AERO'!$A84)-ROW('CANARD AERO'!$A$24))*$B$39/100),0)</f>
        <v>5.9690260418206069</v>
      </c>
    </row>
    <row r="106" spans="1:44" x14ac:dyDescent="0.25">
      <c r="A106">
        <f>Loads!A81</f>
        <v>61</v>
      </c>
      <c r="B106">
        <v>61</v>
      </c>
      <c r="C106">
        <f t="shared" si="10"/>
        <v>0.15009843</v>
      </c>
      <c r="D106">
        <f>Loads!B81</f>
        <v>6.0039372000000002</v>
      </c>
      <c r="E106">
        <f t="shared" si="11"/>
        <v>0</v>
      </c>
      <c r="F106">
        <f t="shared" si="12"/>
        <v>0</v>
      </c>
      <c r="G106" s="560">
        <f>Stiffness!AQ105/144</f>
        <v>22789.772118683246</v>
      </c>
      <c r="H106" s="560">
        <f>Stiffness!AV105/144</f>
        <v>20596.590336251695</v>
      </c>
      <c r="I106">
        <v>0</v>
      </c>
      <c r="J106">
        <v>0</v>
      </c>
      <c r="K106">
        <v>0</v>
      </c>
      <c r="L106" s="560">
        <f>Stiffness!BC105/144</f>
        <v>1439468.6971203787</v>
      </c>
      <c r="M106">
        <v>0</v>
      </c>
      <c r="N106">
        <v>0</v>
      </c>
      <c r="O106">
        <v>0</v>
      </c>
      <c r="P106">
        <v>0</v>
      </c>
      <c r="Q106">
        <v>0</v>
      </c>
      <c r="R106">
        <f>'Weight '!BT107*'Weight '!$E$36/Stiffness!D105</f>
        <v>2.0849098622718669</v>
      </c>
      <c r="S106">
        <f ca="1">'Weight '!BU107-$AL105*$AM105</f>
        <v>0.33728523321727477</v>
      </c>
      <c r="T106" s="2">
        <v>0</v>
      </c>
      <c r="U106">
        <v>0</v>
      </c>
      <c r="V106">
        <v>0</v>
      </c>
      <c r="W106">
        <v>0</v>
      </c>
      <c r="X106">
        <v>0</v>
      </c>
      <c r="Y106">
        <v>0</v>
      </c>
      <c r="Z106">
        <f ca="1">Stiffness!CV105-AL106*AM106</f>
        <v>0.14451322775430042</v>
      </c>
      <c r="AA106">
        <v>0</v>
      </c>
      <c r="AB106">
        <v>0</v>
      </c>
      <c r="AC106" s="207">
        <v>0</v>
      </c>
      <c r="AD106">
        <f t="shared" si="13"/>
        <v>2E-3</v>
      </c>
      <c r="AE106">
        <f t="shared" si="14"/>
        <v>2E-3</v>
      </c>
      <c r="AF106">
        <f t="shared" ca="1" si="15"/>
        <v>0</v>
      </c>
      <c r="AG106">
        <f t="shared" si="16"/>
        <v>0.13789370519999999</v>
      </c>
      <c r="AH106" s="565">
        <f>Sizing!AD121*(Sizing!CO121+Sizing!CP121) / (12^3)</f>
        <v>6.1245447773932446E-4</v>
      </c>
      <c r="AI106">
        <f t="shared" si="9"/>
        <v>0</v>
      </c>
      <c r="AJ106">
        <f t="shared" si="17"/>
        <v>0</v>
      </c>
      <c r="AK106">
        <f t="shared" si="18"/>
        <v>0</v>
      </c>
      <c r="AL106" s="207">
        <f>Loads!C81</f>
        <v>1.53215228</v>
      </c>
      <c r="AM106">
        <f ca="1">OFFSET('CANARD AERO'!$F$24,((ROW('CANARD AERO'!$A85)-ROW('CANARD AERO'!$A$24))*$B$39/100),0)</f>
        <v>0.25</v>
      </c>
      <c r="AN106" s="207">
        <f ca="1">OFFSET('CANARD AERO'!$J$24,((ROW('CANARD AERO'!$A85)-ROW('CANARD AERO'!$A$24))*$B$39/100),0)</f>
        <v>5.9</v>
      </c>
      <c r="AO106" s="207">
        <f ca="1">OFFSET('CANARD AERO'!$N$24,((ROW('CANARD AERO'!$A85)-ROW('CANARD AERO'!$A$24))*$B$39/100),0)</f>
        <v>-0.15</v>
      </c>
      <c r="AP106" s="207">
        <f ca="1">OFFSET('CANARD AERO'!$O$24,((ROW('CANARD AERO'!$A85)-ROW('CANARD AERO'!$A$24))*$B$39/100),0)</f>
        <v>2.25</v>
      </c>
      <c r="AQ106" s="207">
        <f ca="1">OFFSET('CANARD AERO'!$P$24,((ROW('CANARD AERO'!$A85)-ROW('CANARD AERO'!$A$24))*$B$39/100),0)</f>
        <v>-1.65</v>
      </c>
      <c r="AR106" s="8">
        <f ca="1">OFFSET('CANARD AERO'!$M$24,((ROW('CANARD AERO'!$A85)-ROW('CANARD AERO'!$A$24))*$B$39/100),0)</f>
        <v>5.9690260418206069</v>
      </c>
    </row>
    <row r="107" spans="1:44" x14ac:dyDescent="0.25">
      <c r="A107">
        <f>Loads!A82</f>
        <v>62</v>
      </c>
      <c r="B107">
        <v>62</v>
      </c>
      <c r="C107">
        <f t="shared" si="10"/>
        <v>0.15255906000000002</v>
      </c>
      <c r="D107">
        <f>Loads!B82</f>
        <v>6.1023624000000005</v>
      </c>
      <c r="E107">
        <f t="shared" si="11"/>
        <v>0</v>
      </c>
      <c r="F107">
        <f t="shared" si="12"/>
        <v>0</v>
      </c>
      <c r="G107" s="560">
        <f>Stiffness!AQ106/144</f>
        <v>22399.328748842941</v>
      </c>
      <c r="H107" s="560">
        <f>Stiffness!AV106/144</f>
        <v>20332.816020219478</v>
      </c>
      <c r="I107">
        <v>0</v>
      </c>
      <c r="J107">
        <v>0</v>
      </c>
      <c r="K107">
        <v>0</v>
      </c>
      <c r="L107" s="560">
        <f>Stiffness!BC106/144</f>
        <v>1411905.1588251193</v>
      </c>
      <c r="M107">
        <v>0</v>
      </c>
      <c r="N107">
        <v>0</v>
      </c>
      <c r="O107">
        <v>0</v>
      </c>
      <c r="P107">
        <v>0</v>
      </c>
      <c r="Q107">
        <v>0</v>
      </c>
      <c r="R107">
        <f>'Weight '!BT108*'Weight '!$E$36/Stiffness!D106</f>
        <v>2.0722380596677459</v>
      </c>
      <c r="S107">
        <f ca="1">'Weight '!BU108-$AL106*$AM106</f>
        <v>0.33499418127090486</v>
      </c>
      <c r="T107" s="2">
        <v>0</v>
      </c>
      <c r="U107">
        <v>0</v>
      </c>
      <c r="V107">
        <v>0</v>
      </c>
      <c r="W107">
        <v>0</v>
      </c>
      <c r="X107">
        <v>0</v>
      </c>
      <c r="Y107">
        <v>0</v>
      </c>
      <c r="Z107">
        <f ca="1">Stiffness!CV106-AL107*AM107</f>
        <v>0.14378408069230003</v>
      </c>
      <c r="AA107">
        <v>0</v>
      </c>
      <c r="AB107">
        <v>0</v>
      </c>
      <c r="AC107" s="207">
        <v>0</v>
      </c>
      <c r="AD107">
        <f t="shared" si="13"/>
        <v>2E-3</v>
      </c>
      <c r="AE107">
        <f t="shared" si="14"/>
        <v>2E-3</v>
      </c>
      <c r="AF107">
        <f t="shared" ca="1" si="15"/>
        <v>0</v>
      </c>
      <c r="AG107">
        <f t="shared" si="16"/>
        <v>0.13700787839999998</v>
      </c>
      <c r="AH107" s="565">
        <f>Sizing!AD122*(Sizing!CO122+Sizing!CP122) / (12^3)</f>
        <v>6.046109580921809E-4</v>
      </c>
      <c r="AI107">
        <f t="shared" si="9"/>
        <v>0</v>
      </c>
      <c r="AJ107">
        <f t="shared" si="17"/>
        <v>0</v>
      </c>
      <c r="AK107">
        <f t="shared" si="18"/>
        <v>0</v>
      </c>
      <c r="AL107" s="207">
        <f>Loads!C82</f>
        <v>1.52230976</v>
      </c>
      <c r="AM107">
        <f ca="1">OFFSET('CANARD AERO'!$F$24,((ROW('CANARD AERO'!$A86)-ROW('CANARD AERO'!$A$24))*$B$39/100),0)</f>
        <v>0.25</v>
      </c>
      <c r="AN107" s="207">
        <f ca="1">OFFSET('CANARD AERO'!$J$24,((ROW('CANARD AERO'!$A86)-ROW('CANARD AERO'!$A$24))*$B$39/100),0)</f>
        <v>5.9</v>
      </c>
      <c r="AO107" s="207">
        <f ca="1">OFFSET('CANARD AERO'!$N$24,((ROW('CANARD AERO'!$A86)-ROW('CANARD AERO'!$A$24))*$B$39/100),0)</f>
        <v>-0.15</v>
      </c>
      <c r="AP107" s="207">
        <f ca="1">OFFSET('CANARD AERO'!$O$24,((ROW('CANARD AERO'!$A86)-ROW('CANARD AERO'!$A$24))*$B$39/100),0)</f>
        <v>2.25</v>
      </c>
      <c r="AQ107" s="207">
        <f ca="1">OFFSET('CANARD AERO'!$P$24,((ROW('CANARD AERO'!$A86)-ROW('CANARD AERO'!$A$24))*$B$39/100),0)</f>
        <v>-1.65</v>
      </c>
      <c r="AR107" s="8">
        <f ca="1">OFFSET('CANARD AERO'!$M$24,((ROW('CANARD AERO'!$A86)-ROW('CANARD AERO'!$A$24))*$B$39/100),0)</f>
        <v>5.9690260418206069</v>
      </c>
    </row>
    <row r="108" spans="1:44" x14ac:dyDescent="0.25">
      <c r="A108">
        <f>Loads!A83</f>
        <v>63</v>
      </c>
      <c r="B108">
        <v>63</v>
      </c>
      <c r="C108">
        <f t="shared" si="10"/>
        <v>0.15501969000000002</v>
      </c>
      <c r="D108">
        <f>Loads!B83</f>
        <v>6.2007876</v>
      </c>
      <c r="E108">
        <f t="shared" si="11"/>
        <v>0</v>
      </c>
      <c r="F108">
        <f t="shared" si="12"/>
        <v>0</v>
      </c>
      <c r="G108" s="560">
        <f>Stiffness!AQ107/144</f>
        <v>22012.258955094647</v>
      </c>
      <c r="H108" s="560">
        <f>Stiffness!AV107/144</f>
        <v>20070.741646073606</v>
      </c>
      <c r="I108">
        <v>0</v>
      </c>
      <c r="J108">
        <v>0</v>
      </c>
      <c r="K108">
        <v>0</v>
      </c>
      <c r="L108" s="560">
        <f>Stiffness!BC107/144</f>
        <v>1384695.7510226523</v>
      </c>
      <c r="M108">
        <v>0</v>
      </c>
      <c r="N108">
        <v>0</v>
      </c>
      <c r="O108">
        <v>0</v>
      </c>
      <c r="P108">
        <v>0</v>
      </c>
      <c r="Q108">
        <v>0</v>
      </c>
      <c r="R108">
        <f>'Weight '!BT109*'Weight '!$E$36/Stiffness!D107</f>
        <v>2.0595662570636253</v>
      </c>
      <c r="S108">
        <f ca="1">'Weight '!BU109-$AL107*$AM107</f>
        <v>0.33270320586911512</v>
      </c>
      <c r="T108" s="2">
        <v>0</v>
      </c>
      <c r="U108">
        <v>0</v>
      </c>
      <c r="V108">
        <v>0</v>
      </c>
      <c r="W108">
        <v>0</v>
      </c>
      <c r="X108">
        <v>0</v>
      </c>
      <c r="Y108">
        <v>0</v>
      </c>
      <c r="Z108">
        <f ca="1">Stiffness!CV107-AL108*AM108</f>
        <v>0.14305656470846007</v>
      </c>
      <c r="AA108">
        <v>0</v>
      </c>
      <c r="AB108">
        <v>0</v>
      </c>
      <c r="AC108" s="207">
        <v>0</v>
      </c>
      <c r="AD108">
        <f t="shared" si="13"/>
        <v>2E-3</v>
      </c>
      <c r="AE108">
        <f t="shared" si="14"/>
        <v>2E-3</v>
      </c>
      <c r="AF108">
        <f t="shared" ca="1" si="15"/>
        <v>0</v>
      </c>
      <c r="AG108">
        <f t="shared" si="16"/>
        <v>0.13612205159999999</v>
      </c>
      <c r="AH108" s="565">
        <f>Sizing!AD123*(Sizing!CO123+Sizing!CP123) / (12^3)</f>
        <v>5.9681798744383712E-4</v>
      </c>
      <c r="AI108">
        <f t="shared" si="9"/>
        <v>0</v>
      </c>
      <c r="AJ108">
        <f t="shared" si="17"/>
        <v>0</v>
      </c>
      <c r="AK108">
        <f t="shared" si="18"/>
        <v>0</v>
      </c>
      <c r="AL108" s="207">
        <f>Loads!C83</f>
        <v>1.5124672399999999</v>
      </c>
      <c r="AM108">
        <f ca="1">OFFSET('CANARD AERO'!$F$24,((ROW('CANARD AERO'!$A87)-ROW('CANARD AERO'!$A$24))*$B$39/100),0)</f>
        <v>0.25</v>
      </c>
      <c r="AN108" s="207">
        <f ca="1">OFFSET('CANARD AERO'!$J$24,((ROW('CANARD AERO'!$A87)-ROW('CANARD AERO'!$A$24))*$B$39/100),0)</f>
        <v>5.9</v>
      </c>
      <c r="AO108" s="207">
        <f ca="1">OFFSET('CANARD AERO'!$N$24,((ROW('CANARD AERO'!$A87)-ROW('CANARD AERO'!$A$24))*$B$39/100),0)</f>
        <v>-0.15</v>
      </c>
      <c r="AP108" s="207">
        <f ca="1">OFFSET('CANARD AERO'!$O$24,((ROW('CANARD AERO'!$A87)-ROW('CANARD AERO'!$A$24))*$B$39/100),0)</f>
        <v>2.25</v>
      </c>
      <c r="AQ108" s="207">
        <f ca="1">OFFSET('CANARD AERO'!$P$24,((ROW('CANARD AERO'!$A87)-ROW('CANARD AERO'!$A$24))*$B$39/100),0)</f>
        <v>-1.65</v>
      </c>
      <c r="AR108" s="8">
        <f ca="1">OFFSET('CANARD AERO'!$M$24,((ROW('CANARD AERO'!$A87)-ROW('CANARD AERO'!$A$24))*$B$39/100),0)</f>
        <v>5.9690260418206069</v>
      </c>
    </row>
    <row r="109" spans="1:44" x14ac:dyDescent="0.25">
      <c r="A109">
        <f>Loads!A84</f>
        <v>64</v>
      </c>
      <c r="B109">
        <v>64</v>
      </c>
      <c r="C109">
        <f t="shared" ref="C109:C140" si="19">B109/$B$145*($B$8-$B$7)</f>
        <v>0.15748032000000003</v>
      </c>
      <c r="D109">
        <f>Loads!B84</f>
        <v>6.2992128000000003</v>
      </c>
      <c r="E109">
        <f t="shared" ref="E109:E140" si="20">D109/$D$145*($D$8-$D$7)</f>
        <v>0</v>
      </c>
      <c r="F109">
        <f t="shared" ref="F109:F145" si="21">($E$8-$E$7)*A109/$A$145</f>
        <v>0</v>
      </c>
      <c r="G109" s="560">
        <f>Stiffness!AQ108/144</f>
        <v>21628.562737438362</v>
      </c>
      <c r="H109" s="560">
        <f>Stiffness!AV108/144</f>
        <v>19810.367213814086</v>
      </c>
      <c r="I109">
        <v>0</v>
      </c>
      <c r="J109">
        <v>0</v>
      </c>
      <c r="K109">
        <v>0</v>
      </c>
      <c r="L109" s="560">
        <f>Stiffness!BC108/144</f>
        <v>1357838.1840761725</v>
      </c>
      <c r="M109">
        <v>0</v>
      </c>
      <c r="N109">
        <v>0</v>
      </c>
      <c r="O109">
        <v>0</v>
      </c>
      <c r="P109">
        <v>0</v>
      </c>
      <c r="Q109">
        <v>0</v>
      </c>
      <c r="R109">
        <f>'Weight '!BT110*'Weight '!$E$36/Stiffness!D108</f>
        <v>2.0468944544595047</v>
      </c>
      <c r="S109">
        <f ca="1">'Weight '!BU110-$AL108*$AM108</f>
        <v>0.33041230843350888</v>
      </c>
      <c r="T109" s="2">
        <v>0</v>
      </c>
      <c r="U109">
        <v>0</v>
      </c>
      <c r="V109">
        <v>0</v>
      </c>
      <c r="W109">
        <v>0</v>
      </c>
      <c r="X109">
        <v>0</v>
      </c>
      <c r="Y109">
        <v>0</v>
      </c>
      <c r="Z109">
        <f ca="1">Stiffness!CV108-AL109*AM109</f>
        <v>0.14233067657935272</v>
      </c>
      <c r="AA109">
        <v>0</v>
      </c>
      <c r="AB109">
        <v>0</v>
      </c>
      <c r="AC109" s="207">
        <v>0</v>
      </c>
      <c r="AD109">
        <f t="shared" ref="AD109:AD145" si="22">$B$36</f>
        <v>2E-3</v>
      </c>
      <c r="AE109">
        <f t="shared" ref="AE109:AE145" si="23">$B$37</f>
        <v>2E-3</v>
      </c>
      <c r="AF109">
        <f t="shared" ref="AF109:AF145" ca="1" si="24">AL109*$B$12-AL109*AM109</f>
        <v>0</v>
      </c>
      <c r="AG109">
        <f t="shared" ref="AG109:AG145" si="25">AL109*$B$13/2</f>
        <v>0.1352362248</v>
      </c>
      <c r="AH109" s="565">
        <f>Sizing!AD124*(Sizing!CO124+Sizing!CP124) / (12^3)</f>
        <v>5.8907556579429346E-4</v>
      </c>
      <c r="AI109">
        <f t="shared" si="9"/>
        <v>0</v>
      </c>
      <c r="AJ109">
        <f t="shared" ref="AJ109:AJ145" si="26">$B$18</f>
        <v>0</v>
      </c>
      <c r="AK109">
        <f t="shared" ref="AK109:AK145" si="27">$B$19</f>
        <v>0</v>
      </c>
      <c r="AL109" s="207">
        <f>Loads!C84</f>
        <v>1.50262472</v>
      </c>
      <c r="AM109">
        <f ca="1">OFFSET('CANARD AERO'!$F$24,((ROW('CANARD AERO'!$A88)-ROW('CANARD AERO'!$A$24))*$B$39/100),0)</f>
        <v>0.25</v>
      </c>
      <c r="AN109" s="207">
        <f ca="1">OFFSET('CANARD AERO'!$J$24,((ROW('CANARD AERO'!$A88)-ROW('CANARD AERO'!$A$24))*$B$39/100),0)</f>
        <v>5.9</v>
      </c>
      <c r="AO109" s="207">
        <f ca="1">OFFSET('CANARD AERO'!$N$24,((ROW('CANARD AERO'!$A88)-ROW('CANARD AERO'!$A$24))*$B$39/100),0)</f>
        <v>-0.15</v>
      </c>
      <c r="AP109" s="207">
        <f ca="1">OFFSET('CANARD AERO'!$O$24,((ROW('CANARD AERO'!$A88)-ROW('CANARD AERO'!$A$24))*$B$39/100),0)</f>
        <v>2.25</v>
      </c>
      <c r="AQ109" s="207">
        <f ca="1">OFFSET('CANARD AERO'!$P$24,((ROW('CANARD AERO'!$A88)-ROW('CANARD AERO'!$A$24))*$B$39/100),0)</f>
        <v>-1.65</v>
      </c>
      <c r="AR109" s="8">
        <f ca="1">OFFSET('CANARD AERO'!$M$24,((ROW('CANARD AERO'!$A88)-ROW('CANARD AERO'!$A$24))*$B$39/100),0)</f>
        <v>5.9690260418206069</v>
      </c>
    </row>
    <row r="110" spans="1:44" x14ac:dyDescent="0.25">
      <c r="A110">
        <f>Loads!A85</f>
        <v>65</v>
      </c>
      <c r="B110">
        <v>65</v>
      </c>
      <c r="C110">
        <f t="shared" si="19"/>
        <v>0.15994095000000003</v>
      </c>
      <c r="D110">
        <f>Loads!B85</f>
        <v>6.3976380000000006</v>
      </c>
      <c r="E110">
        <f t="shared" si="20"/>
        <v>0</v>
      </c>
      <c r="F110">
        <f t="shared" si="21"/>
        <v>0</v>
      </c>
      <c r="G110" s="560">
        <f>Stiffness!AQ109/144</f>
        <v>21248.240095874105</v>
      </c>
      <c r="H110" s="560">
        <f>Stiffness!AV109/144</f>
        <v>19551.692723440927</v>
      </c>
      <c r="I110">
        <v>0</v>
      </c>
      <c r="J110">
        <v>0</v>
      </c>
      <c r="K110">
        <v>0</v>
      </c>
      <c r="L110" s="560">
        <f>Stiffness!BC109/144</f>
        <v>1331330.1683488744</v>
      </c>
      <c r="M110">
        <v>0</v>
      </c>
      <c r="N110">
        <v>0</v>
      </c>
      <c r="O110">
        <v>0</v>
      </c>
      <c r="P110">
        <v>0</v>
      </c>
      <c r="Q110">
        <v>0</v>
      </c>
      <c r="R110">
        <f>'Weight '!BT111*'Weight '!$E$36/Stiffness!D109</f>
        <v>2.0342226518553841</v>
      </c>
      <c r="S110">
        <f ca="1">'Weight '!BU111-$AL109*$AM109</f>
        <v>0.32812149042111327</v>
      </c>
      <c r="T110" s="2">
        <v>0</v>
      </c>
      <c r="U110">
        <v>0</v>
      </c>
      <c r="V110">
        <v>0</v>
      </c>
      <c r="W110">
        <v>0</v>
      </c>
      <c r="X110">
        <v>0</v>
      </c>
      <c r="Y110">
        <v>0</v>
      </c>
      <c r="Z110">
        <f ca="1">Stiffness!CV109-AL110*AM110</f>
        <v>0.1416064124822099</v>
      </c>
      <c r="AA110">
        <v>0</v>
      </c>
      <c r="AB110">
        <v>0</v>
      </c>
      <c r="AC110" s="207">
        <v>0</v>
      </c>
      <c r="AD110">
        <f t="shared" si="22"/>
        <v>2E-3</v>
      </c>
      <c r="AE110">
        <f t="shared" si="23"/>
        <v>2E-3</v>
      </c>
      <c r="AF110">
        <f t="shared" ca="1" si="24"/>
        <v>0</v>
      </c>
      <c r="AG110">
        <f t="shared" si="25"/>
        <v>0.13435039799999998</v>
      </c>
      <c r="AH110" s="565">
        <f>Sizing!AD125*(Sizing!CO125+Sizing!CP125) / (12^3)</f>
        <v>5.8138369314354992E-4</v>
      </c>
      <c r="AI110">
        <f t="shared" ref="AI110:AI145" si="28">$C$24</f>
        <v>0</v>
      </c>
      <c r="AJ110">
        <f t="shared" si="26"/>
        <v>0</v>
      </c>
      <c r="AK110">
        <f t="shared" si="27"/>
        <v>0</v>
      </c>
      <c r="AL110" s="207">
        <f>Loads!C85</f>
        <v>1.4927821999999999</v>
      </c>
      <c r="AM110">
        <f ca="1">OFFSET('CANARD AERO'!$F$24,((ROW('CANARD AERO'!$A89)-ROW('CANARD AERO'!$A$24))*$B$39/100),0)</f>
        <v>0.25</v>
      </c>
      <c r="AN110" s="207">
        <f ca="1">OFFSET('CANARD AERO'!$J$24,((ROW('CANARD AERO'!$A89)-ROW('CANARD AERO'!$A$24))*$B$39/100),0)</f>
        <v>5.9</v>
      </c>
      <c r="AO110" s="207">
        <f ca="1">OFFSET('CANARD AERO'!$N$24,((ROW('CANARD AERO'!$A89)-ROW('CANARD AERO'!$A$24))*$B$39/100),0)</f>
        <v>-0.15</v>
      </c>
      <c r="AP110" s="207">
        <f ca="1">OFFSET('CANARD AERO'!$O$24,((ROW('CANARD AERO'!$A89)-ROW('CANARD AERO'!$A$24))*$B$39/100),0)</f>
        <v>2.25</v>
      </c>
      <c r="AQ110" s="207">
        <f ca="1">OFFSET('CANARD AERO'!$P$24,((ROW('CANARD AERO'!$A89)-ROW('CANARD AERO'!$A$24))*$B$39/100),0)</f>
        <v>-1.65</v>
      </c>
      <c r="AR110" s="8">
        <f ca="1">OFFSET('CANARD AERO'!$M$24,((ROW('CANARD AERO'!$A89)-ROW('CANARD AERO'!$A$24))*$B$39/100),0)</f>
        <v>5.9690260418206069</v>
      </c>
    </row>
    <row r="111" spans="1:44" x14ac:dyDescent="0.25">
      <c r="A111">
        <f>Loads!A86</f>
        <v>66</v>
      </c>
      <c r="B111">
        <v>66</v>
      </c>
      <c r="C111">
        <f t="shared" si="19"/>
        <v>0.16240158000000002</v>
      </c>
      <c r="D111">
        <f>Loads!B86</f>
        <v>6.4960632000000009</v>
      </c>
      <c r="E111">
        <f t="shared" si="20"/>
        <v>0</v>
      </c>
      <c r="F111">
        <f t="shared" si="21"/>
        <v>0</v>
      </c>
      <c r="G111" s="560">
        <f>Stiffness!AQ110/144</f>
        <v>20871.291030401841</v>
      </c>
      <c r="H111" s="560">
        <f>Stiffness!AV110/144</f>
        <v>19294.718174954105</v>
      </c>
      <c r="I111">
        <v>0</v>
      </c>
      <c r="J111">
        <v>0</v>
      </c>
      <c r="K111">
        <v>0</v>
      </c>
      <c r="L111" s="560">
        <f>Stiffness!BC110/144</f>
        <v>1305169.4142039486</v>
      </c>
      <c r="M111">
        <v>0</v>
      </c>
      <c r="N111">
        <v>0</v>
      </c>
      <c r="O111">
        <v>0</v>
      </c>
      <c r="P111">
        <v>0</v>
      </c>
      <c r="Q111">
        <v>0</v>
      </c>
      <c r="R111">
        <f>'Weight '!BT112*'Weight '!$E$36/Stiffness!D110</f>
        <v>2.0215508492512635</v>
      </c>
      <c r="S111">
        <f ca="1">'Weight '!BU112-$AL110*$AM110</f>
        <v>0.32583075332548667</v>
      </c>
      <c r="T111" s="2">
        <v>0</v>
      </c>
      <c r="U111">
        <v>0</v>
      </c>
      <c r="V111">
        <v>0</v>
      </c>
      <c r="W111">
        <v>0</v>
      </c>
      <c r="X111">
        <v>0</v>
      </c>
      <c r="Y111">
        <v>0</v>
      </c>
      <c r="Z111">
        <f ca="1">Stiffness!CV110-AL111*AM111</f>
        <v>0.14088376797889479</v>
      </c>
      <c r="AA111">
        <v>0</v>
      </c>
      <c r="AB111">
        <v>0</v>
      </c>
      <c r="AC111" s="207">
        <v>0</v>
      </c>
      <c r="AD111">
        <f t="shared" si="22"/>
        <v>2E-3</v>
      </c>
      <c r="AE111">
        <f t="shared" si="23"/>
        <v>2E-3</v>
      </c>
      <c r="AF111">
        <f t="shared" ca="1" si="24"/>
        <v>0</v>
      </c>
      <c r="AG111">
        <f t="shared" si="25"/>
        <v>0.13346457119999999</v>
      </c>
      <c r="AH111" s="565">
        <f>Sizing!AD126*(Sizing!CO126+Sizing!CP126) / (12^3)</f>
        <v>5.737423694916065E-4</v>
      </c>
      <c r="AI111">
        <f t="shared" si="28"/>
        <v>0</v>
      </c>
      <c r="AJ111">
        <f t="shared" si="26"/>
        <v>0</v>
      </c>
      <c r="AK111">
        <f t="shared" si="27"/>
        <v>0</v>
      </c>
      <c r="AL111" s="207">
        <f>Loads!C86</f>
        <v>1.4829396799999999</v>
      </c>
      <c r="AM111">
        <f ca="1">OFFSET('CANARD AERO'!$F$24,((ROW('CANARD AERO'!$A90)-ROW('CANARD AERO'!$A$24))*$B$39/100),0)</f>
        <v>0.25</v>
      </c>
      <c r="AN111" s="207">
        <f ca="1">OFFSET('CANARD AERO'!$J$24,((ROW('CANARD AERO'!$A90)-ROW('CANARD AERO'!$A$24))*$B$39/100),0)</f>
        <v>5.9</v>
      </c>
      <c r="AO111" s="207">
        <f ca="1">OFFSET('CANARD AERO'!$N$24,((ROW('CANARD AERO'!$A90)-ROW('CANARD AERO'!$A$24))*$B$39/100),0)</f>
        <v>-0.15</v>
      </c>
      <c r="AP111" s="207">
        <f ca="1">OFFSET('CANARD AERO'!$O$24,((ROW('CANARD AERO'!$A90)-ROW('CANARD AERO'!$A$24))*$B$39/100),0)</f>
        <v>2.25</v>
      </c>
      <c r="AQ111" s="207">
        <f ca="1">OFFSET('CANARD AERO'!$P$24,((ROW('CANARD AERO'!$A90)-ROW('CANARD AERO'!$A$24))*$B$39/100),0)</f>
        <v>-1.65</v>
      </c>
      <c r="AR111" s="8">
        <f ca="1">OFFSET('CANARD AERO'!$M$24,((ROW('CANARD AERO'!$A90)-ROW('CANARD AERO'!$A$24))*$B$39/100),0)</f>
        <v>5.9690260418206069</v>
      </c>
    </row>
    <row r="112" spans="1:44" x14ac:dyDescent="0.25">
      <c r="A112">
        <f>Loads!A87</f>
        <v>67</v>
      </c>
      <c r="B112">
        <v>67</v>
      </c>
      <c r="C112">
        <f t="shared" si="19"/>
        <v>0.16486221000000004</v>
      </c>
      <c r="D112">
        <f>Loads!B87</f>
        <v>6.5944884000000004</v>
      </c>
      <c r="E112">
        <f t="shared" si="20"/>
        <v>0</v>
      </c>
      <c r="F112">
        <f t="shared" si="21"/>
        <v>0</v>
      </c>
      <c r="G112" s="560">
        <f>Stiffness!AQ111/144</f>
        <v>20497.715541021589</v>
      </c>
      <c r="H112" s="560">
        <f>Stiffness!AV111/144</f>
        <v>19039.44356835365</v>
      </c>
      <c r="I112">
        <v>0</v>
      </c>
      <c r="J112">
        <v>0</v>
      </c>
      <c r="K112">
        <v>0</v>
      </c>
      <c r="L112" s="560">
        <f>Stiffness!BC111/144</f>
        <v>1279353.6320045898</v>
      </c>
      <c r="M112">
        <v>0</v>
      </c>
      <c r="N112">
        <v>0</v>
      </c>
      <c r="O112">
        <v>0</v>
      </c>
      <c r="P112">
        <v>0</v>
      </c>
      <c r="Q112">
        <v>0</v>
      </c>
      <c r="R112">
        <f>'Weight '!BT113*'Weight '!$E$36/Stiffness!D111</f>
        <v>2.008879046647142</v>
      </c>
      <c r="S112">
        <f ca="1">'Weight '!BU113-$AL111*$AM111</f>
        <v>0.32354009867787414</v>
      </c>
      <c r="T112" s="2">
        <v>0</v>
      </c>
      <c r="U112">
        <v>0</v>
      </c>
      <c r="V112">
        <v>0</v>
      </c>
      <c r="W112">
        <v>0</v>
      </c>
      <c r="X112">
        <v>0</v>
      </c>
      <c r="Y112">
        <v>0</v>
      </c>
      <c r="Z112">
        <f ca="1">Stiffness!CV111-AL112*AM112</f>
        <v>0.14016273799954526</v>
      </c>
      <c r="AA112">
        <v>0</v>
      </c>
      <c r="AB112">
        <v>0</v>
      </c>
      <c r="AC112" s="207">
        <v>0</v>
      </c>
      <c r="AD112">
        <f t="shared" si="22"/>
        <v>2E-3</v>
      </c>
      <c r="AE112">
        <f t="shared" si="23"/>
        <v>2E-3</v>
      </c>
      <c r="AF112">
        <f t="shared" ca="1" si="24"/>
        <v>0</v>
      </c>
      <c r="AG112">
        <f t="shared" si="25"/>
        <v>0.1325787444</v>
      </c>
      <c r="AH112" s="565">
        <f>Sizing!AD127*(Sizing!CO127+Sizing!CP127) / (12^3)</f>
        <v>5.6615159483846308E-4</v>
      </c>
      <c r="AI112">
        <f t="shared" si="28"/>
        <v>0</v>
      </c>
      <c r="AJ112">
        <f t="shared" si="26"/>
        <v>0</v>
      </c>
      <c r="AK112">
        <f t="shared" si="27"/>
        <v>0</v>
      </c>
      <c r="AL112" s="207">
        <f>Loads!C87</f>
        <v>1.47309716</v>
      </c>
      <c r="AM112">
        <f ca="1">OFFSET('CANARD AERO'!$F$24,((ROW('CANARD AERO'!$A91)-ROW('CANARD AERO'!$A$24))*$B$39/100),0)</f>
        <v>0.25</v>
      </c>
      <c r="AN112" s="207">
        <f ca="1">OFFSET('CANARD AERO'!$J$24,((ROW('CANARD AERO'!$A91)-ROW('CANARD AERO'!$A$24))*$B$39/100),0)</f>
        <v>5.9</v>
      </c>
      <c r="AO112" s="207">
        <f ca="1">OFFSET('CANARD AERO'!$N$24,((ROW('CANARD AERO'!$A91)-ROW('CANARD AERO'!$A$24))*$B$39/100),0)</f>
        <v>-0.15</v>
      </c>
      <c r="AP112" s="207">
        <f ca="1">OFFSET('CANARD AERO'!$O$24,((ROW('CANARD AERO'!$A91)-ROW('CANARD AERO'!$A$24))*$B$39/100),0)</f>
        <v>2.25</v>
      </c>
      <c r="AQ112" s="207">
        <f ca="1">OFFSET('CANARD AERO'!$P$24,((ROW('CANARD AERO'!$A91)-ROW('CANARD AERO'!$A$24))*$B$39/100),0)</f>
        <v>-1.65</v>
      </c>
      <c r="AR112" s="8">
        <f ca="1">OFFSET('CANARD AERO'!$M$24,((ROW('CANARD AERO'!$A91)-ROW('CANARD AERO'!$A$24))*$B$39/100),0)</f>
        <v>5.9690260418206069</v>
      </c>
    </row>
    <row r="113" spans="1:44" x14ac:dyDescent="0.25">
      <c r="A113">
        <f>Loads!A88</f>
        <v>68</v>
      </c>
      <c r="B113">
        <v>68</v>
      </c>
      <c r="C113">
        <f t="shared" si="19"/>
        <v>0.16732284000000003</v>
      </c>
      <c r="D113">
        <f>Loads!B88</f>
        <v>6.6929136000000007</v>
      </c>
      <c r="E113">
        <f t="shared" si="20"/>
        <v>0</v>
      </c>
      <c r="F113">
        <f t="shared" si="21"/>
        <v>0</v>
      </c>
      <c r="G113" s="560">
        <f>Stiffness!AQ112/144</f>
        <v>20127.513627733348</v>
      </c>
      <c r="H113" s="560">
        <f>Stiffness!AV112/144</f>
        <v>18785.868903639537</v>
      </c>
      <c r="I113">
        <v>0</v>
      </c>
      <c r="J113">
        <v>0</v>
      </c>
      <c r="K113">
        <v>0</v>
      </c>
      <c r="L113" s="560">
        <f>Stiffness!BC112/144</f>
        <v>1253880.5321139905</v>
      </c>
      <c r="M113">
        <v>0</v>
      </c>
      <c r="N113">
        <v>0</v>
      </c>
      <c r="O113">
        <v>0</v>
      </c>
      <c r="P113">
        <v>0</v>
      </c>
      <c r="Q113">
        <v>0</v>
      </c>
      <c r="R113">
        <f>'Weight '!BT114*'Weight '!$E$36/Stiffness!D112</f>
        <v>1.9962072440430219</v>
      </c>
      <c r="S113">
        <f ca="1">'Weight '!BU114-$AL112*$AM112</f>
        <v>0.32124952804839946</v>
      </c>
      <c r="T113" s="2">
        <v>0</v>
      </c>
      <c r="U113">
        <v>0</v>
      </c>
      <c r="V113">
        <v>0</v>
      </c>
      <c r="W113">
        <v>0</v>
      </c>
      <c r="X113">
        <v>0</v>
      </c>
      <c r="Y113">
        <v>0</v>
      </c>
      <c r="Z113">
        <f ca="1">Stiffness!CV112-AL113*AM113</f>
        <v>0.13944331682587813</v>
      </c>
      <c r="AA113">
        <v>0</v>
      </c>
      <c r="AB113">
        <v>0</v>
      </c>
      <c r="AC113" s="207">
        <v>0</v>
      </c>
      <c r="AD113">
        <f t="shared" si="22"/>
        <v>2E-3</v>
      </c>
      <c r="AE113">
        <f t="shared" si="23"/>
        <v>2E-3</v>
      </c>
      <c r="AF113">
        <f t="shared" ca="1" si="24"/>
        <v>0</v>
      </c>
      <c r="AG113">
        <f t="shared" si="25"/>
        <v>0.13169291759999999</v>
      </c>
      <c r="AH113" s="565">
        <f>Sizing!AD128*(Sizing!CO128+Sizing!CP128) / (12^3)</f>
        <v>5.5861136918411978E-4</v>
      </c>
      <c r="AI113">
        <f t="shared" si="28"/>
        <v>0</v>
      </c>
      <c r="AJ113">
        <f t="shared" si="26"/>
        <v>0</v>
      </c>
      <c r="AK113">
        <f t="shared" si="27"/>
        <v>0</v>
      </c>
      <c r="AL113" s="207">
        <f>Loads!C88</f>
        <v>1.4632546399999999</v>
      </c>
      <c r="AM113">
        <f ca="1">OFFSET('CANARD AERO'!$F$24,((ROW('CANARD AERO'!$A92)-ROW('CANARD AERO'!$A$24))*$B$39/100),0)</f>
        <v>0.25</v>
      </c>
      <c r="AN113" s="207">
        <f ca="1">OFFSET('CANARD AERO'!$J$24,((ROW('CANARD AERO'!$A92)-ROW('CANARD AERO'!$A$24))*$B$39/100),0)</f>
        <v>5.9</v>
      </c>
      <c r="AO113" s="207">
        <f ca="1">OFFSET('CANARD AERO'!$N$24,((ROW('CANARD AERO'!$A92)-ROW('CANARD AERO'!$A$24))*$B$39/100),0)</f>
        <v>-0.15</v>
      </c>
      <c r="AP113" s="207">
        <f ca="1">OFFSET('CANARD AERO'!$O$24,((ROW('CANARD AERO'!$A92)-ROW('CANARD AERO'!$A$24))*$B$39/100),0)</f>
        <v>2.25</v>
      </c>
      <c r="AQ113" s="207">
        <f ca="1">OFFSET('CANARD AERO'!$P$24,((ROW('CANARD AERO'!$A92)-ROW('CANARD AERO'!$A$24))*$B$39/100),0)</f>
        <v>-1.65</v>
      </c>
      <c r="AR113" s="8">
        <f ca="1">OFFSET('CANARD AERO'!$M$24,((ROW('CANARD AERO'!$A92)-ROW('CANARD AERO'!$A$24))*$B$39/100),0)</f>
        <v>5.9690260418206069</v>
      </c>
    </row>
    <row r="114" spans="1:44" x14ac:dyDescent="0.25">
      <c r="A114">
        <f>Loads!A89</f>
        <v>69</v>
      </c>
      <c r="B114">
        <v>69</v>
      </c>
      <c r="C114">
        <f t="shared" si="19"/>
        <v>0.16978347000000002</v>
      </c>
      <c r="D114">
        <f>Loads!B89</f>
        <v>6.7913388000000001</v>
      </c>
      <c r="E114">
        <f t="shared" si="20"/>
        <v>0</v>
      </c>
      <c r="F114">
        <f t="shared" si="21"/>
        <v>0</v>
      </c>
      <c r="G114" s="560">
        <f>Stiffness!AQ113/144</f>
        <v>19760.68529053712</v>
      </c>
      <c r="H114" s="560">
        <f>Stiffness!AV113/144</f>
        <v>18533.99418081178</v>
      </c>
      <c r="I114">
        <v>0</v>
      </c>
      <c r="J114">
        <v>0</v>
      </c>
      <c r="K114">
        <v>0</v>
      </c>
      <c r="L114" s="560">
        <f>Stiffness!BC113/144</f>
        <v>1228747.8248953442</v>
      </c>
      <c r="M114">
        <v>0</v>
      </c>
      <c r="N114">
        <v>0</v>
      </c>
      <c r="O114">
        <v>0</v>
      </c>
      <c r="P114">
        <v>0</v>
      </c>
      <c r="Q114">
        <v>0</v>
      </c>
      <c r="R114">
        <f>'Weight '!BT115*'Weight '!$E$36/Stiffness!D113</f>
        <v>1.983535441438901</v>
      </c>
      <c r="S114">
        <f ca="1">'Weight '!BU115-$AL113*$AM113</f>
        <v>0.31895904304731121</v>
      </c>
      <c r="T114" s="2">
        <v>0</v>
      </c>
      <c r="U114">
        <v>0</v>
      </c>
      <c r="V114">
        <v>0</v>
      </c>
      <c r="W114">
        <v>0</v>
      </c>
      <c r="X114">
        <v>0</v>
      </c>
      <c r="Y114">
        <v>0</v>
      </c>
      <c r="Z114">
        <f ca="1">Stiffness!CV113-AL114*AM114</f>
        <v>0.13872549807414736</v>
      </c>
      <c r="AA114">
        <v>0</v>
      </c>
      <c r="AB114">
        <v>0</v>
      </c>
      <c r="AC114" s="207">
        <v>0</v>
      </c>
      <c r="AD114">
        <f t="shared" si="22"/>
        <v>2E-3</v>
      </c>
      <c r="AE114">
        <f t="shared" si="23"/>
        <v>2E-3</v>
      </c>
      <c r="AF114">
        <f t="shared" ca="1" si="24"/>
        <v>0</v>
      </c>
      <c r="AG114">
        <f t="shared" si="25"/>
        <v>0.13080709079999997</v>
      </c>
      <c r="AH114" s="565">
        <f>Sizing!AD129*(Sizing!CO129+Sizing!CP129) / (12^3)</f>
        <v>5.5112169252857638E-4</v>
      </c>
      <c r="AI114">
        <f t="shared" si="28"/>
        <v>0</v>
      </c>
      <c r="AJ114">
        <f t="shared" si="26"/>
        <v>0</v>
      </c>
      <c r="AK114">
        <f t="shared" si="27"/>
        <v>0</v>
      </c>
      <c r="AL114" s="207">
        <f>Loads!C89</f>
        <v>1.4534121199999999</v>
      </c>
      <c r="AM114">
        <f ca="1">OFFSET('CANARD AERO'!$F$24,((ROW('CANARD AERO'!$A93)-ROW('CANARD AERO'!$A$24))*$B$39/100),0)</f>
        <v>0.25</v>
      </c>
      <c r="AN114" s="207">
        <f ca="1">OFFSET('CANARD AERO'!$J$24,((ROW('CANARD AERO'!$A93)-ROW('CANARD AERO'!$A$24))*$B$39/100),0)</f>
        <v>5.9</v>
      </c>
      <c r="AO114" s="207">
        <f ca="1">OFFSET('CANARD AERO'!$N$24,((ROW('CANARD AERO'!$A93)-ROW('CANARD AERO'!$A$24))*$B$39/100),0)</f>
        <v>-0.15</v>
      </c>
      <c r="AP114" s="207">
        <f ca="1">OFFSET('CANARD AERO'!$O$24,((ROW('CANARD AERO'!$A93)-ROW('CANARD AERO'!$A$24))*$B$39/100),0)</f>
        <v>2.25</v>
      </c>
      <c r="AQ114" s="207">
        <f ca="1">OFFSET('CANARD AERO'!$P$24,((ROW('CANARD AERO'!$A93)-ROW('CANARD AERO'!$A$24))*$B$39/100),0)</f>
        <v>-1.65</v>
      </c>
      <c r="AR114" s="8">
        <f ca="1">OFFSET('CANARD AERO'!$M$24,((ROW('CANARD AERO'!$A93)-ROW('CANARD AERO'!$A$24))*$B$39/100),0)</f>
        <v>5.9690260418206069</v>
      </c>
    </row>
    <row r="115" spans="1:44" x14ac:dyDescent="0.25">
      <c r="A115">
        <f>Loads!A90</f>
        <v>70</v>
      </c>
      <c r="B115">
        <v>70</v>
      </c>
      <c r="C115">
        <f t="shared" si="19"/>
        <v>0.17224410000000001</v>
      </c>
      <c r="D115">
        <f>Loads!B90</f>
        <v>6.8897639999999996</v>
      </c>
      <c r="E115">
        <f t="shared" si="20"/>
        <v>0</v>
      </c>
      <c r="F115">
        <f t="shared" si="21"/>
        <v>0</v>
      </c>
      <c r="G115" s="560">
        <f>Stiffness!AQ114/144</f>
        <v>11407.382182999339</v>
      </c>
      <c r="H115" s="560">
        <f>Stiffness!AV114/144</f>
        <v>10327.12913673933</v>
      </c>
      <c r="I115">
        <v>0</v>
      </c>
      <c r="J115">
        <v>0</v>
      </c>
      <c r="K115">
        <v>0</v>
      </c>
      <c r="L115" s="560">
        <f>Stiffness!BC114/144</f>
        <v>1203953.2207118431</v>
      </c>
      <c r="M115">
        <v>0</v>
      </c>
      <c r="N115">
        <v>0</v>
      </c>
      <c r="O115">
        <v>0</v>
      </c>
      <c r="P115">
        <v>0</v>
      </c>
      <c r="Q115">
        <v>0</v>
      </c>
      <c r="R115">
        <f>'Weight '!BT116*'Weight '!$E$36/Stiffness!D114</f>
        <v>1.9237551426470667</v>
      </c>
      <c r="S115">
        <f ca="1">'Weight '!BU116-$AL114*$AM114</f>
        <v>0.32434218704735962</v>
      </c>
      <c r="T115" s="2">
        <v>0</v>
      </c>
      <c r="U115">
        <v>0</v>
      </c>
      <c r="V115">
        <v>0</v>
      </c>
      <c r="W115">
        <v>0</v>
      </c>
      <c r="X115">
        <v>0</v>
      </c>
      <c r="Y115">
        <v>0</v>
      </c>
      <c r="Z115">
        <f ca="1">Stiffness!CV114-AL115*AM115</f>
        <v>0.13800927467774454</v>
      </c>
      <c r="AA115">
        <v>0</v>
      </c>
      <c r="AB115">
        <v>0</v>
      </c>
      <c r="AC115" s="207">
        <v>0</v>
      </c>
      <c r="AD115">
        <f t="shared" si="22"/>
        <v>2E-3</v>
      </c>
      <c r="AE115">
        <f t="shared" si="23"/>
        <v>2E-3</v>
      </c>
      <c r="AF115">
        <f t="shared" ca="1" si="24"/>
        <v>0</v>
      </c>
      <c r="AG115">
        <f t="shared" si="25"/>
        <v>0.12992126400000001</v>
      </c>
      <c r="AH115" s="565">
        <f>Sizing!AD130*(Sizing!CO130+Sizing!CP130) / (12^3)</f>
        <v>5.436825648718332E-4</v>
      </c>
      <c r="AI115">
        <f t="shared" si="28"/>
        <v>0</v>
      </c>
      <c r="AJ115">
        <f t="shared" si="26"/>
        <v>0</v>
      </c>
      <c r="AK115">
        <f t="shared" si="27"/>
        <v>0</v>
      </c>
      <c r="AL115" s="207">
        <f>Loads!C90</f>
        <v>1.4435696</v>
      </c>
      <c r="AM115">
        <f ca="1">OFFSET('CANARD AERO'!$F$24,((ROW('CANARD AERO'!$A94)-ROW('CANARD AERO'!$A$24))*$B$39/100),0)</f>
        <v>0.25</v>
      </c>
      <c r="AN115" s="207">
        <f ca="1">OFFSET('CANARD AERO'!$J$24,((ROW('CANARD AERO'!$A94)-ROW('CANARD AERO'!$A$24))*$B$39/100),0)</f>
        <v>5.9</v>
      </c>
      <c r="AO115" s="207">
        <f ca="1">OFFSET('CANARD AERO'!$N$24,((ROW('CANARD AERO'!$A94)-ROW('CANARD AERO'!$A$24))*$B$39/100),0)</f>
        <v>-0.15</v>
      </c>
      <c r="AP115" s="207">
        <f ca="1">OFFSET('CANARD AERO'!$O$24,((ROW('CANARD AERO'!$A94)-ROW('CANARD AERO'!$A$24))*$B$39/100),0)</f>
        <v>2.25</v>
      </c>
      <c r="AQ115" s="207">
        <f ca="1">OFFSET('CANARD AERO'!$P$24,((ROW('CANARD AERO'!$A94)-ROW('CANARD AERO'!$A$24))*$B$39/100),0)</f>
        <v>-1.65</v>
      </c>
      <c r="AR115" s="8">
        <f ca="1">OFFSET('CANARD AERO'!$M$24,((ROW('CANARD AERO'!$A94)-ROW('CANARD AERO'!$A$24))*$B$39/100),0)</f>
        <v>5.9690260418206069</v>
      </c>
    </row>
    <row r="116" spans="1:44" x14ac:dyDescent="0.25">
      <c r="A116">
        <f>Loads!A91</f>
        <v>71</v>
      </c>
      <c r="B116">
        <v>71</v>
      </c>
      <c r="C116">
        <f t="shared" si="19"/>
        <v>0.17470473</v>
      </c>
      <c r="D116">
        <f>Loads!B91</f>
        <v>6.9881891999999999</v>
      </c>
      <c r="E116">
        <f t="shared" si="20"/>
        <v>0</v>
      </c>
      <c r="F116">
        <f t="shared" si="21"/>
        <v>0</v>
      </c>
      <c r="G116" s="560">
        <f>Stiffness!AQ115/144</f>
        <v>11201.562090327037</v>
      </c>
      <c r="H116" s="560">
        <f>Stiffness!AV115/144</f>
        <v>10186.784731993661</v>
      </c>
      <c r="I116">
        <v>0</v>
      </c>
      <c r="J116">
        <v>0</v>
      </c>
      <c r="K116">
        <v>0</v>
      </c>
      <c r="L116" s="560">
        <f>Stiffness!BC115/144</f>
        <v>1179494.4299266811</v>
      </c>
      <c r="M116">
        <v>0</v>
      </c>
      <c r="N116">
        <v>0</v>
      </c>
      <c r="O116">
        <v>0</v>
      </c>
      <c r="P116">
        <v>0</v>
      </c>
      <c r="Q116">
        <v>0</v>
      </c>
      <c r="R116">
        <f>'Weight '!BT117*'Weight '!$E$36/Stiffness!D115</f>
        <v>1.9110833400429461</v>
      </c>
      <c r="S116">
        <f ca="1">'Weight '!BU117-$AL115*$AM115</f>
        <v>0.32204727201404582</v>
      </c>
      <c r="T116" s="2">
        <v>0</v>
      </c>
      <c r="U116">
        <v>0</v>
      </c>
      <c r="V116">
        <v>0</v>
      </c>
      <c r="W116">
        <v>0</v>
      </c>
      <c r="X116">
        <v>0</v>
      </c>
      <c r="Y116">
        <v>0</v>
      </c>
      <c r="Z116">
        <f ca="1">Stiffness!CV115-AL116*AM116</f>
        <v>0.13729463886943288</v>
      </c>
      <c r="AA116">
        <v>0</v>
      </c>
      <c r="AB116">
        <v>0</v>
      </c>
      <c r="AC116" s="207">
        <v>0</v>
      </c>
      <c r="AD116">
        <f t="shared" si="22"/>
        <v>2E-3</v>
      </c>
      <c r="AE116">
        <f t="shared" si="23"/>
        <v>2E-3</v>
      </c>
      <c r="AF116">
        <f t="shared" ca="1" si="24"/>
        <v>0</v>
      </c>
      <c r="AG116">
        <f t="shared" si="25"/>
        <v>0.12903543719999999</v>
      </c>
      <c r="AH116" s="565">
        <f>Sizing!AD131*(Sizing!CO131+Sizing!CP131) / (12^3)</f>
        <v>5.3629398621389004E-4</v>
      </c>
      <c r="AI116">
        <f t="shared" si="28"/>
        <v>0</v>
      </c>
      <c r="AJ116">
        <f t="shared" si="26"/>
        <v>0</v>
      </c>
      <c r="AK116">
        <f t="shared" si="27"/>
        <v>0</v>
      </c>
      <c r="AL116" s="207">
        <f>Loads!C91</f>
        <v>1.4337270799999999</v>
      </c>
      <c r="AM116">
        <f ca="1">OFFSET('CANARD AERO'!$F$24,((ROW('CANARD AERO'!$A95)-ROW('CANARD AERO'!$A$24))*$B$39/100),0)</f>
        <v>0.25</v>
      </c>
      <c r="AN116" s="207">
        <f ca="1">OFFSET('CANARD AERO'!$J$24,((ROW('CANARD AERO'!$A95)-ROW('CANARD AERO'!$A$24))*$B$39/100),0)</f>
        <v>5.9</v>
      </c>
      <c r="AO116" s="207">
        <f ca="1">OFFSET('CANARD AERO'!$N$24,((ROW('CANARD AERO'!$A95)-ROW('CANARD AERO'!$A$24))*$B$39/100),0)</f>
        <v>-0.15</v>
      </c>
      <c r="AP116" s="207">
        <f ca="1">OFFSET('CANARD AERO'!$O$24,((ROW('CANARD AERO'!$A95)-ROW('CANARD AERO'!$A$24))*$B$39/100),0)</f>
        <v>2.25</v>
      </c>
      <c r="AQ116" s="207">
        <f ca="1">OFFSET('CANARD AERO'!$P$24,((ROW('CANARD AERO'!$A95)-ROW('CANARD AERO'!$A$24))*$B$39/100),0)</f>
        <v>-1.65</v>
      </c>
      <c r="AR116" s="8">
        <f ca="1">OFFSET('CANARD AERO'!$M$24,((ROW('CANARD AERO'!$A95)-ROW('CANARD AERO'!$A$24))*$B$39/100),0)</f>
        <v>5.9690260418206069</v>
      </c>
    </row>
    <row r="117" spans="1:44" x14ac:dyDescent="0.25">
      <c r="A117">
        <f>Loads!A92</f>
        <v>72</v>
      </c>
      <c r="B117">
        <v>72</v>
      </c>
      <c r="C117">
        <f t="shared" si="19"/>
        <v>0.17716536000000002</v>
      </c>
      <c r="D117">
        <f>Loads!B92</f>
        <v>7.0866144000000002</v>
      </c>
      <c r="E117">
        <f t="shared" si="20"/>
        <v>0</v>
      </c>
      <c r="F117">
        <f t="shared" si="21"/>
        <v>0</v>
      </c>
      <c r="G117" s="560">
        <f>Stiffness!AQ116/144</f>
        <v>10997.615715761178</v>
      </c>
      <c r="H117" s="560">
        <f>Stiffness!AV116/144</f>
        <v>10047.40049421318</v>
      </c>
      <c r="I117">
        <v>0</v>
      </c>
      <c r="J117">
        <v>0</v>
      </c>
      <c r="K117">
        <v>0</v>
      </c>
      <c r="L117" s="560">
        <f>Stiffness!BC116/144</f>
        <v>1155369.1629030516</v>
      </c>
      <c r="M117">
        <v>0</v>
      </c>
      <c r="N117">
        <v>0</v>
      </c>
      <c r="O117">
        <v>0</v>
      </c>
      <c r="P117">
        <v>0</v>
      </c>
      <c r="Q117">
        <v>0</v>
      </c>
      <c r="R117">
        <f>'Weight '!BT118*'Weight '!$E$36/Stiffness!D116</f>
        <v>1.8984115374388255</v>
      </c>
      <c r="S117">
        <f ca="1">'Weight '!BU118-$AL116*$AM116</f>
        <v>0.31975238845129678</v>
      </c>
      <c r="T117" s="2">
        <v>0</v>
      </c>
      <c r="U117">
        <v>0</v>
      </c>
      <c r="V117">
        <v>0</v>
      </c>
      <c r="W117">
        <v>0</v>
      </c>
      <c r="X117">
        <v>0</v>
      </c>
      <c r="Y117">
        <v>0</v>
      </c>
      <c r="Z117">
        <f ca="1">Stiffness!CV116-AL117*AM117</f>
        <v>0.1365815821632016</v>
      </c>
      <c r="AA117">
        <v>0</v>
      </c>
      <c r="AB117">
        <v>0</v>
      </c>
      <c r="AC117" s="207">
        <v>0</v>
      </c>
      <c r="AD117">
        <f t="shared" si="22"/>
        <v>2E-3</v>
      </c>
      <c r="AE117">
        <f t="shared" si="23"/>
        <v>2E-3</v>
      </c>
      <c r="AF117">
        <f t="shared" ca="1" si="24"/>
        <v>0</v>
      </c>
      <c r="AG117">
        <f t="shared" si="25"/>
        <v>0.12814961039999997</v>
      </c>
      <c r="AH117" s="565">
        <f>Sizing!AD132*(Sizing!CO132+Sizing!CP132) / (12^3)</f>
        <v>5.2895595655474699E-4</v>
      </c>
      <c r="AI117">
        <f t="shared" si="28"/>
        <v>0</v>
      </c>
      <c r="AJ117">
        <f t="shared" si="26"/>
        <v>0</v>
      </c>
      <c r="AK117">
        <f t="shared" si="27"/>
        <v>0</v>
      </c>
      <c r="AL117" s="207">
        <f>Loads!C92</f>
        <v>1.4238845599999999</v>
      </c>
      <c r="AM117">
        <f ca="1">OFFSET('CANARD AERO'!$F$24,((ROW('CANARD AERO'!$A96)-ROW('CANARD AERO'!$A$24))*$B$39/100),0)</f>
        <v>0.25</v>
      </c>
      <c r="AN117" s="207">
        <f ca="1">OFFSET('CANARD AERO'!$J$24,((ROW('CANARD AERO'!$A96)-ROW('CANARD AERO'!$A$24))*$B$39/100),0)</f>
        <v>5.9</v>
      </c>
      <c r="AO117" s="207">
        <f ca="1">OFFSET('CANARD AERO'!$N$24,((ROW('CANARD AERO'!$A96)-ROW('CANARD AERO'!$A$24))*$B$39/100),0)</f>
        <v>-0.15</v>
      </c>
      <c r="AP117" s="207">
        <f ca="1">OFFSET('CANARD AERO'!$O$24,((ROW('CANARD AERO'!$A96)-ROW('CANARD AERO'!$A$24))*$B$39/100),0)</f>
        <v>2.25</v>
      </c>
      <c r="AQ117" s="207">
        <f ca="1">OFFSET('CANARD AERO'!$P$24,((ROW('CANARD AERO'!$A96)-ROW('CANARD AERO'!$A$24))*$B$39/100),0)</f>
        <v>-1.65</v>
      </c>
      <c r="AR117" s="8">
        <f ca="1">OFFSET('CANARD AERO'!$M$24,((ROW('CANARD AERO'!$A96)-ROW('CANARD AERO'!$A$24))*$B$39/100),0)</f>
        <v>5.9690260418206069</v>
      </c>
    </row>
    <row r="118" spans="1:44" x14ac:dyDescent="0.25">
      <c r="A118">
        <f>Loads!A93</f>
        <v>73</v>
      </c>
      <c r="B118">
        <v>73</v>
      </c>
      <c r="C118">
        <f t="shared" si="19"/>
        <v>0.17962599000000001</v>
      </c>
      <c r="D118">
        <f>Loads!B93</f>
        <v>7.1850396000000005</v>
      </c>
      <c r="E118">
        <f t="shared" si="20"/>
        <v>0</v>
      </c>
      <c r="F118">
        <f t="shared" si="21"/>
        <v>0</v>
      </c>
      <c r="G118" s="560">
        <f>Stiffness!AQ117/144</f>
        <v>10795.543059301761</v>
      </c>
      <c r="H118" s="560">
        <f>Stiffness!AV117/144</f>
        <v>9908.9764233979004</v>
      </c>
      <c r="I118">
        <v>0</v>
      </c>
      <c r="J118">
        <v>0</v>
      </c>
      <c r="K118">
        <v>0</v>
      </c>
      <c r="L118" s="560">
        <f>Stiffness!BC117/144</f>
        <v>1131575.130004148</v>
      </c>
      <c r="M118">
        <v>0</v>
      </c>
      <c r="N118">
        <v>0</v>
      </c>
      <c r="O118">
        <v>0</v>
      </c>
      <c r="P118">
        <v>0</v>
      </c>
      <c r="Q118">
        <v>0</v>
      </c>
      <c r="R118">
        <f>'Weight '!BT119*'Weight '!$E$36/Stiffness!D117</f>
        <v>1.8857397348347049</v>
      </c>
      <c r="S118">
        <f ca="1">'Weight '!BU119-$AL117*$AM117</f>
        <v>0.31745753699354073</v>
      </c>
      <c r="T118" s="2">
        <v>0</v>
      </c>
      <c r="U118">
        <v>0</v>
      </c>
      <c r="V118">
        <v>0</v>
      </c>
      <c r="W118">
        <v>0</v>
      </c>
      <c r="X118">
        <v>0</v>
      </c>
      <c r="Y118">
        <v>0</v>
      </c>
      <c r="Z118">
        <f ca="1">Stiffness!CV117-AL118*AM118</f>
        <v>0.13587009533573202</v>
      </c>
      <c r="AA118">
        <v>0</v>
      </c>
      <c r="AB118">
        <v>0</v>
      </c>
      <c r="AC118" s="207">
        <v>0</v>
      </c>
      <c r="AD118">
        <f t="shared" si="22"/>
        <v>2E-3</v>
      </c>
      <c r="AE118">
        <f t="shared" si="23"/>
        <v>2E-3</v>
      </c>
      <c r="AF118">
        <f t="shared" ca="1" si="24"/>
        <v>0</v>
      </c>
      <c r="AG118">
        <f t="shared" si="25"/>
        <v>0.12726378359999999</v>
      </c>
      <c r="AH118" s="565">
        <f>Sizing!AD133*(Sizing!CO133+Sizing!CP133) / (12^3)</f>
        <v>5.2166847589440405E-4</v>
      </c>
      <c r="AI118">
        <f t="shared" si="28"/>
        <v>0</v>
      </c>
      <c r="AJ118">
        <f t="shared" si="26"/>
        <v>0</v>
      </c>
      <c r="AK118">
        <f t="shared" si="27"/>
        <v>0</v>
      </c>
      <c r="AL118" s="207">
        <f>Loads!C93</f>
        <v>1.41404204</v>
      </c>
      <c r="AM118">
        <f ca="1">OFFSET('CANARD AERO'!$F$24,((ROW('CANARD AERO'!$A97)-ROW('CANARD AERO'!$A$24))*$B$39/100),0)</f>
        <v>0.25</v>
      </c>
      <c r="AN118" s="207">
        <f ca="1">OFFSET('CANARD AERO'!$J$24,((ROW('CANARD AERO'!$A97)-ROW('CANARD AERO'!$A$24))*$B$39/100),0)</f>
        <v>5.9</v>
      </c>
      <c r="AO118" s="207">
        <f ca="1">OFFSET('CANARD AERO'!$N$24,((ROW('CANARD AERO'!$A97)-ROW('CANARD AERO'!$A$24))*$B$39/100),0)</f>
        <v>-0.15</v>
      </c>
      <c r="AP118" s="207">
        <f ca="1">OFFSET('CANARD AERO'!$O$24,((ROW('CANARD AERO'!$A97)-ROW('CANARD AERO'!$A$24))*$B$39/100),0)</f>
        <v>2.25</v>
      </c>
      <c r="AQ118" s="207">
        <f ca="1">OFFSET('CANARD AERO'!$P$24,((ROW('CANARD AERO'!$A97)-ROW('CANARD AERO'!$A$24))*$B$39/100),0)</f>
        <v>-1.65</v>
      </c>
      <c r="AR118" s="8">
        <f ca="1">OFFSET('CANARD AERO'!$M$24,((ROW('CANARD AERO'!$A97)-ROW('CANARD AERO'!$A$24))*$B$39/100),0)</f>
        <v>5.9690260418206069</v>
      </c>
    </row>
    <row r="119" spans="1:44" x14ac:dyDescent="0.25">
      <c r="A119">
        <f>Loads!A94</f>
        <v>74</v>
      </c>
      <c r="B119">
        <v>74</v>
      </c>
      <c r="C119">
        <f t="shared" si="19"/>
        <v>0.18208662000000003</v>
      </c>
      <c r="D119">
        <f>Loads!B94</f>
        <v>7.2834648</v>
      </c>
      <c r="E119">
        <f t="shared" si="20"/>
        <v>0</v>
      </c>
      <c r="F119">
        <f t="shared" si="21"/>
        <v>0</v>
      </c>
      <c r="G119" s="560">
        <f>Stiffness!AQ118/144</f>
        <v>10595.344120948792</v>
      </c>
      <c r="H119" s="560">
        <f>Stiffness!AV118/144</f>
        <v>9771.512519547814</v>
      </c>
      <c r="I119">
        <v>0</v>
      </c>
      <c r="J119">
        <v>0</v>
      </c>
      <c r="K119">
        <v>0</v>
      </c>
      <c r="L119" s="560">
        <f>Stiffness!BC118/144</f>
        <v>1108110.0415931614</v>
      </c>
      <c r="M119">
        <v>0</v>
      </c>
      <c r="N119">
        <v>0</v>
      </c>
      <c r="O119">
        <v>0</v>
      </c>
      <c r="P119">
        <v>0</v>
      </c>
      <c r="Q119">
        <v>0</v>
      </c>
      <c r="R119">
        <f>'Weight '!BT120*'Weight '!$E$36/Stiffness!D118</f>
        <v>1.8730679322305837</v>
      </c>
      <c r="S119">
        <f ca="1">'Weight '!BU120-$AL118*$AM118</f>
        <v>0.31516271829237419</v>
      </c>
      <c r="T119" s="2">
        <v>0</v>
      </c>
      <c r="U119">
        <v>0</v>
      </c>
      <c r="V119">
        <v>0</v>
      </c>
      <c r="W119">
        <v>0</v>
      </c>
      <c r="X119">
        <v>0</v>
      </c>
      <c r="Y119">
        <v>0</v>
      </c>
      <c r="Z119">
        <f ca="1">Stiffness!CV118-AL119*AM119</f>
        <v>0.13516016840746181</v>
      </c>
      <c r="AA119">
        <v>0</v>
      </c>
      <c r="AB119">
        <v>0</v>
      </c>
      <c r="AC119" s="207">
        <v>0</v>
      </c>
      <c r="AD119">
        <f t="shared" si="22"/>
        <v>2E-3</v>
      </c>
      <c r="AE119">
        <f t="shared" si="23"/>
        <v>2E-3</v>
      </c>
      <c r="AF119">
        <f t="shared" ca="1" si="24"/>
        <v>0</v>
      </c>
      <c r="AG119">
        <f t="shared" si="25"/>
        <v>0.1263779568</v>
      </c>
      <c r="AH119" s="565">
        <f>Sizing!AD134*(Sizing!CO134+Sizing!CP134) / (12^3)</f>
        <v>5.1443154423286102E-4</v>
      </c>
      <c r="AI119">
        <f t="shared" si="28"/>
        <v>0</v>
      </c>
      <c r="AJ119">
        <f t="shared" si="26"/>
        <v>0</v>
      </c>
      <c r="AK119">
        <f t="shared" si="27"/>
        <v>0</v>
      </c>
      <c r="AL119" s="207">
        <f>Loads!C94</f>
        <v>1.4041995199999999</v>
      </c>
      <c r="AM119">
        <f ca="1">OFFSET('CANARD AERO'!$F$24,((ROW('CANARD AERO'!$A98)-ROW('CANARD AERO'!$A$24))*$B$39/100),0)</f>
        <v>0.25</v>
      </c>
      <c r="AN119" s="207">
        <f ca="1">OFFSET('CANARD AERO'!$J$24,((ROW('CANARD AERO'!$A98)-ROW('CANARD AERO'!$A$24))*$B$39/100),0)</f>
        <v>5.9</v>
      </c>
      <c r="AO119" s="207">
        <f ca="1">OFFSET('CANARD AERO'!$N$24,((ROW('CANARD AERO'!$A98)-ROW('CANARD AERO'!$A$24))*$B$39/100),0)</f>
        <v>-0.15</v>
      </c>
      <c r="AP119" s="207">
        <f ca="1">OFFSET('CANARD AERO'!$O$24,((ROW('CANARD AERO'!$A98)-ROW('CANARD AERO'!$A$24))*$B$39/100),0)</f>
        <v>2.25</v>
      </c>
      <c r="AQ119" s="207">
        <f ca="1">OFFSET('CANARD AERO'!$P$24,((ROW('CANARD AERO'!$A98)-ROW('CANARD AERO'!$A$24))*$B$39/100),0)</f>
        <v>-1.65</v>
      </c>
      <c r="AR119" s="8">
        <f ca="1">OFFSET('CANARD AERO'!$M$24,((ROW('CANARD AERO'!$A98)-ROW('CANARD AERO'!$A$24))*$B$39/100),0)</f>
        <v>5.9690260418206069</v>
      </c>
    </row>
    <row r="120" spans="1:44" x14ac:dyDescent="0.25">
      <c r="A120">
        <f>Loads!A95</f>
        <v>75</v>
      </c>
      <c r="B120">
        <v>75</v>
      </c>
      <c r="C120">
        <f t="shared" si="19"/>
        <v>0.18454725000000002</v>
      </c>
      <c r="D120">
        <f>Loads!B95</f>
        <v>7.3818900000000003</v>
      </c>
      <c r="E120">
        <f t="shared" si="20"/>
        <v>0</v>
      </c>
      <c r="F120">
        <f t="shared" si="21"/>
        <v>0</v>
      </c>
      <c r="G120" s="560">
        <f>Stiffness!AQ119/144</f>
        <v>10397.018900702276</v>
      </c>
      <c r="H120" s="560">
        <f>Stiffness!AV119/144</f>
        <v>9635.0087826629187</v>
      </c>
      <c r="I120">
        <v>0</v>
      </c>
      <c r="J120">
        <v>0</v>
      </c>
      <c r="K120">
        <v>0</v>
      </c>
      <c r="L120" s="560">
        <f>Stiffness!BC119/144</f>
        <v>1084971.6080332876</v>
      </c>
      <c r="M120">
        <v>0</v>
      </c>
      <c r="N120">
        <v>0</v>
      </c>
      <c r="O120">
        <v>0</v>
      </c>
      <c r="P120">
        <v>0</v>
      </c>
      <c r="Q120">
        <v>0</v>
      </c>
      <c r="R120">
        <f>'Weight '!BT121*'Weight '!$E$36/Stiffness!D119</f>
        <v>1.8603961296264635</v>
      </c>
      <c r="S120">
        <f ca="1">'Weight '!BU121-$AL119*$AM119</f>
        <v>0.31286793301714616</v>
      </c>
      <c r="T120" s="2">
        <v>0</v>
      </c>
      <c r="U120">
        <v>0</v>
      </c>
      <c r="V120">
        <v>0</v>
      </c>
      <c r="W120">
        <v>0</v>
      </c>
      <c r="X120">
        <v>0</v>
      </c>
      <c r="Y120">
        <v>0</v>
      </c>
      <c r="Z120">
        <f ca="1">Stiffness!CV119-AL120*AM120</f>
        <v>0.1344517906232347</v>
      </c>
      <c r="AA120">
        <v>0</v>
      </c>
      <c r="AB120">
        <v>0</v>
      </c>
      <c r="AC120" s="207">
        <v>0</v>
      </c>
      <c r="AD120">
        <f t="shared" si="22"/>
        <v>2E-3</v>
      </c>
      <c r="AE120">
        <f t="shared" si="23"/>
        <v>2E-3</v>
      </c>
      <c r="AF120">
        <f t="shared" ca="1" si="24"/>
        <v>0</v>
      </c>
      <c r="AG120">
        <f t="shared" si="25"/>
        <v>0.12549212999999998</v>
      </c>
      <c r="AH120" s="565">
        <f>Sizing!AD135*(Sizing!CO135+Sizing!CP135) / (12^3)</f>
        <v>5.072451615701181E-4</v>
      </c>
      <c r="AI120">
        <f t="shared" si="28"/>
        <v>0</v>
      </c>
      <c r="AJ120">
        <f t="shared" si="26"/>
        <v>0</v>
      </c>
      <c r="AK120">
        <f t="shared" si="27"/>
        <v>0</v>
      </c>
      <c r="AL120" s="207">
        <f>Loads!C95</f>
        <v>1.3943569999999998</v>
      </c>
      <c r="AM120">
        <f ca="1">OFFSET('CANARD AERO'!$F$24,((ROW('CANARD AERO'!$A99)-ROW('CANARD AERO'!$A$24))*$B$39/100),0)</f>
        <v>0.25</v>
      </c>
      <c r="AN120" s="207">
        <f ca="1">OFFSET('CANARD AERO'!$J$24,((ROW('CANARD AERO'!$A99)-ROW('CANARD AERO'!$A$24))*$B$39/100),0)</f>
        <v>5.9</v>
      </c>
      <c r="AO120" s="207">
        <f ca="1">OFFSET('CANARD AERO'!$N$24,((ROW('CANARD AERO'!$A99)-ROW('CANARD AERO'!$A$24))*$B$39/100),0)</f>
        <v>-0.15</v>
      </c>
      <c r="AP120" s="207">
        <f ca="1">OFFSET('CANARD AERO'!$O$24,((ROW('CANARD AERO'!$A99)-ROW('CANARD AERO'!$A$24))*$B$39/100),0)</f>
        <v>2.25</v>
      </c>
      <c r="AQ120" s="207">
        <f ca="1">OFFSET('CANARD AERO'!$P$24,((ROW('CANARD AERO'!$A99)-ROW('CANARD AERO'!$A$24))*$B$39/100),0)</f>
        <v>-1.65</v>
      </c>
      <c r="AR120" s="8">
        <f ca="1">OFFSET('CANARD AERO'!$M$24,((ROW('CANARD AERO'!$A99)-ROW('CANARD AERO'!$A$24))*$B$39/100),0)</f>
        <v>5.9690260418206069</v>
      </c>
    </row>
    <row r="121" spans="1:44" x14ac:dyDescent="0.25">
      <c r="A121">
        <f>Loads!A96</f>
        <v>76</v>
      </c>
      <c r="B121">
        <v>76</v>
      </c>
      <c r="C121">
        <f t="shared" si="19"/>
        <v>0.18700788000000002</v>
      </c>
      <c r="D121">
        <f>Loads!B96</f>
        <v>7.4803152000000006</v>
      </c>
      <c r="E121">
        <f t="shared" si="20"/>
        <v>0</v>
      </c>
      <c r="F121">
        <f t="shared" si="21"/>
        <v>0</v>
      </c>
      <c r="G121" s="560">
        <f>Stiffness!AQ120/144</f>
        <v>10200.567398562191</v>
      </c>
      <c r="H121" s="560">
        <f>Stiffness!AV120/144</f>
        <v>9499.4652127432109</v>
      </c>
      <c r="I121">
        <v>0</v>
      </c>
      <c r="J121">
        <v>0</v>
      </c>
      <c r="K121">
        <v>0</v>
      </c>
      <c r="L121" s="560">
        <f>Stiffness!BC120/144</f>
        <v>1062157.5396877183</v>
      </c>
      <c r="M121">
        <v>0</v>
      </c>
      <c r="N121">
        <v>0</v>
      </c>
      <c r="O121">
        <v>0</v>
      </c>
      <c r="P121">
        <v>0</v>
      </c>
      <c r="Q121">
        <v>0</v>
      </c>
      <c r="R121">
        <f>'Weight '!BT122*'Weight '!$E$36/Stiffness!D120</f>
        <v>1.8477243270223422</v>
      </c>
      <c r="S121">
        <f ca="1">'Weight '!BU122-$AL120*$AM120</f>
        <v>0.31057318185556837</v>
      </c>
      <c r="T121" s="2">
        <v>0</v>
      </c>
      <c r="U121">
        <v>0</v>
      </c>
      <c r="V121">
        <v>0</v>
      </c>
      <c r="W121">
        <v>0</v>
      </c>
      <c r="X121">
        <v>0</v>
      </c>
      <c r="Y121">
        <v>0</v>
      </c>
      <c r="Z121">
        <f ca="1">Stiffness!CV120-AL121*AM121</f>
        <v>0.1337449504325236</v>
      </c>
      <c r="AA121">
        <v>0</v>
      </c>
      <c r="AB121">
        <v>0</v>
      </c>
      <c r="AC121" s="207">
        <v>0</v>
      </c>
      <c r="AD121">
        <f t="shared" si="22"/>
        <v>2E-3</v>
      </c>
      <c r="AE121">
        <f t="shared" si="23"/>
        <v>2E-3</v>
      </c>
      <c r="AF121">
        <f t="shared" ca="1" si="24"/>
        <v>0</v>
      </c>
      <c r="AG121">
        <f t="shared" si="25"/>
        <v>0.12460630319999999</v>
      </c>
      <c r="AH121" s="565">
        <f>Sizing!AD136*(Sizing!CO136+Sizing!CP136) / (12^3)</f>
        <v>5.0010932790617529E-4</v>
      </c>
      <c r="AI121">
        <f t="shared" si="28"/>
        <v>0</v>
      </c>
      <c r="AJ121">
        <f t="shared" si="26"/>
        <v>0</v>
      </c>
      <c r="AK121">
        <f t="shared" si="27"/>
        <v>0</v>
      </c>
      <c r="AL121" s="207">
        <f>Loads!C96</f>
        <v>1.38451448</v>
      </c>
      <c r="AM121">
        <f ca="1">OFFSET('CANARD AERO'!$F$24,((ROW('CANARD AERO'!$A100)-ROW('CANARD AERO'!$A$24))*$B$39/100),0)</f>
        <v>0.25</v>
      </c>
      <c r="AN121" s="207">
        <f ca="1">OFFSET('CANARD AERO'!$J$24,((ROW('CANARD AERO'!$A100)-ROW('CANARD AERO'!$A$24))*$B$39/100),0)</f>
        <v>5.9</v>
      </c>
      <c r="AO121" s="207">
        <f ca="1">OFFSET('CANARD AERO'!$N$24,((ROW('CANARD AERO'!$A100)-ROW('CANARD AERO'!$A$24))*$B$39/100),0)</f>
        <v>-0.15</v>
      </c>
      <c r="AP121" s="207">
        <f ca="1">OFFSET('CANARD AERO'!$O$24,((ROW('CANARD AERO'!$A100)-ROW('CANARD AERO'!$A$24))*$B$39/100),0)</f>
        <v>2.25</v>
      </c>
      <c r="AQ121" s="207">
        <f ca="1">OFFSET('CANARD AERO'!$P$24,((ROW('CANARD AERO'!$A100)-ROW('CANARD AERO'!$A$24))*$B$39/100),0)</f>
        <v>-1.65</v>
      </c>
      <c r="AR121" s="8">
        <f ca="1">OFFSET('CANARD AERO'!$M$24,((ROW('CANARD AERO'!$A100)-ROW('CANARD AERO'!$A$24))*$B$39/100),0)</f>
        <v>5.9690260418206069</v>
      </c>
    </row>
    <row r="122" spans="1:44" x14ac:dyDescent="0.25">
      <c r="A122">
        <f>Loads!A97</f>
        <v>77</v>
      </c>
      <c r="B122">
        <v>77</v>
      </c>
      <c r="C122">
        <f t="shared" si="19"/>
        <v>0.18946851000000003</v>
      </c>
      <c r="D122">
        <f>Loads!B97</f>
        <v>7.5787404</v>
      </c>
      <c r="E122">
        <f t="shared" si="20"/>
        <v>0</v>
      </c>
      <c r="F122">
        <f t="shared" si="21"/>
        <v>0</v>
      </c>
      <c r="G122" s="560">
        <f>Stiffness!AQ121/144</f>
        <v>10005.989614528555</v>
      </c>
      <c r="H122" s="560">
        <f>Stiffness!AV121/144</f>
        <v>9364.8818097887015</v>
      </c>
      <c r="I122">
        <v>0</v>
      </c>
      <c r="J122">
        <v>0</v>
      </c>
      <c r="K122">
        <v>0</v>
      </c>
      <c r="L122" s="560">
        <f>Stiffness!BC121/144</f>
        <v>1039665.5469196468</v>
      </c>
      <c r="M122">
        <v>0</v>
      </c>
      <c r="N122">
        <v>0</v>
      </c>
      <c r="O122">
        <v>0</v>
      </c>
      <c r="P122">
        <v>0</v>
      </c>
      <c r="Q122">
        <v>0</v>
      </c>
      <c r="R122">
        <f>'Weight '!BT123*'Weight '!$E$36/Stiffness!D121</f>
        <v>1.8350525244182216</v>
      </c>
      <c r="S122">
        <f ca="1">'Weight '!BU123-$AL121*$AM121</f>
        <v>0.30827846551434734</v>
      </c>
      <c r="T122" s="2">
        <v>0</v>
      </c>
      <c r="U122">
        <v>0</v>
      </c>
      <c r="V122">
        <v>0</v>
      </c>
      <c r="W122">
        <v>0</v>
      </c>
      <c r="X122">
        <v>0</v>
      </c>
      <c r="Y122">
        <v>0</v>
      </c>
      <c r="Z122">
        <f ca="1">Stiffness!CV121-AL122*AM122</f>
        <v>0.13303963546921233</v>
      </c>
      <c r="AA122">
        <v>0</v>
      </c>
      <c r="AB122">
        <v>0</v>
      </c>
      <c r="AC122" s="207">
        <v>0</v>
      </c>
      <c r="AD122">
        <f t="shared" si="22"/>
        <v>2E-3</v>
      </c>
      <c r="AE122">
        <f t="shared" si="23"/>
        <v>2E-3</v>
      </c>
      <c r="AF122">
        <f t="shared" ca="1" si="24"/>
        <v>0</v>
      </c>
      <c r="AG122">
        <f t="shared" si="25"/>
        <v>0.12372047639999999</v>
      </c>
      <c r="AH122" s="565">
        <f>Sizing!AD137*(Sizing!CO137+Sizing!CP137) / (12^3)</f>
        <v>4.9302404324103261E-4</v>
      </c>
      <c r="AI122">
        <f t="shared" si="28"/>
        <v>0</v>
      </c>
      <c r="AJ122">
        <f t="shared" si="26"/>
        <v>0</v>
      </c>
      <c r="AK122">
        <f t="shared" si="27"/>
        <v>0</v>
      </c>
      <c r="AL122" s="207">
        <f>Loads!C97</f>
        <v>1.3746719599999999</v>
      </c>
      <c r="AM122">
        <f ca="1">OFFSET('CANARD AERO'!$F$24,((ROW('CANARD AERO'!$A101)-ROW('CANARD AERO'!$A$24))*$B$39/100),0)</f>
        <v>0.25</v>
      </c>
      <c r="AN122" s="207">
        <f ca="1">OFFSET('CANARD AERO'!$J$24,((ROW('CANARD AERO'!$A101)-ROW('CANARD AERO'!$A$24))*$B$39/100),0)</f>
        <v>5.9</v>
      </c>
      <c r="AO122" s="207">
        <f ca="1">OFFSET('CANARD AERO'!$N$24,((ROW('CANARD AERO'!$A101)-ROW('CANARD AERO'!$A$24))*$B$39/100),0)</f>
        <v>-0.15</v>
      </c>
      <c r="AP122" s="207">
        <f ca="1">OFFSET('CANARD AERO'!$O$24,((ROW('CANARD AERO'!$A101)-ROW('CANARD AERO'!$A$24))*$B$39/100),0)</f>
        <v>2.25</v>
      </c>
      <c r="AQ122" s="207">
        <f ca="1">OFFSET('CANARD AERO'!$P$24,((ROW('CANARD AERO'!$A101)-ROW('CANARD AERO'!$A$24))*$B$39/100),0)</f>
        <v>-1.65</v>
      </c>
      <c r="AR122" s="8">
        <f ca="1">OFFSET('CANARD AERO'!$M$24,((ROW('CANARD AERO'!$A101)-ROW('CANARD AERO'!$A$24))*$B$39/100),0)</f>
        <v>5.9690260418206069</v>
      </c>
    </row>
    <row r="123" spans="1:44" x14ac:dyDescent="0.25">
      <c r="A123">
        <f>Loads!A98</f>
        <v>78</v>
      </c>
      <c r="B123">
        <v>78</v>
      </c>
      <c r="C123">
        <f t="shared" si="19"/>
        <v>0.19192914000000003</v>
      </c>
      <c r="D123">
        <f>Loads!B98</f>
        <v>7.6771656000000004</v>
      </c>
      <c r="E123">
        <f t="shared" si="20"/>
        <v>0</v>
      </c>
      <c r="F123">
        <f t="shared" si="21"/>
        <v>0</v>
      </c>
      <c r="G123" s="560">
        <f>Stiffness!AQ122/144</f>
        <v>9813.2855486013632</v>
      </c>
      <c r="H123" s="560">
        <f>Stiffness!AV122/144</f>
        <v>9231.258573799385</v>
      </c>
      <c r="I123">
        <v>0</v>
      </c>
      <c r="J123">
        <v>0</v>
      </c>
      <c r="K123">
        <v>0</v>
      </c>
      <c r="L123" s="560">
        <f>Stiffness!BC122/144</f>
        <v>1017493.3400922662</v>
      </c>
      <c r="M123">
        <v>0</v>
      </c>
      <c r="N123">
        <v>0</v>
      </c>
      <c r="O123">
        <v>0</v>
      </c>
      <c r="P123">
        <v>0</v>
      </c>
      <c r="Q123">
        <v>0</v>
      </c>
      <c r="R123">
        <f>'Weight '!BT124*'Weight '!$E$36/Stiffness!D122</f>
        <v>1.8223807218141013</v>
      </c>
      <c r="S123">
        <f ca="1">'Weight '!BU124-$AL122*$AM122</f>
        <v>0.30598378471984605</v>
      </c>
      <c r="T123" s="2">
        <v>0</v>
      </c>
      <c r="U123">
        <v>0</v>
      </c>
      <c r="V123">
        <v>0</v>
      </c>
      <c r="W123">
        <v>0</v>
      </c>
      <c r="X123">
        <v>0</v>
      </c>
      <c r="Y123">
        <v>0</v>
      </c>
      <c r="Z123">
        <f ca="1">Stiffness!CV122-AL123*AM123</f>
        <v>0.13233583253092174</v>
      </c>
      <c r="AA123">
        <v>0</v>
      </c>
      <c r="AB123">
        <v>0</v>
      </c>
      <c r="AC123" s="207">
        <v>0</v>
      </c>
      <c r="AD123">
        <f t="shared" si="22"/>
        <v>2E-3</v>
      </c>
      <c r="AE123">
        <f t="shared" si="23"/>
        <v>2E-3</v>
      </c>
      <c r="AF123">
        <f t="shared" ca="1" si="24"/>
        <v>0</v>
      </c>
      <c r="AG123">
        <f t="shared" si="25"/>
        <v>0.12283464959999998</v>
      </c>
      <c r="AH123" s="565">
        <f>Sizing!AD138*(Sizing!CO138+Sizing!CP138) / (12^3)</f>
        <v>4.8598930757468993E-4</v>
      </c>
      <c r="AI123">
        <f t="shared" si="28"/>
        <v>0</v>
      </c>
      <c r="AJ123">
        <f t="shared" si="26"/>
        <v>0</v>
      </c>
      <c r="AK123">
        <f t="shared" si="27"/>
        <v>0</v>
      </c>
      <c r="AL123" s="207">
        <f>Loads!C98</f>
        <v>1.3648294399999998</v>
      </c>
      <c r="AM123">
        <f ca="1">OFFSET('CANARD AERO'!$F$24,((ROW('CANARD AERO'!$A102)-ROW('CANARD AERO'!$A$24))*$B$39/100),0)</f>
        <v>0.25</v>
      </c>
      <c r="AN123" s="207">
        <f ca="1">OFFSET('CANARD AERO'!$J$24,((ROW('CANARD AERO'!$A102)-ROW('CANARD AERO'!$A$24))*$B$39/100),0)</f>
        <v>5.9</v>
      </c>
      <c r="AO123" s="207">
        <f ca="1">OFFSET('CANARD AERO'!$N$24,((ROW('CANARD AERO'!$A102)-ROW('CANARD AERO'!$A$24))*$B$39/100),0)</f>
        <v>-0.15</v>
      </c>
      <c r="AP123" s="207">
        <f ca="1">OFFSET('CANARD AERO'!$O$24,((ROW('CANARD AERO'!$A102)-ROW('CANARD AERO'!$A$24))*$B$39/100),0)</f>
        <v>2.25</v>
      </c>
      <c r="AQ123" s="207">
        <f ca="1">OFFSET('CANARD AERO'!$P$24,((ROW('CANARD AERO'!$A102)-ROW('CANARD AERO'!$A$24))*$B$39/100),0)</f>
        <v>-1.65</v>
      </c>
      <c r="AR123" s="8">
        <f ca="1">OFFSET('CANARD AERO'!$M$24,((ROW('CANARD AERO'!$A102)-ROW('CANARD AERO'!$A$24))*$B$39/100),0)</f>
        <v>5.9690260418206069</v>
      </c>
    </row>
    <row r="124" spans="1:44" x14ac:dyDescent="0.25">
      <c r="A124">
        <f>Loads!A99</f>
        <v>79</v>
      </c>
      <c r="B124">
        <v>79</v>
      </c>
      <c r="C124">
        <f t="shared" si="19"/>
        <v>0.19438977000000005</v>
      </c>
      <c r="D124">
        <f>Loads!B99</f>
        <v>7.7755908000000007</v>
      </c>
      <c r="E124">
        <f t="shared" si="20"/>
        <v>0</v>
      </c>
      <c r="F124">
        <f t="shared" si="21"/>
        <v>0</v>
      </c>
      <c r="G124" s="560">
        <f>Stiffness!AQ123/144</f>
        <v>9622.4552007806124</v>
      </c>
      <c r="H124" s="560">
        <f>Stiffness!AV123/144</f>
        <v>9098.5955047752577</v>
      </c>
      <c r="I124">
        <v>0</v>
      </c>
      <c r="J124">
        <v>0</v>
      </c>
      <c r="K124">
        <v>0</v>
      </c>
      <c r="L124" s="560">
        <f>Stiffness!BC123/144</f>
        <v>995638.62956876995</v>
      </c>
      <c r="M124">
        <v>0</v>
      </c>
      <c r="N124">
        <v>0</v>
      </c>
      <c r="O124">
        <v>0</v>
      </c>
      <c r="P124">
        <v>0</v>
      </c>
      <c r="Q124">
        <v>0</v>
      </c>
      <c r="R124">
        <f>'Weight '!BT125*'Weight '!$E$36/Stiffness!D123</f>
        <v>1.8097089192099807</v>
      </c>
      <c r="S124">
        <f ca="1">'Weight '!BU125-$AL123*$AM123</f>
        <v>0.30368914021877258</v>
      </c>
      <c r="T124" s="2">
        <v>0</v>
      </c>
      <c r="U124">
        <v>0</v>
      </c>
      <c r="V124">
        <v>0</v>
      </c>
      <c r="W124">
        <v>0</v>
      </c>
      <c r="X124">
        <v>0</v>
      </c>
      <c r="Y124">
        <v>0</v>
      </c>
      <c r="Z124">
        <f ca="1">Stiffness!CV123-AL124*AM124</f>
        <v>0.13163352755786506</v>
      </c>
      <c r="AA124">
        <v>0</v>
      </c>
      <c r="AB124">
        <v>0</v>
      </c>
      <c r="AC124" s="207">
        <v>0</v>
      </c>
      <c r="AD124">
        <f t="shared" si="22"/>
        <v>2E-3</v>
      </c>
      <c r="AE124">
        <f t="shared" si="23"/>
        <v>2E-3</v>
      </c>
      <c r="AF124">
        <f t="shared" ca="1" si="24"/>
        <v>0</v>
      </c>
      <c r="AG124">
        <f t="shared" si="25"/>
        <v>0.1219488228</v>
      </c>
      <c r="AH124" s="565">
        <f>Sizing!AD139*(Sizing!CO139+Sizing!CP139) / (12^3)</f>
        <v>4.7900512090714721E-4</v>
      </c>
      <c r="AI124">
        <f t="shared" si="28"/>
        <v>0</v>
      </c>
      <c r="AJ124">
        <f t="shared" si="26"/>
        <v>0</v>
      </c>
      <c r="AK124">
        <f t="shared" si="27"/>
        <v>0</v>
      </c>
      <c r="AL124" s="207">
        <f>Loads!C99</f>
        <v>1.35498692</v>
      </c>
      <c r="AM124">
        <f ca="1">OFFSET('CANARD AERO'!$F$24,((ROW('CANARD AERO'!$A103)-ROW('CANARD AERO'!$A$24))*$B$39/100),0)</f>
        <v>0.25</v>
      </c>
      <c r="AN124" s="207">
        <f ca="1">OFFSET('CANARD AERO'!$J$24,((ROW('CANARD AERO'!$A103)-ROW('CANARD AERO'!$A$24))*$B$39/100),0)</f>
        <v>5.9</v>
      </c>
      <c r="AO124" s="207">
        <f ca="1">OFFSET('CANARD AERO'!$N$24,((ROW('CANARD AERO'!$A103)-ROW('CANARD AERO'!$A$24))*$B$39/100),0)</f>
        <v>-0.15</v>
      </c>
      <c r="AP124" s="207">
        <f ca="1">OFFSET('CANARD AERO'!$O$24,((ROW('CANARD AERO'!$A103)-ROW('CANARD AERO'!$A$24))*$B$39/100),0)</f>
        <v>2.25</v>
      </c>
      <c r="AQ124" s="207">
        <f ca="1">OFFSET('CANARD AERO'!$P$24,((ROW('CANARD AERO'!$A103)-ROW('CANARD AERO'!$A$24))*$B$39/100),0)</f>
        <v>-1.65</v>
      </c>
      <c r="AR124" s="8">
        <f ca="1">OFFSET('CANARD AERO'!$M$24,((ROW('CANARD AERO'!$A103)-ROW('CANARD AERO'!$A$24))*$B$39/100),0)</f>
        <v>5.9690260418206069</v>
      </c>
    </row>
    <row r="125" spans="1:44" x14ac:dyDescent="0.25">
      <c r="A125">
        <f>Loads!A100</f>
        <v>80</v>
      </c>
      <c r="B125">
        <v>80</v>
      </c>
      <c r="C125">
        <f t="shared" si="19"/>
        <v>0.19685040000000004</v>
      </c>
      <c r="D125">
        <f>Loads!B100</f>
        <v>7.874016000000001</v>
      </c>
      <c r="E125">
        <f t="shared" si="20"/>
        <v>0</v>
      </c>
      <c r="F125">
        <f t="shared" si="21"/>
        <v>0</v>
      </c>
      <c r="G125" s="560">
        <f>Stiffness!AQ124/144</f>
        <v>4359.7163672502393</v>
      </c>
      <c r="H125" s="560">
        <f>Stiffness!AV124/144</f>
        <v>3973.6444365904836</v>
      </c>
      <c r="I125">
        <v>0</v>
      </c>
      <c r="J125">
        <v>0</v>
      </c>
      <c r="K125">
        <v>0</v>
      </c>
      <c r="L125" s="560">
        <f>Stiffness!BC124/144</f>
        <v>974099.12571235129</v>
      </c>
      <c r="M125">
        <v>0</v>
      </c>
      <c r="N125">
        <v>0</v>
      </c>
      <c r="O125">
        <v>0</v>
      </c>
      <c r="P125">
        <v>0</v>
      </c>
      <c r="Q125">
        <v>0</v>
      </c>
      <c r="R125">
        <f>'Weight '!BT126*'Weight '!$E$36/Stiffness!D124</f>
        <v>1.7637665218232768</v>
      </c>
      <c r="S125">
        <f ca="1">'Weight '!BU126-$AL124*$AM124</f>
        <v>0.30702248756971862</v>
      </c>
      <c r="T125" s="2">
        <v>0</v>
      </c>
      <c r="U125">
        <v>0</v>
      </c>
      <c r="V125">
        <v>0</v>
      </c>
      <c r="W125">
        <v>0</v>
      </c>
      <c r="X125">
        <v>0</v>
      </c>
      <c r="Y125">
        <v>0</v>
      </c>
      <c r="Z125">
        <f ca="1">Stiffness!CV124-AL125*AM125</f>
        <v>0.13093270561121628</v>
      </c>
      <c r="AA125">
        <v>0</v>
      </c>
      <c r="AB125">
        <v>0</v>
      </c>
      <c r="AC125" s="207">
        <v>0</v>
      </c>
      <c r="AD125">
        <f t="shared" si="22"/>
        <v>2E-3</v>
      </c>
      <c r="AE125">
        <f t="shared" si="23"/>
        <v>2E-3</v>
      </c>
      <c r="AF125">
        <f t="shared" ca="1" si="24"/>
        <v>0</v>
      </c>
      <c r="AG125">
        <f t="shared" si="25"/>
        <v>0.12106299599999999</v>
      </c>
      <c r="AH125" s="565">
        <f>Sizing!AD140*(Sizing!CO140+Sizing!CP140) / (12^3)</f>
        <v>4.7207148323840471E-4</v>
      </c>
      <c r="AI125">
        <f t="shared" si="28"/>
        <v>0</v>
      </c>
      <c r="AJ125">
        <f t="shared" si="26"/>
        <v>0</v>
      </c>
      <c r="AK125">
        <f t="shared" si="27"/>
        <v>0</v>
      </c>
      <c r="AL125" s="207">
        <f>Loads!C100</f>
        <v>1.3451443999999999</v>
      </c>
      <c r="AM125">
        <f ca="1">OFFSET('CANARD AERO'!$F$24,((ROW('CANARD AERO'!$A104)-ROW('CANARD AERO'!$A$24))*$B$39/100),0)</f>
        <v>0.25</v>
      </c>
      <c r="AN125" s="207">
        <f ca="1">OFFSET('CANARD AERO'!$J$24,((ROW('CANARD AERO'!$A104)-ROW('CANARD AERO'!$A$24))*$B$39/100),0)</f>
        <v>5.9</v>
      </c>
      <c r="AO125" s="207">
        <f ca="1">OFFSET('CANARD AERO'!$N$24,((ROW('CANARD AERO'!$A104)-ROW('CANARD AERO'!$A$24))*$B$39/100),0)</f>
        <v>-0.15</v>
      </c>
      <c r="AP125" s="207">
        <f ca="1">OFFSET('CANARD AERO'!$O$24,((ROW('CANARD AERO'!$A104)-ROW('CANARD AERO'!$A$24))*$B$39/100),0)</f>
        <v>2.25</v>
      </c>
      <c r="AQ125" s="207">
        <f ca="1">OFFSET('CANARD AERO'!$P$24,((ROW('CANARD AERO'!$A104)-ROW('CANARD AERO'!$A$24))*$B$39/100),0)</f>
        <v>-1.65</v>
      </c>
      <c r="AR125" s="8">
        <f ca="1">OFFSET('CANARD AERO'!$M$24,((ROW('CANARD AERO'!$A104)-ROW('CANARD AERO'!$A$24))*$B$39/100),0)</f>
        <v>5.9690260418206069</v>
      </c>
    </row>
    <row r="126" spans="1:44" x14ac:dyDescent="0.25">
      <c r="A126">
        <f>Loads!A101</f>
        <v>81</v>
      </c>
      <c r="B126">
        <v>81</v>
      </c>
      <c r="C126">
        <f t="shared" si="19"/>
        <v>0.19931103000000003</v>
      </c>
      <c r="D126">
        <f>Loads!B101</f>
        <v>7.9724412000000004</v>
      </c>
      <c r="E126">
        <f t="shared" si="20"/>
        <v>0</v>
      </c>
      <c r="F126">
        <f t="shared" si="21"/>
        <v>0</v>
      </c>
      <c r="G126" s="560">
        <f>Stiffness!AQ125/144</f>
        <v>4275.8327043892696</v>
      </c>
      <c r="H126" s="560">
        <f>Stiffness!AV125/144</f>
        <v>3915.7062895703566</v>
      </c>
      <c r="I126">
        <v>0</v>
      </c>
      <c r="J126">
        <v>0</v>
      </c>
      <c r="K126">
        <v>0</v>
      </c>
      <c r="L126" s="560">
        <f>Stiffness!BC125/144</f>
        <v>952872.53888620273</v>
      </c>
      <c r="M126">
        <v>0</v>
      </c>
      <c r="N126">
        <v>0</v>
      </c>
      <c r="O126">
        <v>0</v>
      </c>
      <c r="P126">
        <v>0</v>
      </c>
      <c r="Q126">
        <v>0</v>
      </c>
      <c r="R126">
        <f>'Weight '!BT127*'Weight '!$E$36/Stiffness!D125</f>
        <v>1.751094719219157</v>
      </c>
      <c r="S126">
        <f ca="1">'Weight '!BU127-$AL125*$AM125</f>
        <v>0.30472581300120255</v>
      </c>
      <c r="T126" s="2">
        <v>0</v>
      </c>
      <c r="U126">
        <v>0</v>
      </c>
      <c r="V126">
        <v>0</v>
      </c>
      <c r="W126">
        <v>0</v>
      </c>
      <c r="X126">
        <v>0</v>
      </c>
      <c r="Y126">
        <v>0</v>
      </c>
      <c r="Z126">
        <f ca="1">Stiffness!CV125-AL126*AM126</f>
        <v>0.13023335085097459</v>
      </c>
      <c r="AA126">
        <v>0</v>
      </c>
      <c r="AB126">
        <v>0</v>
      </c>
      <c r="AC126" s="207">
        <v>0</v>
      </c>
      <c r="AD126">
        <f t="shared" si="22"/>
        <v>2E-3</v>
      </c>
      <c r="AE126">
        <f t="shared" si="23"/>
        <v>2E-3</v>
      </c>
      <c r="AF126">
        <f t="shared" ca="1" si="24"/>
        <v>0</v>
      </c>
      <c r="AG126">
        <f t="shared" si="25"/>
        <v>0.12017716919999998</v>
      </c>
      <c r="AH126" s="565">
        <f>Sizing!AD141*(Sizing!CO141+Sizing!CP141) / (12^3)</f>
        <v>4.6518839456846227E-4</v>
      </c>
      <c r="AI126">
        <f t="shared" si="28"/>
        <v>0</v>
      </c>
      <c r="AJ126">
        <f t="shared" si="26"/>
        <v>0</v>
      </c>
      <c r="AK126">
        <f t="shared" si="27"/>
        <v>0</v>
      </c>
      <c r="AL126" s="207">
        <f>Loads!C101</f>
        <v>1.3353018799999998</v>
      </c>
      <c r="AM126">
        <f ca="1">OFFSET('CANARD AERO'!$F$24,((ROW('CANARD AERO'!$A105)-ROW('CANARD AERO'!$A$24))*$B$39/100),0)</f>
        <v>0.25</v>
      </c>
      <c r="AN126" s="207">
        <f ca="1">OFFSET('CANARD AERO'!$J$24,((ROW('CANARD AERO'!$A105)-ROW('CANARD AERO'!$A$24))*$B$39/100),0)</f>
        <v>5.9</v>
      </c>
      <c r="AO126" s="207">
        <f ca="1">OFFSET('CANARD AERO'!$N$24,((ROW('CANARD AERO'!$A105)-ROW('CANARD AERO'!$A$24))*$B$39/100),0)</f>
        <v>-0.15</v>
      </c>
      <c r="AP126" s="207">
        <f ca="1">OFFSET('CANARD AERO'!$O$24,((ROW('CANARD AERO'!$A105)-ROW('CANARD AERO'!$A$24))*$B$39/100),0)</f>
        <v>2.25</v>
      </c>
      <c r="AQ126" s="207">
        <f ca="1">OFFSET('CANARD AERO'!$P$24,((ROW('CANARD AERO'!$A105)-ROW('CANARD AERO'!$A$24))*$B$39/100),0)</f>
        <v>-1.65</v>
      </c>
      <c r="AR126" s="8">
        <f ca="1">OFFSET('CANARD AERO'!$M$24,((ROW('CANARD AERO'!$A105)-ROW('CANARD AERO'!$A$24))*$B$39/100),0)</f>
        <v>5.9690260418206069</v>
      </c>
    </row>
    <row r="127" spans="1:44" x14ac:dyDescent="0.25">
      <c r="A127">
        <f>Loads!A102</f>
        <v>82</v>
      </c>
      <c r="B127">
        <v>82</v>
      </c>
      <c r="C127">
        <f t="shared" si="19"/>
        <v>0.20177166000000002</v>
      </c>
      <c r="D127">
        <f>Loads!B102</f>
        <v>8.0708663999999999</v>
      </c>
      <c r="E127">
        <f t="shared" si="20"/>
        <v>0</v>
      </c>
      <c r="F127">
        <f t="shared" si="21"/>
        <v>0</v>
      </c>
      <c r="G127" s="560">
        <f>Stiffness!AQ126/144</f>
        <v>4192.7638866330808</v>
      </c>
      <c r="H127" s="560">
        <f>Stiffness!AV126/144</f>
        <v>3858.1936368979918</v>
      </c>
      <c r="I127">
        <v>0</v>
      </c>
      <c r="J127">
        <v>0</v>
      </c>
      <c r="K127">
        <v>0</v>
      </c>
      <c r="L127" s="560">
        <f>Stiffness!BC126/144</f>
        <v>931956.57945351792</v>
      </c>
      <c r="M127">
        <v>0</v>
      </c>
      <c r="N127">
        <v>0</v>
      </c>
      <c r="O127">
        <v>0</v>
      </c>
      <c r="P127">
        <v>0</v>
      </c>
      <c r="Q127">
        <v>0</v>
      </c>
      <c r="R127">
        <f>'Weight '!BT128*'Weight '!$E$36/Stiffness!D126</f>
        <v>1.7384229166150358</v>
      </c>
      <c r="S127">
        <f ca="1">'Weight '!BU128-$AL126*$AM126</f>
        <v>0.3024291471481253</v>
      </c>
      <c r="T127" s="2">
        <v>0</v>
      </c>
      <c r="U127">
        <v>0</v>
      </c>
      <c r="V127">
        <v>0</v>
      </c>
      <c r="W127">
        <v>0</v>
      </c>
      <c r="X127">
        <v>0</v>
      </c>
      <c r="Y127">
        <v>0</v>
      </c>
      <c r="Z127">
        <f ca="1">Stiffness!CV126-AL127*AM127</f>
        <v>0.12953544651330756</v>
      </c>
      <c r="AA127">
        <v>0</v>
      </c>
      <c r="AB127">
        <v>0</v>
      </c>
      <c r="AC127" s="207">
        <v>0</v>
      </c>
      <c r="AD127">
        <f t="shared" si="22"/>
        <v>2E-3</v>
      </c>
      <c r="AE127">
        <f t="shared" si="23"/>
        <v>2E-3</v>
      </c>
      <c r="AF127">
        <f t="shared" ca="1" si="24"/>
        <v>0</v>
      </c>
      <c r="AG127">
        <f t="shared" si="25"/>
        <v>0.1192913424</v>
      </c>
      <c r="AH127" s="565">
        <f>Sizing!AD142*(Sizing!CO142+Sizing!CP142) / (12^3)</f>
        <v>4.5835585489731984E-4</v>
      </c>
      <c r="AI127">
        <f t="shared" si="28"/>
        <v>0</v>
      </c>
      <c r="AJ127">
        <f t="shared" si="26"/>
        <v>0</v>
      </c>
      <c r="AK127">
        <f t="shared" si="27"/>
        <v>0</v>
      </c>
      <c r="AL127" s="207">
        <f>Loads!C102</f>
        <v>1.32545936</v>
      </c>
      <c r="AM127">
        <f ca="1">OFFSET('CANARD AERO'!$F$24,((ROW('CANARD AERO'!$A106)-ROW('CANARD AERO'!$A$24))*$B$39/100),0)</f>
        <v>0.25</v>
      </c>
      <c r="AN127" s="207">
        <f ca="1">OFFSET('CANARD AERO'!$J$24,((ROW('CANARD AERO'!$A106)-ROW('CANARD AERO'!$A$24))*$B$39/100),0)</f>
        <v>5.9</v>
      </c>
      <c r="AO127" s="207">
        <f ca="1">OFFSET('CANARD AERO'!$N$24,((ROW('CANARD AERO'!$A106)-ROW('CANARD AERO'!$A$24))*$B$39/100),0)</f>
        <v>-0.15</v>
      </c>
      <c r="AP127" s="207">
        <f ca="1">OFFSET('CANARD AERO'!$O$24,((ROW('CANARD AERO'!$A106)-ROW('CANARD AERO'!$A$24))*$B$39/100),0)</f>
        <v>2.25</v>
      </c>
      <c r="AQ127" s="207">
        <f ca="1">OFFSET('CANARD AERO'!$P$24,((ROW('CANARD AERO'!$A106)-ROW('CANARD AERO'!$A$24))*$B$39/100),0)</f>
        <v>-1.65</v>
      </c>
      <c r="AR127" s="8">
        <f ca="1">OFFSET('CANARD AERO'!$M$24,((ROW('CANARD AERO'!$A106)-ROW('CANARD AERO'!$A$24))*$B$39/100),0)</f>
        <v>5.9690260418206069</v>
      </c>
    </row>
    <row r="128" spans="1:44" x14ac:dyDescent="0.25">
      <c r="A128">
        <f>Loads!A103</f>
        <v>83</v>
      </c>
      <c r="B128">
        <v>83</v>
      </c>
      <c r="C128">
        <f t="shared" si="19"/>
        <v>0.20423229000000001</v>
      </c>
      <c r="D128">
        <f>Loads!B103</f>
        <v>8.1692915999999993</v>
      </c>
      <c r="E128">
        <f t="shared" si="20"/>
        <v>0</v>
      </c>
      <c r="F128">
        <f t="shared" si="21"/>
        <v>0</v>
      </c>
      <c r="G128" s="560">
        <f>Stiffness!AQ127/144</f>
        <v>4110.5099139816712</v>
      </c>
      <c r="H128" s="560">
        <f>Stiffness!AV127/144</f>
        <v>3801.1064785733856</v>
      </c>
      <c r="I128">
        <v>0</v>
      </c>
      <c r="J128">
        <v>0</v>
      </c>
      <c r="K128">
        <v>0</v>
      </c>
      <c r="L128" s="560">
        <f>Stiffness!BC127/144</f>
        <v>911348.95777748991</v>
      </c>
      <c r="M128">
        <v>0</v>
      </c>
      <c r="N128">
        <v>0</v>
      </c>
      <c r="O128">
        <v>0</v>
      </c>
      <c r="P128">
        <v>0</v>
      </c>
      <c r="Q128">
        <v>0</v>
      </c>
      <c r="R128">
        <f>'Weight '!BT129*'Weight '!$E$36/Stiffness!D127</f>
        <v>1.7257511140109147</v>
      </c>
      <c r="S128">
        <f ca="1">'Weight '!BU129-$AL127*$AM127</f>
        <v>0.3001324902024729</v>
      </c>
      <c r="T128" s="2">
        <v>0</v>
      </c>
      <c r="U128">
        <v>0</v>
      </c>
      <c r="V128">
        <v>0</v>
      </c>
      <c r="W128">
        <v>0</v>
      </c>
      <c r="X128">
        <v>0</v>
      </c>
      <c r="Y128">
        <v>0</v>
      </c>
      <c r="Z128">
        <f ca="1">Stiffness!CV127-AL128*AM128</f>
        <v>0.12883897488735374</v>
      </c>
      <c r="AA128">
        <v>0</v>
      </c>
      <c r="AB128">
        <v>0</v>
      </c>
      <c r="AC128" s="207">
        <v>0</v>
      </c>
      <c r="AD128">
        <f t="shared" si="22"/>
        <v>2E-3</v>
      </c>
      <c r="AE128">
        <f t="shared" si="23"/>
        <v>2E-3</v>
      </c>
      <c r="AF128">
        <f t="shared" ca="1" si="24"/>
        <v>0</v>
      </c>
      <c r="AG128">
        <f t="shared" si="25"/>
        <v>0.11840551559999998</v>
      </c>
      <c r="AH128" s="565">
        <f>Sizing!AD143*(Sizing!CO143+Sizing!CP143) / (12^3)</f>
        <v>4.5157386422497753E-4</v>
      </c>
      <c r="AI128">
        <f t="shared" si="28"/>
        <v>0</v>
      </c>
      <c r="AJ128">
        <f t="shared" si="26"/>
        <v>0</v>
      </c>
      <c r="AK128">
        <f t="shared" si="27"/>
        <v>0</v>
      </c>
      <c r="AL128" s="207">
        <f>Loads!C103</f>
        <v>1.3156168399999999</v>
      </c>
      <c r="AM128">
        <f ca="1">OFFSET('CANARD AERO'!$F$24,((ROW('CANARD AERO'!$A107)-ROW('CANARD AERO'!$A$24))*$B$39/100),0)</f>
        <v>0.25</v>
      </c>
      <c r="AN128" s="207">
        <f ca="1">OFFSET('CANARD AERO'!$J$24,((ROW('CANARD AERO'!$A107)-ROW('CANARD AERO'!$A$24))*$B$39/100),0)</f>
        <v>5.9</v>
      </c>
      <c r="AO128" s="207">
        <f ca="1">OFFSET('CANARD AERO'!$N$24,((ROW('CANARD AERO'!$A107)-ROW('CANARD AERO'!$A$24))*$B$39/100),0)</f>
        <v>-0.15</v>
      </c>
      <c r="AP128" s="207">
        <f ca="1">OFFSET('CANARD AERO'!$O$24,((ROW('CANARD AERO'!$A107)-ROW('CANARD AERO'!$A$24))*$B$39/100),0)</f>
        <v>2.25</v>
      </c>
      <c r="AQ128" s="207">
        <f ca="1">OFFSET('CANARD AERO'!$P$24,((ROW('CANARD AERO'!$A107)-ROW('CANARD AERO'!$A$24))*$B$39/100),0)</f>
        <v>-1.65</v>
      </c>
      <c r="AR128" s="8">
        <f ca="1">OFFSET('CANARD AERO'!$M$24,((ROW('CANARD AERO'!$A107)-ROW('CANARD AERO'!$A$24))*$B$39/100),0)</f>
        <v>5.9690260418206069</v>
      </c>
    </row>
    <row r="129" spans="1:44" x14ac:dyDescent="0.25">
      <c r="A129">
        <f>Loads!A104</f>
        <v>84</v>
      </c>
      <c r="B129">
        <v>84</v>
      </c>
      <c r="C129">
        <f t="shared" si="19"/>
        <v>0.20669292000000003</v>
      </c>
      <c r="D129">
        <f>Loads!B104</f>
        <v>8.2677168000000005</v>
      </c>
      <c r="E129">
        <f t="shared" si="20"/>
        <v>0</v>
      </c>
      <c r="F129">
        <f t="shared" si="21"/>
        <v>0</v>
      </c>
      <c r="G129" s="560">
        <f>Stiffness!AQ128/144</f>
        <v>4029.0707864350416</v>
      </c>
      <c r="H129" s="560">
        <f>Stiffness!AV128/144</f>
        <v>3744.4448145965416</v>
      </c>
      <c r="I129">
        <v>0</v>
      </c>
      <c r="J129">
        <v>0</v>
      </c>
      <c r="K129">
        <v>0</v>
      </c>
      <c r="L129" s="560">
        <f>Stiffness!BC128/144</f>
        <v>891047.38422131119</v>
      </c>
      <c r="M129">
        <v>0</v>
      </c>
      <c r="N129">
        <v>0</v>
      </c>
      <c r="O129">
        <v>0</v>
      </c>
      <c r="P129">
        <v>0</v>
      </c>
      <c r="Q129">
        <v>0</v>
      </c>
      <c r="R129">
        <f>'Weight '!BT130*'Weight '!$E$36/Stiffness!D128</f>
        <v>1.713079311406795</v>
      </c>
      <c r="S129">
        <f ca="1">'Weight '!BU130-$AL128*$AM128</f>
        <v>0.29783584236191224</v>
      </c>
      <c r="T129" s="2">
        <v>0</v>
      </c>
      <c r="U129">
        <v>0</v>
      </c>
      <c r="V129">
        <v>0</v>
      </c>
      <c r="W129">
        <v>0</v>
      </c>
      <c r="X129">
        <v>0</v>
      </c>
      <c r="Y129">
        <v>0</v>
      </c>
      <c r="Z129">
        <f ca="1">Stiffness!CV128-AL129*AM129</f>
        <v>0.12814391729146513</v>
      </c>
      <c r="AA129">
        <v>0</v>
      </c>
      <c r="AB129">
        <v>0</v>
      </c>
      <c r="AC129" s="207">
        <v>0</v>
      </c>
      <c r="AD129">
        <f t="shared" si="22"/>
        <v>2E-3</v>
      </c>
      <c r="AE129">
        <f t="shared" si="23"/>
        <v>2E-3</v>
      </c>
      <c r="AF129">
        <f t="shared" ca="1" si="24"/>
        <v>0</v>
      </c>
      <c r="AG129">
        <f t="shared" si="25"/>
        <v>0.11751968879999998</v>
      </c>
      <c r="AH129" s="565">
        <f>Sizing!AD144*(Sizing!CO144+Sizing!CP144) / (12^3)</f>
        <v>4.4484242255143507E-4</v>
      </c>
      <c r="AI129">
        <f t="shared" si="28"/>
        <v>0</v>
      </c>
      <c r="AJ129">
        <f t="shared" si="26"/>
        <v>0</v>
      </c>
      <c r="AK129">
        <f t="shared" si="27"/>
        <v>0</v>
      </c>
      <c r="AL129" s="207">
        <f>Loads!C104</f>
        <v>1.3057743199999998</v>
      </c>
      <c r="AM129">
        <f ca="1">OFFSET('CANARD AERO'!$F$24,((ROW('CANARD AERO'!$A108)-ROW('CANARD AERO'!$A$24))*$B$39/100),0)</f>
        <v>0.25</v>
      </c>
      <c r="AN129" s="207">
        <f ca="1">OFFSET('CANARD AERO'!$J$24,((ROW('CANARD AERO'!$A108)-ROW('CANARD AERO'!$A$24))*$B$39/100),0)</f>
        <v>5.9</v>
      </c>
      <c r="AO129" s="207">
        <f ca="1">OFFSET('CANARD AERO'!$N$24,((ROW('CANARD AERO'!$A108)-ROW('CANARD AERO'!$A$24))*$B$39/100),0)</f>
        <v>-0.15</v>
      </c>
      <c r="AP129" s="207">
        <f ca="1">OFFSET('CANARD AERO'!$O$24,((ROW('CANARD AERO'!$A108)-ROW('CANARD AERO'!$A$24))*$B$39/100),0)</f>
        <v>2.25</v>
      </c>
      <c r="AQ129" s="207">
        <f ca="1">OFFSET('CANARD AERO'!$P$24,((ROW('CANARD AERO'!$A108)-ROW('CANARD AERO'!$A$24))*$B$39/100),0)</f>
        <v>-1.65</v>
      </c>
      <c r="AR129" s="8">
        <f ca="1">OFFSET('CANARD AERO'!$M$24,((ROW('CANARD AERO'!$A108)-ROW('CANARD AERO'!$A$24))*$B$39/100),0)</f>
        <v>5.9690260418206069</v>
      </c>
    </row>
    <row r="130" spans="1:44" x14ac:dyDescent="0.25">
      <c r="A130">
        <f>Loads!A105</f>
        <v>85</v>
      </c>
      <c r="B130">
        <v>85</v>
      </c>
      <c r="C130">
        <f t="shared" si="19"/>
        <v>0.20915355000000002</v>
      </c>
      <c r="D130">
        <f>Loads!B105</f>
        <v>8.366142</v>
      </c>
      <c r="E130">
        <f t="shared" si="20"/>
        <v>0</v>
      </c>
      <c r="F130">
        <f t="shared" si="21"/>
        <v>0</v>
      </c>
      <c r="G130" s="560">
        <f>Stiffness!AQ129/144</f>
        <v>3948.4465039931933</v>
      </c>
      <c r="H130" s="560">
        <f>Stiffness!AV129/144</f>
        <v>3688.2086449674607</v>
      </c>
      <c r="I130">
        <v>0</v>
      </c>
      <c r="J130">
        <v>0</v>
      </c>
      <c r="K130">
        <v>0</v>
      </c>
      <c r="L130" s="560">
        <f>Stiffness!BC129/144</f>
        <v>871049.56914817682</v>
      </c>
      <c r="M130">
        <v>0</v>
      </c>
      <c r="N130">
        <v>0</v>
      </c>
      <c r="O130">
        <v>0</v>
      </c>
      <c r="P130">
        <v>0</v>
      </c>
      <c r="Q130">
        <v>0</v>
      </c>
      <c r="R130">
        <f>'Weight '!BT131*'Weight '!$E$36/Stiffness!D129</f>
        <v>1.7004075088026731</v>
      </c>
      <c r="S130">
        <f ca="1">'Weight '!BU131-$AL129*$AM129</f>
        <v>0.29553920383000321</v>
      </c>
      <c r="T130" s="2">
        <v>0</v>
      </c>
      <c r="U130">
        <v>0</v>
      </c>
      <c r="V130">
        <v>0</v>
      </c>
      <c r="W130">
        <v>0</v>
      </c>
      <c r="X130">
        <v>0</v>
      </c>
      <c r="Y130">
        <v>0</v>
      </c>
      <c r="Z130">
        <f ca="1">Stiffness!CV129-AL130*AM130</f>
        <v>0.12745025404887023</v>
      </c>
      <c r="AA130">
        <v>0</v>
      </c>
      <c r="AB130">
        <v>0</v>
      </c>
      <c r="AC130" s="207">
        <v>0</v>
      </c>
      <c r="AD130">
        <f t="shared" si="22"/>
        <v>2E-3</v>
      </c>
      <c r="AE130">
        <f t="shared" si="23"/>
        <v>2E-3</v>
      </c>
      <c r="AF130">
        <f t="shared" ca="1" si="24"/>
        <v>0</v>
      </c>
      <c r="AG130">
        <f t="shared" si="25"/>
        <v>0.11663386199999999</v>
      </c>
      <c r="AH130" s="565">
        <f>Sizing!AD145*(Sizing!CO145+Sizing!CP145) / (12^3)</f>
        <v>4.3816152987669299E-4</v>
      </c>
      <c r="AI130">
        <f t="shared" si="28"/>
        <v>0</v>
      </c>
      <c r="AJ130">
        <f t="shared" si="26"/>
        <v>0</v>
      </c>
      <c r="AK130">
        <f t="shared" si="27"/>
        <v>0</v>
      </c>
      <c r="AL130" s="207">
        <f>Loads!C105</f>
        <v>1.2959318</v>
      </c>
      <c r="AM130">
        <f ca="1">OFFSET('CANARD AERO'!$F$24,((ROW('CANARD AERO'!$A109)-ROW('CANARD AERO'!$A$24))*$B$39/100),0)</f>
        <v>0.25</v>
      </c>
      <c r="AN130" s="207">
        <f ca="1">OFFSET('CANARD AERO'!$J$24,((ROW('CANARD AERO'!$A109)-ROW('CANARD AERO'!$A$24))*$B$39/100),0)</f>
        <v>5.9</v>
      </c>
      <c r="AO130" s="207">
        <f ca="1">OFFSET('CANARD AERO'!$N$24,((ROW('CANARD AERO'!$A109)-ROW('CANARD AERO'!$A$24))*$B$39/100),0)</f>
        <v>-0.15</v>
      </c>
      <c r="AP130" s="207">
        <f ca="1">OFFSET('CANARD AERO'!$O$24,((ROW('CANARD AERO'!$A109)-ROW('CANARD AERO'!$A$24))*$B$39/100),0)</f>
        <v>2.25</v>
      </c>
      <c r="AQ130" s="207">
        <f ca="1">OFFSET('CANARD AERO'!$P$24,((ROW('CANARD AERO'!$A109)-ROW('CANARD AERO'!$A$24))*$B$39/100),0)</f>
        <v>-1.65</v>
      </c>
      <c r="AR130" s="8">
        <f ca="1">OFFSET('CANARD AERO'!$M$24,((ROW('CANARD AERO'!$A109)-ROW('CANARD AERO'!$A$24))*$B$39/100),0)</f>
        <v>5.9690260418206069</v>
      </c>
    </row>
    <row r="131" spans="1:44" x14ac:dyDescent="0.25">
      <c r="A131">
        <f>Loads!A106</f>
        <v>86</v>
      </c>
      <c r="B131">
        <v>86</v>
      </c>
      <c r="C131">
        <f t="shared" si="19"/>
        <v>0.21161418000000001</v>
      </c>
      <c r="D131">
        <f>Loads!B106</f>
        <v>8.4645671999999994</v>
      </c>
      <c r="E131">
        <f t="shared" si="20"/>
        <v>0</v>
      </c>
      <c r="F131">
        <f t="shared" si="21"/>
        <v>0</v>
      </c>
      <c r="G131" s="560">
        <f>Stiffness!AQ130/144</f>
        <v>3868.637066656122</v>
      </c>
      <c r="H131" s="560">
        <f>Stiffness!AV130/144</f>
        <v>3632.3979696861388</v>
      </c>
      <c r="I131">
        <v>0</v>
      </c>
      <c r="J131">
        <v>0</v>
      </c>
      <c r="K131">
        <v>0</v>
      </c>
      <c r="L131" s="560">
        <f>Stiffness!BC130/144</f>
        <v>851353.22292127786</v>
      </c>
      <c r="M131">
        <v>0</v>
      </c>
      <c r="N131">
        <v>0</v>
      </c>
      <c r="O131">
        <v>0</v>
      </c>
      <c r="P131">
        <v>0</v>
      </c>
      <c r="Q131">
        <v>0</v>
      </c>
      <c r="R131">
        <f>'Weight '!BT132*'Weight '!$E$36/Stiffness!D130</f>
        <v>1.6877357061985532</v>
      </c>
      <c r="S131">
        <f ca="1">'Weight '!BU132-$AL130*$AM130</f>
        <v>0.29324257481641813</v>
      </c>
      <c r="T131" s="2">
        <v>0</v>
      </c>
      <c r="U131">
        <v>0</v>
      </c>
      <c r="V131">
        <v>0</v>
      </c>
      <c r="W131">
        <v>0</v>
      </c>
      <c r="X131">
        <v>0</v>
      </c>
      <c r="Y131">
        <v>0</v>
      </c>
      <c r="Z131">
        <f ca="1">Stiffness!CV130-AL131*AM131</f>
        <v>0.12675796446273307</v>
      </c>
      <c r="AA131">
        <v>0</v>
      </c>
      <c r="AB131">
        <v>0</v>
      </c>
      <c r="AC131" s="207">
        <v>0</v>
      </c>
      <c r="AD131">
        <f t="shared" si="22"/>
        <v>2E-3</v>
      </c>
      <c r="AE131">
        <f t="shared" si="23"/>
        <v>2E-3</v>
      </c>
      <c r="AF131">
        <f t="shared" ca="1" si="24"/>
        <v>0</v>
      </c>
      <c r="AG131">
        <f t="shared" si="25"/>
        <v>0.11574803519999999</v>
      </c>
      <c r="AH131" s="565">
        <f>Sizing!AD146*(Sizing!CO146+Sizing!CP146) / (12^3)</f>
        <v>4.3153118620075086E-4</v>
      </c>
      <c r="AI131">
        <f t="shared" si="28"/>
        <v>0</v>
      </c>
      <c r="AJ131">
        <f t="shared" si="26"/>
        <v>0</v>
      </c>
      <c r="AK131">
        <f t="shared" si="27"/>
        <v>0</v>
      </c>
      <c r="AL131" s="207">
        <f>Loads!C106</f>
        <v>1.2860892799999999</v>
      </c>
      <c r="AM131">
        <f ca="1">OFFSET('CANARD AERO'!$F$24,((ROW('CANARD AERO'!$A110)-ROW('CANARD AERO'!$A$24))*$B$39/100),0)</f>
        <v>0.25</v>
      </c>
      <c r="AN131" s="207">
        <f ca="1">OFFSET('CANARD AERO'!$J$24,((ROW('CANARD AERO'!$A110)-ROW('CANARD AERO'!$A$24))*$B$39/100),0)</f>
        <v>5.9</v>
      </c>
      <c r="AO131" s="207">
        <f ca="1">OFFSET('CANARD AERO'!$N$24,((ROW('CANARD AERO'!$A110)-ROW('CANARD AERO'!$A$24))*$B$39/100),0)</f>
        <v>-0.15</v>
      </c>
      <c r="AP131" s="207">
        <f ca="1">OFFSET('CANARD AERO'!$O$24,((ROW('CANARD AERO'!$A110)-ROW('CANARD AERO'!$A$24))*$B$39/100),0)</f>
        <v>2.25</v>
      </c>
      <c r="AQ131" s="207">
        <f ca="1">OFFSET('CANARD AERO'!$P$24,((ROW('CANARD AERO'!$A110)-ROW('CANARD AERO'!$A$24))*$B$39/100),0)</f>
        <v>-1.65</v>
      </c>
      <c r="AR131" s="8">
        <f ca="1">OFFSET('CANARD AERO'!$M$24,((ROW('CANARD AERO'!$A110)-ROW('CANARD AERO'!$A$24))*$B$39/100),0)</f>
        <v>5.9690260418206069</v>
      </c>
    </row>
    <row r="132" spans="1:44" x14ac:dyDescent="0.25">
      <c r="A132">
        <f>Loads!A107</f>
        <v>87</v>
      </c>
      <c r="B132">
        <v>87</v>
      </c>
      <c r="C132">
        <f t="shared" si="19"/>
        <v>0.21407481000000003</v>
      </c>
      <c r="D132">
        <f>Loads!B107</f>
        <v>8.5629924000000006</v>
      </c>
      <c r="E132">
        <f t="shared" si="20"/>
        <v>0</v>
      </c>
      <c r="F132">
        <f t="shared" si="21"/>
        <v>0</v>
      </c>
      <c r="G132" s="560">
        <f>Stiffness!AQ131/144</f>
        <v>3789.6424744238311</v>
      </c>
      <c r="H132" s="560">
        <f>Stiffness!AV131/144</f>
        <v>3577.0127887525782</v>
      </c>
      <c r="I132">
        <v>0</v>
      </c>
      <c r="J132">
        <v>0</v>
      </c>
      <c r="K132">
        <v>0</v>
      </c>
      <c r="L132" s="560">
        <f>Stiffness!BC131/144</f>
        <v>831956.05590380833</v>
      </c>
      <c r="M132">
        <v>0</v>
      </c>
      <c r="N132">
        <v>0</v>
      </c>
      <c r="O132">
        <v>0</v>
      </c>
      <c r="P132">
        <v>0</v>
      </c>
      <c r="Q132">
        <v>0</v>
      </c>
      <c r="R132">
        <f>'Weight '!BT133*'Weight '!$E$36/Stiffness!D131</f>
        <v>1.6750639035944321</v>
      </c>
      <c r="S132">
        <f ca="1">'Weight '!BU133-$AL131*$AM131</f>
        <v>0.29094595553717423</v>
      </c>
      <c r="T132" s="2">
        <v>0</v>
      </c>
      <c r="U132">
        <v>0</v>
      </c>
      <c r="V132">
        <v>0</v>
      </c>
      <c r="W132">
        <v>0</v>
      </c>
      <c r="X132">
        <v>0</v>
      </c>
      <c r="Y132">
        <v>0</v>
      </c>
      <c r="Z132">
        <f ca="1">Stiffness!CV131-AL132*AM132</f>
        <v>0.12606702679058918</v>
      </c>
      <c r="AA132">
        <v>0</v>
      </c>
      <c r="AB132">
        <v>0</v>
      </c>
      <c r="AC132" s="207">
        <v>0</v>
      </c>
      <c r="AD132">
        <f t="shared" si="22"/>
        <v>2E-3</v>
      </c>
      <c r="AE132">
        <f t="shared" si="23"/>
        <v>2E-3</v>
      </c>
      <c r="AF132">
        <f t="shared" ca="1" si="24"/>
        <v>0</v>
      </c>
      <c r="AG132">
        <f t="shared" si="25"/>
        <v>0.11486220839999998</v>
      </c>
      <c r="AH132" s="565">
        <f>Sizing!AD147*(Sizing!CO147+Sizing!CP147) / (12^3)</f>
        <v>4.2495139152360874E-4</v>
      </c>
      <c r="AI132">
        <f t="shared" si="28"/>
        <v>0</v>
      </c>
      <c r="AJ132">
        <f t="shared" si="26"/>
        <v>0</v>
      </c>
      <c r="AK132">
        <f t="shared" si="27"/>
        <v>0</v>
      </c>
      <c r="AL132" s="207">
        <f>Loads!C107</f>
        <v>1.2762467599999998</v>
      </c>
      <c r="AM132">
        <f ca="1">OFFSET('CANARD AERO'!$F$24,((ROW('CANARD AERO'!$A111)-ROW('CANARD AERO'!$A$24))*$B$39/100),0)</f>
        <v>0.25</v>
      </c>
      <c r="AN132" s="207">
        <f ca="1">OFFSET('CANARD AERO'!$J$24,((ROW('CANARD AERO'!$A111)-ROW('CANARD AERO'!$A$24))*$B$39/100),0)</f>
        <v>5.9</v>
      </c>
      <c r="AO132" s="207">
        <f ca="1">OFFSET('CANARD AERO'!$N$24,((ROW('CANARD AERO'!$A111)-ROW('CANARD AERO'!$A$24))*$B$39/100),0)</f>
        <v>-0.15</v>
      </c>
      <c r="AP132" s="207">
        <f ca="1">OFFSET('CANARD AERO'!$O$24,((ROW('CANARD AERO'!$A111)-ROW('CANARD AERO'!$A$24))*$B$39/100),0)</f>
        <v>2.25</v>
      </c>
      <c r="AQ132" s="207">
        <f ca="1">OFFSET('CANARD AERO'!$P$24,((ROW('CANARD AERO'!$A111)-ROW('CANARD AERO'!$A$24))*$B$39/100),0)</f>
        <v>-1.65</v>
      </c>
      <c r="AR132" s="8">
        <f ca="1">OFFSET('CANARD AERO'!$M$24,((ROW('CANARD AERO'!$A111)-ROW('CANARD AERO'!$A$24))*$B$39/100),0)</f>
        <v>5.9690260418206069</v>
      </c>
    </row>
    <row r="133" spans="1:44" x14ac:dyDescent="0.25">
      <c r="A133">
        <f>Loads!A108</f>
        <v>88</v>
      </c>
      <c r="B133">
        <v>88</v>
      </c>
      <c r="C133">
        <f t="shared" si="19"/>
        <v>0.21653544000000002</v>
      </c>
      <c r="D133">
        <f>Loads!B108</f>
        <v>8.6614176</v>
      </c>
      <c r="E133">
        <f t="shared" si="20"/>
        <v>0</v>
      </c>
      <c r="F133">
        <f t="shared" si="21"/>
        <v>0</v>
      </c>
      <c r="G133" s="560">
        <f>Stiffness!AQ132/144</f>
        <v>3711.4627272963189</v>
      </c>
      <c r="H133" s="560">
        <f>Stiffness!AV132/144</f>
        <v>3522.0531021667794</v>
      </c>
      <c r="I133">
        <v>0</v>
      </c>
      <c r="J133">
        <v>0</v>
      </c>
      <c r="K133">
        <v>0</v>
      </c>
      <c r="L133" s="560">
        <f>Stiffness!BC132/144</f>
        <v>812855.77845896152</v>
      </c>
      <c r="M133">
        <v>0</v>
      </c>
      <c r="N133">
        <v>0</v>
      </c>
      <c r="O133">
        <v>0</v>
      </c>
      <c r="P133">
        <v>0</v>
      </c>
      <c r="Q133">
        <v>0</v>
      </c>
      <c r="R133">
        <f>'Weight '!BT134*'Weight '!$E$36/Stiffness!D132</f>
        <v>1.6623921009903113</v>
      </c>
      <c r="S133">
        <f ca="1">'Weight '!BU134-$AL132*$AM132</f>
        <v>0.2886493462148757</v>
      </c>
      <c r="T133" s="2">
        <v>0</v>
      </c>
      <c r="U133">
        <v>0</v>
      </c>
      <c r="V133">
        <v>0</v>
      </c>
      <c r="W133">
        <v>0</v>
      </c>
      <c r="X133">
        <v>0</v>
      </c>
      <c r="Y133">
        <v>0</v>
      </c>
      <c r="Z133">
        <f ca="1">Stiffness!CV132-AL133*AM133</f>
        <v>0.12537741821813048</v>
      </c>
      <c r="AA133">
        <v>0</v>
      </c>
      <c r="AB133">
        <v>0</v>
      </c>
      <c r="AC133" s="207">
        <v>0</v>
      </c>
      <c r="AD133">
        <f t="shared" si="22"/>
        <v>2E-3</v>
      </c>
      <c r="AE133">
        <f t="shared" si="23"/>
        <v>2E-3</v>
      </c>
      <c r="AF133">
        <f t="shared" ca="1" si="24"/>
        <v>0</v>
      </c>
      <c r="AG133">
        <f t="shared" si="25"/>
        <v>0.1139763816</v>
      </c>
      <c r="AH133" s="565">
        <f>Sizing!AD148*(Sizing!CO148+Sizing!CP148) / (12^3)</f>
        <v>4.184221458452668E-4</v>
      </c>
      <c r="AI133">
        <f t="shared" si="28"/>
        <v>0</v>
      </c>
      <c r="AJ133">
        <f t="shared" si="26"/>
        <v>0</v>
      </c>
      <c r="AK133">
        <f t="shared" si="27"/>
        <v>0</v>
      </c>
      <c r="AL133" s="207">
        <f>Loads!C108</f>
        <v>1.26640424</v>
      </c>
      <c r="AM133">
        <f ca="1">OFFSET('CANARD AERO'!$F$24,((ROW('CANARD AERO'!$A112)-ROW('CANARD AERO'!$A$24))*$B$39/100),0)</f>
        <v>0.25</v>
      </c>
      <c r="AN133" s="207">
        <f ca="1">OFFSET('CANARD AERO'!$J$24,((ROW('CANARD AERO'!$A112)-ROW('CANARD AERO'!$A$24))*$B$39/100),0)</f>
        <v>5.9</v>
      </c>
      <c r="AO133" s="207">
        <f ca="1">OFFSET('CANARD AERO'!$N$24,((ROW('CANARD AERO'!$A112)-ROW('CANARD AERO'!$A$24))*$B$39/100),0)</f>
        <v>-0.15</v>
      </c>
      <c r="AP133" s="207">
        <f ca="1">OFFSET('CANARD AERO'!$O$24,((ROW('CANARD AERO'!$A112)-ROW('CANARD AERO'!$A$24))*$B$39/100),0)</f>
        <v>2.25</v>
      </c>
      <c r="AQ133" s="207">
        <f ca="1">OFFSET('CANARD AERO'!$P$24,((ROW('CANARD AERO'!$A112)-ROW('CANARD AERO'!$A$24))*$B$39/100),0)</f>
        <v>-1.65</v>
      </c>
      <c r="AR133" s="8">
        <f ca="1">OFFSET('CANARD AERO'!$M$24,((ROW('CANARD AERO'!$A112)-ROW('CANARD AERO'!$A$24))*$B$39/100),0)</f>
        <v>5.9690260418206069</v>
      </c>
    </row>
    <row r="134" spans="1:44" x14ac:dyDescent="0.25">
      <c r="A134">
        <f>Loads!A109</f>
        <v>89</v>
      </c>
      <c r="B134">
        <v>89</v>
      </c>
      <c r="C134">
        <f t="shared" si="19"/>
        <v>0.21899607000000004</v>
      </c>
      <c r="D134">
        <f>Loads!B109</f>
        <v>8.7598428000000013</v>
      </c>
      <c r="E134">
        <f t="shared" si="20"/>
        <v>0</v>
      </c>
      <c r="F134">
        <f t="shared" si="21"/>
        <v>0</v>
      </c>
      <c r="G134" s="560">
        <f>Stiffness!AQ133/144</f>
        <v>3634.0978252735858</v>
      </c>
      <c r="H134" s="560">
        <f>Stiffness!AV133/144</f>
        <v>3467.5189099287404</v>
      </c>
      <c r="I134">
        <v>0</v>
      </c>
      <c r="J134">
        <v>0</v>
      </c>
      <c r="K134">
        <v>0</v>
      </c>
      <c r="L134" s="560">
        <f>Stiffness!BC133/144</f>
        <v>794050.10094992956</v>
      </c>
      <c r="M134">
        <v>0</v>
      </c>
      <c r="N134">
        <v>0</v>
      </c>
      <c r="O134">
        <v>0</v>
      </c>
      <c r="P134">
        <v>0</v>
      </c>
      <c r="Q134">
        <v>0</v>
      </c>
      <c r="R134">
        <f>'Weight '!BT135*'Weight '!$E$36/Stiffness!D133</f>
        <v>1.6497202983861907</v>
      </c>
      <c r="S134">
        <f ca="1">'Weight '!BU135-$AL133*$AM133</f>
        <v>0.28635274707896574</v>
      </c>
      <c r="T134" s="2">
        <v>0</v>
      </c>
      <c r="U134">
        <v>0</v>
      </c>
      <c r="V134">
        <v>0</v>
      </c>
      <c r="W134">
        <v>0</v>
      </c>
      <c r="X134">
        <v>0</v>
      </c>
      <c r="Y134">
        <v>0</v>
      </c>
      <c r="Z134">
        <f ca="1">Stiffness!CV133-AL134*AM134</f>
        <v>0.12468911483231704</v>
      </c>
      <c r="AA134">
        <v>0</v>
      </c>
      <c r="AB134">
        <v>0</v>
      </c>
      <c r="AC134" s="207">
        <v>0</v>
      </c>
      <c r="AD134">
        <f t="shared" si="22"/>
        <v>2E-3</v>
      </c>
      <c r="AE134">
        <f t="shared" si="23"/>
        <v>2E-3</v>
      </c>
      <c r="AF134">
        <f t="shared" ca="1" si="24"/>
        <v>0</v>
      </c>
      <c r="AG134">
        <f t="shared" si="25"/>
        <v>0.11309055479999998</v>
      </c>
      <c r="AH134" s="565">
        <f>Sizing!AD149*(Sizing!CO149+Sizing!CP149) / (12^3)</f>
        <v>4.1194344916572475E-4</v>
      </c>
      <c r="AI134">
        <f t="shared" si="28"/>
        <v>0</v>
      </c>
      <c r="AJ134">
        <f t="shared" si="26"/>
        <v>0</v>
      </c>
      <c r="AK134">
        <f t="shared" si="27"/>
        <v>0</v>
      </c>
      <c r="AL134" s="207">
        <f>Loads!C109</f>
        <v>1.2565617199999999</v>
      </c>
      <c r="AM134">
        <f ca="1">OFFSET('CANARD AERO'!$F$24,((ROW('CANARD AERO'!$A113)-ROW('CANARD AERO'!$A$24))*$B$39/100),0)</f>
        <v>0.25</v>
      </c>
      <c r="AN134" s="207">
        <f ca="1">OFFSET('CANARD AERO'!$J$24,((ROW('CANARD AERO'!$A113)-ROW('CANARD AERO'!$A$24))*$B$39/100),0)</f>
        <v>5.9</v>
      </c>
      <c r="AO134" s="207">
        <f ca="1">OFFSET('CANARD AERO'!$N$24,((ROW('CANARD AERO'!$A113)-ROW('CANARD AERO'!$A$24))*$B$39/100),0)</f>
        <v>-0.15</v>
      </c>
      <c r="AP134" s="207">
        <f ca="1">OFFSET('CANARD AERO'!$O$24,((ROW('CANARD AERO'!$A113)-ROW('CANARD AERO'!$A$24))*$B$39/100),0)</f>
        <v>2.25</v>
      </c>
      <c r="AQ134" s="207">
        <f ca="1">OFFSET('CANARD AERO'!$P$24,((ROW('CANARD AERO'!$A113)-ROW('CANARD AERO'!$A$24))*$B$39/100),0)</f>
        <v>-1.65</v>
      </c>
      <c r="AR134" s="8">
        <f ca="1">OFFSET('CANARD AERO'!$M$24,((ROW('CANARD AERO'!$A113)-ROW('CANARD AERO'!$A$24))*$B$39/100),0)</f>
        <v>5.9690260418206069</v>
      </c>
    </row>
    <row r="135" spans="1:44" x14ac:dyDescent="0.25">
      <c r="A135">
        <f>Loads!A110</f>
        <v>90</v>
      </c>
      <c r="B135">
        <v>90</v>
      </c>
      <c r="C135">
        <f t="shared" si="19"/>
        <v>0.22145670000000003</v>
      </c>
      <c r="D135">
        <f>Loads!B110</f>
        <v>8.8582680000000007</v>
      </c>
      <c r="E135">
        <f t="shared" si="20"/>
        <v>0</v>
      </c>
      <c r="F135">
        <f t="shared" si="21"/>
        <v>0</v>
      </c>
      <c r="G135" s="560">
        <f>Stiffness!AQ134/144</f>
        <v>922.77497861326765</v>
      </c>
      <c r="H135" s="560">
        <f>Stiffness!AV134/144</f>
        <v>847.99525225113894</v>
      </c>
      <c r="I135">
        <v>0</v>
      </c>
      <c r="J135">
        <v>0</v>
      </c>
      <c r="K135">
        <v>0</v>
      </c>
      <c r="L135" s="560">
        <f>Stiffness!BC134/144</f>
        <v>775536.73373990692</v>
      </c>
      <c r="M135">
        <v>0</v>
      </c>
      <c r="N135">
        <v>0</v>
      </c>
      <c r="O135">
        <v>0</v>
      </c>
      <c r="P135">
        <v>0</v>
      </c>
      <c r="Q135">
        <v>0</v>
      </c>
      <c r="R135">
        <f>'Weight '!BT136*'Weight '!$E$36/Stiffness!D134</f>
        <v>1.6176657823356217</v>
      </c>
      <c r="S135">
        <f ca="1">'Weight '!BU136-$AL134*$AM134</f>
        <v>0.28742642090017806</v>
      </c>
      <c r="T135" s="2">
        <v>0</v>
      </c>
      <c r="U135">
        <v>0</v>
      </c>
      <c r="V135">
        <v>0</v>
      </c>
      <c r="W135">
        <v>0</v>
      </c>
      <c r="X135">
        <v>0</v>
      </c>
      <c r="Y135">
        <v>0</v>
      </c>
      <c r="Z135">
        <f ca="1">Stiffness!CV134-AL135*AM135</f>
        <v>0.12400209159378711</v>
      </c>
      <c r="AA135">
        <v>0</v>
      </c>
      <c r="AB135">
        <v>0</v>
      </c>
      <c r="AC135" s="207">
        <v>0</v>
      </c>
      <c r="AD135">
        <f t="shared" si="22"/>
        <v>2E-3</v>
      </c>
      <c r="AE135">
        <f t="shared" si="23"/>
        <v>2E-3</v>
      </c>
      <c r="AF135">
        <f t="shared" ca="1" si="24"/>
        <v>0</v>
      </c>
      <c r="AG135">
        <f t="shared" si="25"/>
        <v>0.112204728</v>
      </c>
      <c r="AH135" s="565">
        <f>Sizing!AD150*(Sizing!CO150+Sizing!CP150) / (12^3)</f>
        <v>4.0551530148498298E-4</v>
      </c>
      <c r="AI135">
        <f t="shared" si="28"/>
        <v>0</v>
      </c>
      <c r="AJ135">
        <f t="shared" si="26"/>
        <v>0</v>
      </c>
      <c r="AK135">
        <f t="shared" si="27"/>
        <v>0</v>
      </c>
      <c r="AL135" s="207">
        <f>Loads!C110</f>
        <v>1.2467192</v>
      </c>
      <c r="AM135">
        <f ca="1">OFFSET('CANARD AERO'!$F$24,((ROW('CANARD AERO'!$A114)-ROW('CANARD AERO'!$A$24))*$B$39/100),0)</f>
        <v>0.25</v>
      </c>
      <c r="AN135" s="207">
        <f ca="1">OFFSET('CANARD AERO'!$J$24,((ROW('CANARD AERO'!$A114)-ROW('CANARD AERO'!$A$24))*$B$39/100),0)</f>
        <v>5.9</v>
      </c>
      <c r="AO135" s="207">
        <f ca="1">OFFSET('CANARD AERO'!$N$24,((ROW('CANARD AERO'!$A114)-ROW('CANARD AERO'!$A$24))*$B$39/100),0)</f>
        <v>-0.15</v>
      </c>
      <c r="AP135" s="207">
        <f ca="1">OFFSET('CANARD AERO'!$O$24,((ROW('CANARD AERO'!$A114)-ROW('CANARD AERO'!$A$24))*$B$39/100),0)</f>
        <v>2.25</v>
      </c>
      <c r="AQ135" s="207">
        <f ca="1">OFFSET('CANARD AERO'!$P$24,((ROW('CANARD AERO'!$A114)-ROW('CANARD AERO'!$A$24))*$B$39/100),0)</f>
        <v>-1.65</v>
      </c>
      <c r="AR135" s="8">
        <f ca="1">OFFSET('CANARD AERO'!$M$24,((ROW('CANARD AERO'!$A114)-ROW('CANARD AERO'!$A$24))*$B$39/100),0)</f>
        <v>5.9690260418206069</v>
      </c>
    </row>
    <row r="136" spans="1:44" x14ac:dyDescent="0.25">
      <c r="A136">
        <f>Loads!A111</f>
        <v>91</v>
      </c>
      <c r="B136">
        <v>91</v>
      </c>
      <c r="C136">
        <f t="shared" si="19"/>
        <v>0.22391733000000003</v>
      </c>
      <c r="D136">
        <f>Loads!B111</f>
        <v>8.9566932000000001</v>
      </c>
      <c r="E136">
        <f t="shared" si="20"/>
        <v>0</v>
      </c>
      <c r="F136">
        <f t="shared" si="21"/>
        <v>0</v>
      </c>
      <c r="G136" s="560">
        <f>Stiffness!AQ135/144</f>
        <v>903.74623576176691</v>
      </c>
      <c r="H136" s="560">
        <f>Stiffness!AV135/144</f>
        <v>834.65870642106734</v>
      </c>
      <c r="I136">
        <v>0</v>
      </c>
      <c r="J136">
        <v>0</v>
      </c>
      <c r="K136">
        <v>0</v>
      </c>
      <c r="L136" s="560">
        <f>Stiffness!BC135/144</f>
        <v>757313.38719208608</v>
      </c>
      <c r="M136">
        <v>0</v>
      </c>
      <c r="N136">
        <v>0</v>
      </c>
      <c r="O136">
        <v>0</v>
      </c>
      <c r="P136">
        <v>0</v>
      </c>
      <c r="Q136">
        <v>0</v>
      </c>
      <c r="R136">
        <f>'Weight '!BT137*'Weight '!$E$36/Stiffness!D135</f>
        <v>1.6049939797315016</v>
      </c>
      <c r="S136">
        <f ca="1">'Weight '!BU137-$AL135*$AM135</f>
        <v>0.28512921656952211</v>
      </c>
      <c r="T136" s="2">
        <v>0</v>
      </c>
      <c r="U136">
        <v>0</v>
      </c>
      <c r="V136">
        <v>0</v>
      </c>
      <c r="W136">
        <v>0</v>
      </c>
      <c r="X136">
        <v>0</v>
      </c>
      <c r="Y136">
        <v>0</v>
      </c>
      <c r="Z136">
        <f ca="1">Stiffness!CV135-AL136*AM136</f>
        <v>0.12331632230853828</v>
      </c>
      <c r="AA136">
        <v>0</v>
      </c>
      <c r="AB136">
        <v>0</v>
      </c>
      <c r="AC136" s="207">
        <v>0</v>
      </c>
      <c r="AD136">
        <f t="shared" si="22"/>
        <v>2E-3</v>
      </c>
      <c r="AE136">
        <f t="shared" si="23"/>
        <v>2E-3</v>
      </c>
      <c r="AF136">
        <f t="shared" ca="1" si="24"/>
        <v>0</v>
      </c>
      <c r="AG136">
        <f t="shared" si="25"/>
        <v>0.11131890119999999</v>
      </c>
      <c r="AH136" s="565">
        <f>Sizing!AD151*(Sizing!CO151+Sizing!CP151) / (12^3)</f>
        <v>3.9913770280304117E-4</v>
      </c>
      <c r="AI136">
        <f t="shared" si="28"/>
        <v>0</v>
      </c>
      <c r="AJ136">
        <f t="shared" si="26"/>
        <v>0</v>
      </c>
      <c r="AK136">
        <f t="shared" si="27"/>
        <v>0</v>
      </c>
      <c r="AL136" s="207">
        <f>Loads!C111</f>
        <v>1.23687668</v>
      </c>
      <c r="AM136">
        <f ca="1">OFFSET('CANARD AERO'!$F$24,((ROW('CANARD AERO'!$A115)-ROW('CANARD AERO'!$A$24))*$B$39/100),0)</f>
        <v>0.25</v>
      </c>
      <c r="AN136" s="207">
        <f ca="1">OFFSET('CANARD AERO'!$J$24,((ROW('CANARD AERO'!$A115)-ROW('CANARD AERO'!$A$24))*$B$39/100),0)</f>
        <v>5.9</v>
      </c>
      <c r="AO136" s="207">
        <f ca="1">OFFSET('CANARD AERO'!$N$24,((ROW('CANARD AERO'!$A115)-ROW('CANARD AERO'!$A$24))*$B$39/100),0)</f>
        <v>-0.15</v>
      </c>
      <c r="AP136" s="207">
        <f ca="1">OFFSET('CANARD AERO'!$O$24,((ROW('CANARD AERO'!$A115)-ROW('CANARD AERO'!$A$24))*$B$39/100),0)</f>
        <v>2.25</v>
      </c>
      <c r="AQ136" s="207">
        <f ca="1">OFFSET('CANARD AERO'!$P$24,((ROW('CANARD AERO'!$A115)-ROW('CANARD AERO'!$A$24))*$B$39/100),0)</f>
        <v>-1.65</v>
      </c>
      <c r="AR136" s="8">
        <f ca="1">OFFSET('CANARD AERO'!$M$24,((ROW('CANARD AERO'!$A115)-ROW('CANARD AERO'!$A$24))*$B$39/100),0)</f>
        <v>5.9690260418206069</v>
      </c>
    </row>
    <row r="137" spans="1:44" x14ac:dyDescent="0.25">
      <c r="A137">
        <f>Loads!A112</f>
        <v>92</v>
      </c>
      <c r="B137">
        <v>92</v>
      </c>
      <c r="C137">
        <f t="shared" si="19"/>
        <v>0.22637796000000004</v>
      </c>
      <c r="D137">
        <f>Loads!B112</f>
        <v>9.0551184000000013</v>
      </c>
      <c r="E137">
        <f t="shared" si="20"/>
        <v>0</v>
      </c>
      <c r="F137">
        <f t="shared" si="21"/>
        <v>0</v>
      </c>
      <c r="G137" s="560">
        <f>Stiffness!AQ136/144</f>
        <v>884.91574019978873</v>
      </c>
      <c r="H137" s="560">
        <f>Stiffness!AV136/144</f>
        <v>821.42786637036227</v>
      </c>
      <c r="I137">
        <v>0</v>
      </c>
      <c r="J137">
        <v>0</v>
      </c>
      <c r="K137">
        <v>0</v>
      </c>
      <c r="L137" s="560">
        <f>Stiffness!BC136/144</f>
        <v>739377.77166966081</v>
      </c>
      <c r="M137">
        <v>0</v>
      </c>
      <c r="N137">
        <v>0</v>
      </c>
      <c r="O137">
        <v>0</v>
      </c>
      <c r="P137">
        <v>0</v>
      </c>
      <c r="Q137">
        <v>0</v>
      </c>
      <c r="R137">
        <f>'Weight '!BT138*'Weight '!$E$36/Stiffness!D136</f>
        <v>1.5923221771273803</v>
      </c>
      <c r="S137">
        <f ca="1">'Weight '!BU138-$AL136*$AM136</f>
        <v>0.28283201332221208</v>
      </c>
      <c r="T137" s="2">
        <v>0</v>
      </c>
      <c r="U137">
        <v>0</v>
      </c>
      <c r="V137">
        <v>0</v>
      </c>
      <c r="W137">
        <v>0</v>
      </c>
      <c r="X137">
        <v>0</v>
      </c>
      <c r="Y137">
        <v>0</v>
      </c>
      <c r="Z137">
        <f ca="1">Stiffness!CV136-AL137*AM137</f>
        <v>0.12263177959884997</v>
      </c>
      <c r="AA137">
        <v>0</v>
      </c>
      <c r="AB137">
        <v>0</v>
      </c>
      <c r="AC137" s="207">
        <v>0</v>
      </c>
      <c r="AD137">
        <f t="shared" si="22"/>
        <v>2E-3</v>
      </c>
      <c r="AE137">
        <f t="shared" si="23"/>
        <v>2E-3</v>
      </c>
      <c r="AF137">
        <f t="shared" ca="1" si="24"/>
        <v>0</v>
      </c>
      <c r="AG137">
        <f t="shared" si="25"/>
        <v>0.11043307439999998</v>
      </c>
      <c r="AH137" s="565">
        <f>Sizing!AD152*(Sizing!CO152+Sizing!CP152) / (12^3)</f>
        <v>3.9281065311989953E-4</v>
      </c>
      <c r="AI137">
        <f t="shared" si="28"/>
        <v>0</v>
      </c>
      <c r="AJ137">
        <f t="shared" si="26"/>
        <v>0</v>
      </c>
      <c r="AK137">
        <f t="shared" si="27"/>
        <v>0</v>
      </c>
      <c r="AL137" s="207">
        <f>Loads!C112</f>
        <v>1.2270341599999999</v>
      </c>
      <c r="AM137">
        <f ca="1">OFFSET('CANARD AERO'!$F$24,((ROW('CANARD AERO'!$A116)-ROW('CANARD AERO'!$A$24))*$B$39/100),0)</f>
        <v>0.25</v>
      </c>
      <c r="AN137" s="207">
        <f ca="1">OFFSET('CANARD AERO'!$J$24,((ROW('CANARD AERO'!$A116)-ROW('CANARD AERO'!$A$24))*$B$39/100),0)</f>
        <v>5.9</v>
      </c>
      <c r="AO137" s="207">
        <f ca="1">OFFSET('CANARD AERO'!$N$24,((ROW('CANARD AERO'!$A116)-ROW('CANARD AERO'!$A$24))*$B$39/100),0)</f>
        <v>-0.15</v>
      </c>
      <c r="AP137" s="207">
        <f ca="1">OFFSET('CANARD AERO'!$O$24,((ROW('CANARD AERO'!$A116)-ROW('CANARD AERO'!$A$24))*$B$39/100),0)</f>
        <v>2.25</v>
      </c>
      <c r="AQ137" s="207">
        <f ca="1">OFFSET('CANARD AERO'!$P$24,((ROW('CANARD AERO'!$A116)-ROW('CANARD AERO'!$A$24))*$B$39/100),0)</f>
        <v>-1.65</v>
      </c>
      <c r="AR137" s="8">
        <f ca="1">OFFSET('CANARD AERO'!$M$24,((ROW('CANARD AERO'!$A116)-ROW('CANARD AERO'!$A$24))*$B$39/100),0)</f>
        <v>5.9690260418206069</v>
      </c>
    </row>
    <row r="138" spans="1:44" x14ac:dyDescent="0.25">
      <c r="A138">
        <f>Loads!A113</f>
        <v>93</v>
      </c>
      <c r="B138">
        <v>93</v>
      </c>
      <c r="C138">
        <f t="shared" si="19"/>
        <v>0.22883859000000004</v>
      </c>
      <c r="D138">
        <f>Loads!B113</f>
        <v>9.1535436000000008</v>
      </c>
      <c r="E138">
        <f t="shared" si="20"/>
        <v>0</v>
      </c>
      <c r="F138">
        <f t="shared" si="21"/>
        <v>0</v>
      </c>
      <c r="G138" s="560">
        <f>Stiffness!AQ137/144</f>
        <v>866.28349192733322</v>
      </c>
      <c r="H138" s="560">
        <f>Stiffness!AV137/144</f>
        <v>808.30273209902361</v>
      </c>
      <c r="I138">
        <v>0</v>
      </c>
      <c r="J138">
        <v>0</v>
      </c>
      <c r="K138">
        <v>0</v>
      </c>
      <c r="L138" s="560">
        <f>Stiffness!BC137/144</f>
        <v>721727.59753582301</v>
      </c>
      <c r="M138">
        <v>0</v>
      </c>
      <c r="N138">
        <v>0</v>
      </c>
      <c r="O138">
        <v>0</v>
      </c>
      <c r="P138">
        <v>0</v>
      </c>
      <c r="Q138">
        <v>0</v>
      </c>
      <c r="R138">
        <f>'Weight '!BT139*'Weight '!$E$36/Stiffness!D137</f>
        <v>1.5796503745232597</v>
      </c>
      <c r="S138">
        <f ca="1">'Weight '!BU139-$AL137*$AM137</f>
        <v>0.28053481118431883</v>
      </c>
      <c r="T138" s="2">
        <v>0</v>
      </c>
      <c r="U138">
        <v>0</v>
      </c>
      <c r="V138">
        <v>0</v>
      </c>
      <c r="W138">
        <v>0</v>
      </c>
      <c r="X138">
        <v>0</v>
      </c>
      <c r="Y138">
        <v>0</v>
      </c>
      <c r="Z138">
        <f ca="1">Stiffness!CV137-AL138*AM138</f>
        <v>0.12194843487341628</v>
      </c>
      <c r="AA138">
        <v>0</v>
      </c>
      <c r="AB138">
        <v>0</v>
      </c>
      <c r="AC138" s="207">
        <v>0</v>
      </c>
      <c r="AD138">
        <f t="shared" si="22"/>
        <v>2E-3</v>
      </c>
      <c r="AE138">
        <f t="shared" si="23"/>
        <v>2E-3</v>
      </c>
      <c r="AF138">
        <f t="shared" ca="1" si="24"/>
        <v>0</v>
      </c>
      <c r="AG138">
        <f t="shared" si="25"/>
        <v>0.10954724759999999</v>
      </c>
      <c r="AH138" s="565">
        <f>Sizing!AD153*(Sizing!CO153+Sizing!CP153) / (12^3)</f>
        <v>3.8653415243555778E-4</v>
      </c>
      <c r="AI138">
        <f t="shared" si="28"/>
        <v>0</v>
      </c>
      <c r="AJ138">
        <f t="shared" si="26"/>
        <v>0</v>
      </c>
      <c r="AK138">
        <f t="shared" si="27"/>
        <v>0</v>
      </c>
      <c r="AL138" s="207">
        <f>Loads!C113</f>
        <v>1.21719164</v>
      </c>
      <c r="AM138">
        <f ca="1">OFFSET('CANARD AERO'!$F$24,((ROW('CANARD AERO'!$A117)-ROW('CANARD AERO'!$A$24))*$B$39/100),0)</f>
        <v>0.25</v>
      </c>
      <c r="AN138" s="207">
        <f ca="1">OFFSET('CANARD AERO'!$J$24,((ROW('CANARD AERO'!$A117)-ROW('CANARD AERO'!$A$24))*$B$39/100),0)</f>
        <v>5.9</v>
      </c>
      <c r="AO138" s="207">
        <f ca="1">OFFSET('CANARD AERO'!$N$24,((ROW('CANARD AERO'!$A117)-ROW('CANARD AERO'!$A$24))*$B$39/100),0)</f>
        <v>-0.15</v>
      </c>
      <c r="AP138" s="207">
        <f ca="1">OFFSET('CANARD AERO'!$O$24,((ROW('CANARD AERO'!$A117)-ROW('CANARD AERO'!$A$24))*$B$39/100),0)</f>
        <v>2.25</v>
      </c>
      <c r="AQ138" s="207">
        <f ca="1">OFFSET('CANARD AERO'!$P$24,((ROW('CANARD AERO'!$A117)-ROW('CANARD AERO'!$A$24))*$B$39/100),0)</f>
        <v>-1.65</v>
      </c>
      <c r="AR138" s="8">
        <f ca="1">OFFSET('CANARD AERO'!$M$24,((ROW('CANARD AERO'!$A117)-ROW('CANARD AERO'!$A$24))*$B$39/100),0)</f>
        <v>5.9690260418206069</v>
      </c>
    </row>
    <row r="139" spans="1:44" x14ac:dyDescent="0.25">
      <c r="A139">
        <f>Loads!A114</f>
        <v>94</v>
      </c>
      <c r="B139">
        <v>94</v>
      </c>
      <c r="C139">
        <f t="shared" si="19"/>
        <v>0.23129922000000003</v>
      </c>
      <c r="D139">
        <f>Loads!B114</f>
        <v>9.2519688000000002</v>
      </c>
      <c r="E139">
        <f t="shared" si="20"/>
        <v>0</v>
      </c>
      <c r="F139">
        <f t="shared" si="21"/>
        <v>0</v>
      </c>
      <c r="G139" s="560">
        <f>Stiffness!AQ138/144</f>
        <v>847.84949094440049</v>
      </c>
      <c r="H139" s="560">
        <f>Stiffness!AV138/144</f>
        <v>795.28330360705138</v>
      </c>
      <c r="I139">
        <v>0</v>
      </c>
      <c r="J139">
        <v>0</v>
      </c>
      <c r="K139">
        <v>0</v>
      </c>
      <c r="L139" s="560">
        <f>Stiffness!BC138/144</f>
        <v>704360.57515376632</v>
      </c>
      <c r="M139">
        <v>0</v>
      </c>
      <c r="N139">
        <v>0</v>
      </c>
      <c r="O139">
        <v>0</v>
      </c>
      <c r="P139">
        <v>0</v>
      </c>
      <c r="Q139">
        <v>0</v>
      </c>
      <c r="R139">
        <f>'Weight '!BT140*'Weight '!$E$36/Stiffness!D138</f>
        <v>1.5669785719191394</v>
      </c>
      <c r="S139">
        <f ca="1">'Weight '!BU140-$AL138*$AM138</f>
        <v>0.27823761018275767</v>
      </c>
      <c r="T139" s="2">
        <v>0</v>
      </c>
      <c r="U139">
        <v>0</v>
      </c>
      <c r="V139">
        <v>0</v>
      </c>
      <c r="W139">
        <v>0</v>
      </c>
      <c r="X139">
        <v>0</v>
      </c>
      <c r="Y139">
        <v>0</v>
      </c>
      <c r="Z139">
        <f ca="1">Stiffness!CV138-AL139*AM139</f>
        <v>0.12126625829665638</v>
      </c>
      <c r="AA139">
        <v>0</v>
      </c>
      <c r="AB139">
        <v>0</v>
      </c>
      <c r="AC139" s="207">
        <v>0</v>
      </c>
      <c r="AD139">
        <f t="shared" si="22"/>
        <v>2E-3</v>
      </c>
      <c r="AE139">
        <f t="shared" si="23"/>
        <v>2E-3</v>
      </c>
      <c r="AF139">
        <f t="shared" ca="1" si="24"/>
        <v>0</v>
      </c>
      <c r="AG139">
        <f t="shared" si="25"/>
        <v>0.10866142079999999</v>
      </c>
      <c r="AH139" s="565">
        <f>Sizing!AD154*(Sizing!CO154+Sizing!CP154) / (12^3)</f>
        <v>3.8030820075001616E-4</v>
      </c>
      <c r="AI139">
        <f t="shared" si="28"/>
        <v>0</v>
      </c>
      <c r="AJ139">
        <f t="shared" si="26"/>
        <v>0</v>
      </c>
      <c r="AK139">
        <f t="shared" si="27"/>
        <v>0</v>
      </c>
      <c r="AL139" s="207">
        <f>Loads!C114</f>
        <v>1.2073491199999999</v>
      </c>
      <c r="AM139">
        <f ca="1">OFFSET('CANARD AERO'!$F$24,((ROW('CANARD AERO'!$A118)-ROW('CANARD AERO'!$A$24))*$B$39/100),0)</f>
        <v>0.25</v>
      </c>
      <c r="AN139" s="207">
        <f ca="1">OFFSET('CANARD AERO'!$J$24,((ROW('CANARD AERO'!$A118)-ROW('CANARD AERO'!$A$24))*$B$39/100),0)</f>
        <v>5.9</v>
      </c>
      <c r="AO139" s="207">
        <f ca="1">OFFSET('CANARD AERO'!$N$24,((ROW('CANARD AERO'!$A118)-ROW('CANARD AERO'!$A$24))*$B$39/100),0)</f>
        <v>-0.15</v>
      </c>
      <c r="AP139" s="207">
        <f ca="1">OFFSET('CANARD AERO'!$O$24,((ROW('CANARD AERO'!$A118)-ROW('CANARD AERO'!$A$24))*$B$39/100),0)</f>
        <v>2.25</v>
      </c>
      <c r="AQ139" s="207">
        <f ca="1">OFFSET('CANARD AERO'!$P$24,((ROW('CANARD AERO'!$A118)-ROW('CANARD AERO'!$A$24))*$B$39/100),0)</f>
        <v>-1.65</v>
      </c>
      <c r="AR139" s="8">
        <f ca="1">OFFSET('CANARD AERO'!$M$24,((ROW('CANARD AERO'!$A118)-ROW('CANARD AERO'!$A$24))*$B$39/100),0)</f>
        <v>5.9690260418206069</v>
      </c>
    </row>
    <row r="140" spans="1:44" x14ac:dyDescent="0.25">
      <c r="A140">
        <f>Loads!A115</f>
        <v>95</v>
      </c>
      <c r="B140">
        <v>95</v>
      </c>
      <c r="C140">
        <f t="shared" si="19"/>
        <v>0.23375985000000002</v>
      </c>
      <c r="D140">
        <f>Loads!B115</f>
        <v>9.3503939999999997</v>
      </c>
      <c r="E140">
        <f t="shared" si="20"/>
        <v>0</v>
      </c>
      <c r="F140">
        <f t="shared" si="21"/>
        <v>0</v>
      </c>
      <c r="G140" s="560">
        <f>Stiffness!AQ139/144</f>
        <v>829.61373725099099</v>
      </c>
      <c r="H140" s="560">
        <f>Stiffness!AV139/144</f>
        <v>782.3695808944459</v>
      </c>
      <c r="I140">
        <v>0</v>
      </c>
      <c r="J140">
        <v>0</v>
      </c>
      <c r="K140">
        <v>0</v>
      </c>
      <c r="L140" s="560">
        <f>Stiffness!BC139/144</f>
        <v>687274.41488668509</v>
      </c>
      <c r="M140">
        <v>0</v>
      </c>
      <c r="N140">
        <v>0</v>
      </c>
      <c r="O140">
        <v>0</v>
      </c>
      <c r="P140">
        <v>0</v>
      </c>
      <c r="Q140">
        <v>0</v>
      </c>
      <c r="R140">
        <f>'Weight '!BT141*'Weight '!$E$36/Stiffness!D139</f>
        <v>1.5543067693150183</v>
      </c>
      <c r="S140">
        <f ca="1">'Weight '!BU141-$AL139*$AM139</f>
        <v>0.27594041034532102</v>
      </c>
      <c r="T140" s="2">
        <v>0</v>
      </c>
      <c r="U140">
        <v>0</v>
      </c>
      <c r="V140">
        <v>0</v>
      </c>
      <c r="W140">
        <v>0</v>
      </c>
      <c r="X140">
        <v>0</v>
      </c>
      <c r="Y140">
        <v>0</v>
      </c>
      <c r="Z140">
        <f ca="1">Stiffness!CV139-AL140*AM140</f>
        <v>0.12058521875716849</v>
      </c>
      <c r="AA140">
        <v>0</v>
      </c>
      <c r="AB140">
        <v>0</v>
      </c>
      <c r="AC140" s="207">
        <v>0</v>
      </c>
      <c r="AD140">
        <f t="shared" si="22"/>
        <v>2E-3</v>
      </c>
      <c r="AE140">
        <f t="shared" si="23"/>
        <v>2E-3</v>
      </c>
      <c r="AF140">
        <f t="shared" ca="1" si="24"/>
        <v>0</v>
      </c>
      <c r="AG140">
        <f t="shared" si="25"/>
        <v>0.10777559399999999</v>
      </c>
      <c r="AH140" s="565">
        <f>Sizing!AD155*(Sizing!CO155+Sizing!CP155) / (12^3)</f>
        <v>3.7413279806327465E-4</v>
      </c>
      <c r="AI140">
        <f t="shared" si="28"/>
        <v>0</v>
      </c>
      <c r="AJ140">
        <f t="shared" si="26"/>
        <v>0</v>
      </c>
      <c r="AK140">
        <f t="shared" si="27"/>
        <v>0</v>
      </c>
      <c r="AL140" s="207">
        <f>Loads!C115</f>
        <v>1.1975065999999999</v>
      </c>
      <c r="AM140">
        <f ca="1">OFFSET('CANARD AERO'!$F$24,((ROW('CANARD AERO'!$A119)-ROW('CANARD AERO'!$A$24))*$B$39/100),0)</f>
        <v>0.25</v>
      </c>
      <c r="AN140" s="207">
        <f ca="1">OFFSET('CANARD AERO'!$J$24,((ROW('CANARD AERO'!$A119)-ROW('CANARD AERO'!$A$24))*$B$39/100),0)</f>
        <v>5.9</v>
      </c>
      <c r="AO140" s="207">
        <f ca="1">OFFSET('CANARD AERO'!$N$24,((ROW('CANARD AERO'!$A119)-ROW('CANARD AERO'!$A$24))*$B$39/100),0)</f>
        <v>-0.15</v>
      </c>
      <c r="AP140" s="207">
        <f ca="1">OFFSET('CANARD AERO'!$O$24,((ROW('CANARD AERO'!$A119)-ROW('CANARD AERO'!$A$24))*$B$39/100),0)</f>
        <v>2.25</v>
      </c>
      <c r="AQ140" s="207">
        <f ca="1">OFFSET('CANARD AERO'!$P$24,((ROW('CANARD AERO'!$A119)-ROW('CANARD AERO'!$A$24))*$B$39/100),0)</f>
        <v>-1.65</v>
      </c>
      <c r="AR140" s="8">
        <f ca="1">OFFSET('CANARD AERO'!$M$24,((ROW('CANARD AERO'!$A119)-ROW('CANARD AERO'!$A$24))*$B$39/100),0)</f>
        <v>5.9690260418206069</v>
      </c>
    </row>
    <row r="141" spans="1:44" x14ac:dyDescent="0.25">
      <c r="A141">
        <f>Loads!A116</f>
        <v>96</v>
      </c>
      <c r="B141">
        <v>96</v>
      </c>
      <c r="C141">
        <f t="shared" ref="C141:C145" si="29">B141/$B$145*($B$8-$B$7)</f>
        <v>0.23622048000000001</v>
      </c>
      <c r="D141">
        <f>Loads!B116</f>
        <v>9.4488192000000009</v>
      </c>
      <c r="E141">
        <f t="shared" ref="E141:E145" si="30">D141/$D$145*($D$8-$D$7)</f>
        <v>0</v>
      </c>
      <c r="F141">
        <f t="shared" si="21"/>
        <v>0</v>
      </c>
      <c r="G141" s="560">
        <f>Stiffness!AQ140/144</f>
        <v>811.57623084710337</v>
      </c>
      <c r="H141" s="560">
        <f>Stiffness!AV140/144</f>
        <v>769.56156396120696</v>
      </c>
      <c r="I141">
        <v>0</v>
      </c>
      <c r="J141">
        <v>0</v>
      </c>
      <c r="K141">
        <v>0</v>
      </c>
      <c r="L141" s="560">
        <f>Stiffness!BC140/144</f>
        <v>670466.82709777029</v>
      </c>
      <c r="M141">
        <v>0</v>
      </c>
      <c r="N141">
        <v>0</v>
      </c>
      <c r="O141">
        <v>0</v>
      </c>
      <c r="P141">
        <v>0</v>
      </c>
      <c r="Q141">
        <v>0</v>
      </c>
      <c r="R141">
        <f>'Weight '!BT142*'Weight '!$E$36/Stiffness!D140</f>
        <v>1.5416349667108977</v>
      </c>
      <c r="S141">
        <f ca="1">'Weight '!BU142-$AL140*$AM140</f>
        <v>0.27364321170071521</v>
      </c>
      <c r="T141" s="2">
        <v>0</v>
      </c>
      <c r="U141">
        <v>0</v>
      </c>
      <c r="V141">
        <v>0</v>
      </c>
      <c r="W141">
        <v>0</v>
      </c>
      <c r="X141">
        <v>0</v>
      </c>
      <c r="Y141">
        <v>0</v>
      </c>
      <c r="Z141">
        <f ca="1">Stiffness!CV140-AL141*AM141</f>
        <v>0.11990528383529048</v>
      </c>
      <c r="AA141">
        <v>0</v>
      </c>
      <c r="AB141">
        <v>0</v>
      </c>
      <c r="AC141" s="207">
        <v>0</v>
      </c>
      <c r="AD141">
        <f t="shared" si="22"/>
        <v>2E-3</v>
      </c>
      <c r="AE141">
        <f t="shared" si="23"/>
        <v>2E-3</v>
      </c>
      <c r="AF141">
        <f t="shared" ca="1" si="24"/>
        <v>0</v>
      </c>
      <c r="AG141">
        <f t="shared" si="25"/>
        <v>0.1068897672</v>
      </c>
      <c r="AH141" s="565">
        <f>Sizing!AD156*(Sizing!CO156+Sizing!CP156) / (12^3)</f>
        <v>3.680079443753332E-4</v>
      </c>
      <c r="AI141">
        <f t="shared" si="28"/>
        <v>0</v>
      </c>
      <c r="AJ141">
        <f t="shared" si="26"/>
        <v>0</v>
      </c>
      <c r="AK141">
        <f t="shared" si="27"/>
        <v>0</v>
      </c>
      <c r="AL141" s="207">
        <f>Loads!C116</f>
        <v>1.18766408</v>
      </c>
      <c r="AM141">
        <f ca="1">OFFSET('CANARD AERO'!$F$24,((ROW('CANARD AERO'!$A120)-ROW('CANARD AERO'!$A$24))*$B$39/100),0)</f>
        <v>0.25</v>
      </c>
      <c r="AN141" s="207">
        <f ca="1">OFFSET('CANARD AERO'!$J$24,((ROW('CANARD AERO'!$A120)-ROW('CANARD AERO'!$A$24))*$B$39/100),0)</f>
        <v>5.9</v>
      </c>
      <c r="AO141" s="207">
        <f ca="1">OFFSET('CANARD AERO'!$N$24,((ROW('CANARD AERO'!$A120)-ROW('CANARD AERO'!$A$24))*$B$39/100),0)</f>
        <v>-0.15</v>
      </c>
      <c r="AP141" s="207">
        <f ca="1">OFFSET('CANARD AERO'!$O$24,((ROW('CANARD AERO'!$A120)-ROW('CANARD AERO'!$A$24))*$B$39/100),0)</f>
        <v>2.25</v>
      </c>
      <c r="AQ141" s="207">
        <f ca="1">OFFSET('CANARD AERO'!$P$24,((ROW('CANARD AERO'!$A120)-ROW('CANARD AERO'!$A$24))*$B$39/100),0)</f>
        <v>-1.65</v>
      </c>
      <c r="AR141" s="8">
        <f ca="1">OFFSET('CANARD AERO'!$M$24,((ROW('CANARD AERO'!$A120)-ROW('CANARD AERO'!$A$24))*$B$39/100),0)</f>
        <v>5.9690260418206069</v>
      </c>
    </row>
    <row r="142" spans="1:44" x14ac:dyDescent="0.25">
      <c r="A142">
        <f>Loads!A117</f>
        <v>97</v>
      </c>
      <c r="B142">
        <v>97</v>
      </c>
      <c r="C142">
        <f t="shared" si="29"/>
        <v>0.23868111000000003</v>
      </c>
      <c r="D142">
        <f>Loads!B117</f>
        <v>9.5472444000000003</v>
      </c>
      <c r="E142">
        <f t="shared" si="30"/>
        <v>0</v>
      </c>
      <c r="F142">
        <f t="shared" si="21"/>
        <v>0</v>
      </c>
      <c r="G142" s="560">
        <f>Stiffness!AQ141/144</f>
        <v>793.73697173273888</v>
      </c>
      <c r="H142" s="560">
        <f>Stiffness!AV141/144</f>
        <v>756.85925280733397</v>
      </c>
      <c r="I142">
        <v>0</v>
      </c>
      <c r="J142">
        <v>0</v>
      </c>
      <c r="K142">
        <v>0</v>
      </c>
      <c r="L142" s="560">
        <f>Stiffness!BC141/144</f>
        <v>653935.52215021744</v>
      </c>
      <c r="M142">
        <v>0</v>
      </c>
      <c r="N142">
        <v>0</v>
      </c>
      <c r="O142">
        <v>0</v>
      </c>
      <c r="P142">
        <v>0</v>
      </c>
      <c r="Q142">
        <v>0</v>
      </c>
      <c r="R142">
        <f>'Weight '!BT143*'Weight '!$E$36/Stiffness!D141</f>
        <v>1.5289631641067771</v>
      </c>
      <c r="S142">
        <f ca="1">'Weight '!BU143-$AL141*$AM141</f>
        <v>0.27134601427859778</v>
      </c>
      <c r="T142" s="2">
        <v>0</v>
      </c>
      <c r="U142">
        <v>0</v>
      </c>
      <c r="V142">
        <v>0</v>
      </c>
      <c r="W142">
        <v>0</v>
      </c>
      <c r="X142">
        <v>0</v>
      </c>
      <c r="Y142">
        <v>0</v>
      </c>
      <c r="Z142">
        <f ca="1">Stiffness!CV141-AL142*AM142</f>
        <v>0.11922641976972981</v>
      </c>
      <c r="AA142">
        <v>0</v>
      </c>
      <c r="AB142">
        <v>0</v>
      </c>
      <c r="AC142" s="207">
        <v>0</v>
      </c>
      <c r="AD142">
        <f t="shared" si="22"/>
        <v>2E-3</v>
      </c>
      <c r="AE142">
        <f t="shared" si="23"/>
        <v>2E-3</v>
      </c>
      <c r="AF142">
        <f t="shared" ca="1" si="24"/>
        <v>0</v>
      </c>
      <c r="AG142">
        <f t="shared" si="25"/>
        <v>0.1060039404</v>
      </c>
      <c r="AH142" s="565">
        <f>Sizing!AD157*(Sizing!CO157+Sizing!CP157) / (12^3)</f>
        <v>3.6193363968619181E-4</v>
      </c>
      <c r="AI142">
        <f t="shared" si="28"/>
        <v>0</v>
      </c>
      <c r="AJ142">
        <f t="shared" si="26"/>
        <v>0</v>
      </c>
      <c r="AK142">
        <f t="shared" si="27"/>
        <v>0</v>
      </c>
      <c r="AL142" s="207">
        <f>Loads!C117</f>
        <v>1.1778215599999999</v>
      </c>
      <c r="AM142">
        <f ca="1">OFFSET('CANARD AERO'!$F$24,((ROW('CANARD AERO'!$A121)-ROW('CANARD AERO'!$A$24))*$B$39/100),0)</f>
        <v>0.25</v>
      </c>
      <c r="AN142" s="207">
        <f ca="1">OFFSET('CANARD AERO'!$J$24,((ROW('CANARD AERO'!$A121)-ROW('CANARD AERO'!$A$24))*$B$39/100),0)</f>
        <v>5.9</v>
      </c>
      <c r="AO142" s="207">
        <f ca="1">OFFSET('CANARD AERO'!$N$24,((ROW('CANARD AERO'!$A121)-ROW('CANARD AERO'!$A$24))*$B$39/100),0)</f>
        <v>-0.15</v>
      </c>
      <c r="AP142" s="207">
        <f ca="1">OFFSET('CANARD AERO'!$O$24,((ROW('CANARD AERO'!$A121)-ROW('CANARD AERO'!$A$24))*$B$39/100),0)</f>
        <v>2.25</v>
      </c>
      <c r="AQ142" s="207">
        <f ca="1">OFFSET('CANARD AERO'!$P$24,((ROW('CANARD AERO'!$A121)-ROW('CANARD AERO'!$A$24))*$B$39/100),0)</f>
        <v>-1.65</v>
      </c>
      <c r="AR142" s="8">
        <f ca="1">OFFSET('CANARD AERO'!$M$24,((ROW('CANARD AERO'!$A121)-ROW('CANARD AERO'!$A$24))*$B$39/100),0)</f>
        <v>5.9690260418206069</v>
      </c>
    </row>
    <row r="143" spans="1:44" x14ac:dyDescent="0.25">
      <c r="A143">
        <f>Loads!A118</f>
        <v>98</v>
      </c>
      <c r="B143">
        <v>98</v>
      </c>
      <c r="C143">
        <f t="shared" si="29"/>
        <v>0.24114174000000002</v>
      </c>
      <c r="D143">
        <f>Loads!B118</f>
        <v>9.6456695999999997</v>
      </c>
      <c r="E143">
        <f t="shared" si="30"/>
        <v>0</v>
      </c>
      <c r="F143">
        <f t="shared" si="21"/>
        <v>0</v>
      </c>
      <c r="G143" s="560">
        <f>Stiffness!AQ142/144</f>
        <v>776.0959599078966</v>
      </c>
      <c r="H143" s="560">
        <f>Stiffness!AV142/144</f>
        <v>744.26264743282775</v>
      </c>
      <c r="I143">
        <v>0</v>
      </c>
      <c r="J143">
        <v>0</v>
      </c>
      <c r="K143">
        <v>0</v>
      </c>
      <c r="L143" s="560">
        <f>Stiffness!BC142/144</f>
        <v>637678.21040721796</v>
      </c>
      <c r="M143">
        <v>0</v>
      </c>
      <c r="N143">
        <v>0</v>
      </c>
      <c r="O143">
        <v>0</v>
      </c>
      <c r="P143">
        <v>0</v>
      </c>
      <c r="Q143">
        <v>0</v>
      </c>
      <c r="R143">
        <f>'Weight '!BT144*'Weight '!$E$36/Stiffness!D142</f>
        <v>1.5162913615026561</v>
      </c>
      <c r="S143">
        <f ca="1">'Weight '!BU144-$AL142*$AM142</f>
        <v>0.26904881810961856</v>
      </c>
      <c r="T143" s="2">
        <v>0</v>
      </c>
      <c r="U143">
        <v>0</v>
      </c>
      <c r="V143">
        <v>0</v>
      </c>
      <c r="W143">
        <v>0</v>
      </c>
      <c r="X143">
        <v>0</v>
      </c>
      <c r="Y143">
        <v>0</v>
      </c>
      <c r="Z143">
        <f ca="1">Stiffness!CV142-AL143*AM143</f>
        <v>0.11854859142322166</v>
      </c>
      <c r="AA143">
        <v>0</v>
      </c>
      <c r="AB143">
        <v>0</v>
      </c>
      <c r="AC143" s="207">
        <v>0</v>
      </c>
      <c r="AD143">
        <f t="shared" si="22"/>
        <v>2E-3</v>
      </c>
      <c r="AE143">
        <f t="shared" si="23"/>
        <v>2E-3</v>
      </c>
      <c r="AF143">
        <f t="shared" ca="1" si="24"/>
        <v>0</v>
      </c>
      <c r="AG143">
        <f t="shared" si="25"/>
        <v>0.10511811359999998</v>
      </c>
      <c r="AH143" s="565">
        <f>Sizing!AD158*(Sizing!CO158+Sizing!CP158) / (12^3)</f>
        <v>3.5590988399585043E-4</v>
      </c>
      <c r="AI143">
        <f t="shared" si="28"/>
        <v>0</v>
      </c>
      <c r="AJ143">
        <f t="shared" si="26"/>
        <v>0</v>
      </c>
      <c r="AK143">
        <f t="shared" si="27"/>
        <v>0</v>
      </c>
      <c r="AL143" s="207">
        <f>Loads!C118</f>
        <v>1.1679790399999999</v>
      </c>
      <c r="AM143">
        <f ca="1">OFFSET('CANARD AERO'!$F$24,((ROW('CANARD AERO'!$A122)-ROW('CANARD AERO'!$A$24))*$B$39/100),0)</f>
        <v>0.25</v>
      </c>
      <c r="AN143" s="207">
        <f ca="1">OFFSET('CANARD AERO'!$J$24,((ROW('CANARD AERO'!$A122)-ROW('CANARD AERO'!$A$24))*$B$39/100),0)</f>
        <v>5.9</v>
      </c>
      <c r="AO143" s="207">
        <f ca="1">OFFSET('CANARD AERO'!$N$24,((ROW('CANARD AERO'!$A122)-ROW('CANARD AERO'!$A$24))*$B$39/100),0)</f>
        <v>-0.15</v>
      </c>
      <c r="AP143" s="207">
        <f ca="1">OFFSET('CANARD AERO'!$O$24,((ROW('CANARD AERO'!$A122)-ROW('CANARD AERO'!$A$24))*$B$39/100),0)</f>
        <v>2.25</v>
      </c>
      <c r="AQ143" s="207">
        <f ca="1">OFFSET('CANARD AERO'!$P$24,((ROW('CANARD AERO'!$A122)-ROW('CANARD AERO'!$A$24))*$B$39/100),0)</f>
        <v>-1.65</v>
      </c>
      <c r="AR143" s="8">
        <f ca="1">OFFSET('CANARD AERO'!$M$24,((ROW('CANARD AERO'!$A122)-ROW('CANARD AERO'!$A$24))*$B$39/100),0)</f>
        <v>5.9690260418206069</v>
      </c>
    </row>
    <row r="144" spans="1:44" x14ac:dyDescent="0.25">
      <c r="A144">
        <f>Loads!A119</f>
        <v>99</v>
      </c>
      <c r="B144">
        <v>99</v>
      </c>
      <c r="C144">
        <f t="shared" si="29"/>
        <v>0.24360237000000004</v>
      </c>
      <c r="D144">
        <f>Loads!B119</f>
        <v>9.7440948000000009</v>
      </c>
      <c r="E144">
        <f t="shared" si="30"/>
        <v>0</v>
      </c>
      <c r="F144">
        <f t="shared" si="21"/>
        <v>0</v>
      </c>
      <c r="G144" s="560">
        <f>Stiffness!AQ143/144</f>
        <v>758.6531953725771</v>
      </c>
      <c r="H144" s="560">
        <f>Stiffness!AV143/144</f>
        <v>731.77174783768805</v>
      </c>
      <c r="I144">
        <v>0</v>
      </c>
      <c r="J144">
        <v>0</v>
      </c>
      <c r="K144">
        <v>0</v>
      </c>
      <c r="L144" s="560">
        <f>Stiffness!BC143/144</f>
        <v>621692.60223196563</v>
      </c>
      <c r="M144">
        <v>0</v>
      </c>
      <c r="N144">
        <v>0</v>
      </c>
      <c r="O144">
        <v>0</v>
      </c>
      <c r="P144">
        <v>0</v>
      </c>
      <c r="Q144">
        <v>0</v>
      </c>
      <c r="R144">
        <f>'Weight '!BT145*'Weight '!$E$36/Stiffness!D143</f>
        <v>1.5036195588985353</v>
      </c>
      <c r="S144">
        <f ca="1">'Weight '!BU145-$AL143*$AM143</f>
        <v>0.26675162322546059</v>
      </c>
      <c r="T144" s="2">
        <v>0</v>
      </c>
      <c r="U144">
        <v>0</v>
      </c>
      <c r="V144">
        <v>0</v>
      </c>
      <c r="W144">
        <v>0</v>
      </c>
      <c r="X144">
        <v>0</v>
      </c>
      <c r="Y144">
        <v>0</v>
      </c>
      <c r="Z144">
        <f ca="1">Stiffness!CV143-AL144*AM144</f>
        <v>0.11787176224717394</v>
      </c>
      <c r="AA144">
        <v>0</v>
      </c>
      <c r="AB144">
        <v>0</v>
      </c>
      <c r="AC144" s="207">
        <v>0</v>
      </c>
      <c r="AD144">
        <f t="shared" si="22"/>
        <v>2E-3</v>
      </c>
      <c r="AE144">
        <f t="shared" si="23"/>
        <v>2E-3</v>
      </c>
      <c r="AF144">
        <f t="shared" ca="1" si="24"/>
        <v>0</v>
      </c>
      <c r="AG144">
        <f t="shared" si="25"/>
        <v>0.10423228679999999</v>
      </c>
      <c r="AH144" s="565">
        <f>Sizing!AD159*(Sizing!CO159+Sizing!CP159) / (12^3)</f>
        <v>3.4993667730430912E-4</v>
      </c>
      <c r="AI144">
        <f t="shared" si="28"/>
        <v>0</v>
      </c>
      <c r="AJ144">
        <f t="shared" si="26"/>
        <v>0</v>
      </c>
      <c r="AK144">
        <f t="shared" si="27"/>
        <v>0</v>
      </c>
      <c r="AL144" s="207">
        <f>Loads!C119</f>
        <v>1.15813652</v>
      </c>
      <c r="AM144">
        <f ca="1">OFFSET('CANARD AERO'!$F$24,((ROW('CANARD AERO'!$A123)-ROW('CANARD AERO'!$A$24))*$B$39/100),0)</f>
        <v>0.25</v>
      </c>
      <c r="AN144" s="207">
        <f ca="1">OFFSET('CANARD AERO'!$J$24,((ROW('CANARD AERO'!$A123)-ROW('CANARD AERO'!$A$24))*$B$39/100),0)</f>
        <v>5.9</v>
      </c>
      <c r="AO144" s="207">
        <f ca="1">OFFSET('CANARD AERO'!$N$24,((ROW('CANARD AERO'!$A123)-ROW('CANARD AERO'!$A$24))*$B$39/100),0)</f>
        <v>-0.15</v>
      </c>
      <c r="AP144" s="207">
        <f ca="1">OFFSET('CANARD AERO'!$O$24,((ROW('CANARD AERO'!$A123)-ROW('CANARD AERO'!$A$24))*$B$39/100),0)</f>
        <v>2.25</v>
      </c>
      <c r="AQ144" s="207">
        <f ca="1">OFFSET('CANARD AERO'!$P$24,((ROW('CANARD AERO'!$A123)-ROW('CANARD AERO'!$A$24))*$B$39/100),0)</f>
        <v>-1.65</v>
      </c>
      <c r="AR144" s="8">
        <f ca="1">OFFSET('CANARD AERO'!$M$24,((ROW('CANARD AERO'!$A123)-ROW('CANARD AERO'!$A$24))*$B$39/100),0)</f>
        <v>5.9690260418206069</v>
      </c>
    </row>
    <row r="145" spans="1:44" x14ac:dyDescent="0.25">
      <c r="A145">
        <f>Loads!A120</f>
        <v>100</v>
      </c>
      <c r="B145">
        <v>100</v>
      </c>
      <c r="C145">
        <f t="shared" si="29"/>
        <v>0.24606300000000003</v>
      </c>
      <c r="D145">
        <f>Loads!B120</f>
        <v>9.8425200000000004</v>
      </c>
      <c r="E145">
        <f t="shared" si="30"/>
        <v>0</v>
      </c>
      <c r="F145">
        <f t="shared" si="21"/>
        <v>0</v>
      </c>
      <c r="G145" s="560">
        <f>Stiffness!AQ144/144</f>
        <v>741.40867812678061</v>
      </c>
      <c r="H145" s="560">
        <f>Stiffness!AV144/144</f>
        <v>719.386554021915</v>
      </c>
      <c r="I145">
        <v>0</v>
      </c>
      <c r="J145">
        <v>0</v>
      </c>
      <c r="K145">
        <v>0</v>
      </c>
      <c r="L145" s="560">
        <f>Stiffness!BC144/144</f>
        <v>605976.40798765339</v>
      </c>
      <c r="M145">
        <v>0</v>
      </c>
      <c r="N145">
        <v>0</v>
      </c>
      <c r="O145">
        <v>0</v>
      </c>
      <c r="P145">
        <v>0</v>
      </c>
      <c r="Q145">
        <v>0</v>
      </c>
      <c r="R145">
        <f>'Weight '!BT146*'Weight '!$E$36/Stiffness!D144</f>
        <v>1.4909477562944149</v>
      </c>
      <c r="S145">
        <f ca="1">'Weight '!BU146-$AL144*$AM144</f>
        <v>0.26445442965888227</v>
      </c>
      <c r="T145" s="2">
        <v>0</v>
      </c>
      <c r="U145">
        <v>0</v>
      </c>
      <c r="V145">
        <v>0</v>
      </c>
      <c r="W145">
        <v>0</v>
      </c>
      <c r="X145">
        <v>0</v>
      </c>
      <c r="Y145">
        <v>0</v>
      </c>
      <c r="Z145">
        <f ca="1">Stiffness!CV144-AL145*AM145</f>
        <v>0.1171958942452539</v>
      </c>
      <c r="AA145">
        <v>0</v>
      </c>
      <c r="AB145">
        <v>0</v>
      </c>
      <c r="AC145" s="207">
        <v>0</v>
      </c>
      <c r="AD145">
        <f t="shared" si="22"/>
        <v>2E-3</v>
      </c>
      <c r="AE145">
        <f t="shared" si="23"/>
        <v>2E-3</v>
      </c>
      <c r="AF145">
        <f t="shared" ca="1" si="24"/>
        <v>0</v>
      </c>
      <c r="AG145">
        <f t="shared" si="25"/>
        <v>0.10334645999999999</v>
      </c>
      <c r="AH145" s="565">
        <f>Sizing!AD160*(Sizing!CO160+Sizing!CP160) / (12^3)</f>
        <v>3.4401401961156797E-4</v>
      </c>
      <c r="AI145">
        <f t="shared" si="28"/>
        <v>0</v>
      </c>
      <c r="AJ145">
        <f t="shared" si="26"/>
        <v>0</v>
      </c>
      <c r="AK145">
        <f t="shared" si="27"/>
        <v>0</v>
      </c>
      <c r="AL145" s="207">
        <f>Loads!C120</f>
        <v>1.1482939999999999</v>
      </c>
      <c r="AM145">
        <f ca="1">AM144</f>
        <v>0.25</v>
      </c>
      <c r="AN145">
        <f t="shared" ref="AN145:AR145" ca="1" si="31">AN144</f>
        <v>5.9</v>
      </c>
      <c r="AO145">
        <f t="shared" ca="1" si="31"/>
        <v>-0.15</v>
      </c>
      <c r="AP145">
        <f t="shared" ca="1" si="31"/>
        <v>2.25</v>
      </c>
      <c r="AQ145">
        <f t="shared" ca="1" si="31"/>
        <v>-1.65</v>
      </c>
      <c r="AR145">
        <f t="shared" ca="1" si="31"/>
        <v>5.9690260418206069</v>
      </c>
    </row>
    <row r="146" spans="1:44" x14ac:dyDescent="0.25">
      <c r="AL146" s="207"/>
    </row>
    <row r="147" spans="1:44" x14ac:dyDescent="0.25">
      <c r="AL147" s="207"/>
    </row>
    <row r="148" spans="1:44" x14ac:dyDescent="0.25">
      <c r="A148" s="4"/>
      <c r="AL148" s="207"/>
    </row>
    <row r="149" spans="1:44" x14ac:dyDescent="0.25">
      <c r="B149" s="2"/>
      <c r="F149" s="4"/>
    </row>
    <row r="150" spans="1:44" x14ac:dyDescent="0.2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row>
    <row r="151" spans="1:44" x14ac:dyDescent="0.2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row>
    <row r="152" spans="1:44" x14ac:dyDescent="0.2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row>
    <row r="153" spans="1:44" x14ac:dyDescent="0.2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row>
    <row r="154" spans="1:44" x14ac:dyDescent="0.2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row>
    <row r="155" spans="1:44" x14ac:dyDescent="0.2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row>
    <row r="156" spans="1:44" x14ac:dyDescent="0.2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row>
    <row r="157" spans="1:44" x14ac:dyDescent="0.2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row>
    <row r="158" spans="1:44" x14ac:dyDescent="0.2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row>
    <row r="159" spans="1:44" x14ac:dyDescent="0.2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row>
    <row r="160" spans="1:44" x14ac:dyDescent="0.2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row>
    <row r="161" spans="1:44" x14ac:dyDescent="0.2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row>
    <row r="162" spans="1:44" x14ac:dyDescent="0.2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row>
    <row r="163" spans="1:44" x14ac:dyDescent="0.2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row>
    <row r="164" spans="1:44" x14ac:dyDescent="0.2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row>
    <row r="165" spans="1:44" x14ac:dyDescent="0.2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row>
    <row r="166" spans="1:44" x14ac:dyDescent="0.2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row>
    <row r="167" spans="1:44" x14ac:dyDescent="0.2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row>
    <row r="168" spans="1:44" x14ac:dyDescent="0.2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row>
    <row r="169" spans="1:44" x14ac:dyDescent="0.2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row>
    <row r="170" spans="1:44" x14ac:dyDescent="0.2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row>
    <row r="171" spans="1:44" x14ac:dyDescent="0.2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row>
    <row r="172" spans="1:44" x14ac:dyDescent="0.25">
      <c r="A172" s="566"/>
      <c r="B172" s="566"/>
      <c r="C172" s="566"/>
      <c r="D172" s="566"/>
      <c r="E172" s="566"/>
      <c r="F172" s="566"/>
      <c r="G172" s="566"/>
      <c r="H172" s="566"/>
      <c r="I172" s="566"/>
      <c r="J172" s="566"/>
      <c r="K172" s="566"/>
      <c r="L172" s="566"/>
      <c r="M172" s="566"/>
      <c r="N172" s="566"/>
      <c r="O172" s="566"/>
      <c r="P172" s="566"/>
      <c r="Q172" s="566"/>
      <c r="R172" s="566"/>
      <c r="S172" s="566"/>
      <c r="T172" s="566"/>
      <c r="U172" s="566"/>
      <c r="V172" s="566"/>
      <c r="W172" s="566"/>
      <c r="X172" s="566"/>
      <c r="Y172" s="566"/>
      <c r="Z172" s="566"/>
      <c r="AA172" s="566"/>
      <c r="AB172" s="566"/>
      <c r="AC172" s="566"/>
      <c r="AD172" s="566"/>
      <c r="AE172" s="566"/>
      <c r="AF172" s="566"/>
      <c r="AG172" s="566"/>
      <c r="AH172" s="566"/>
      <c r="AI172" s="566"/>
      <c r="AJ172" s="566"/>
      <c r="AK172" s="566"/>
      <c r="AL172" s="566"/>
      <c r="AM172" s="566"/>
      <c r="AN172" s="566"/>
      <c r="AO172" s="566"/>
      <c r="AP172" s="566"/>
      <c r="AQ172" s="566"/>
      <c r="AR172" s="566"/>
    </row>
    <row r="173" spans="1:44" x14ac:dyDescent="0.25">
      <c r="A173" s="566"/>
      <c r="B173" s="566"/>
      <c r="C173" s="566"/>
      <c r="D173" s="566"/>
      <c r="E173" s="566"/>
      <c r="F173" s="566"/>
      <c r="G173" s="566"/>
      <c r="H173" s="566"/>
      <c r="I173" s="566"/>
      <c r="J173" s="566"/>
      <c r="K173" s="566"/>
      <c r="L173" s="566"/>
      <c r="M173" s="566"/>
      <c r="N173" s="566"/>
      <c r="O173" s="566"/>
      <c r="P173" s="566"/>
      <c r="Q173" s="566"/>
      <c r="R173" s="566"/>
      <c r="S173" s="566"/>
      <c r="T173" s="566"/>
      <c r="U173" s="566"/>
      <c r="V173" s="566"/>
      <c r="W173" s="566"/>
      <c r="X173" s="566"/>
      <c r="Y173" s="566"/>
      <c r="Z173" s="566"/>
      <c r="AA173" s="566"/>
      <c r="AB173" s="566"/>
      <c r="AC173" s="566"/>
      <c r="AD173" s="566"/>
      <c r="AE173" s="566"/>
      <c r="AF173" s="566"/>
      <c r="AG173" s="566"/>
      <c r="AH173" s="566"/>
      <c r="AI173" s="566"/>
      <c r="AJ173" s="566"/>
      <c r="AK173" s="566"/>
      <c r="AL173" s="566"/>
      <c r="AM173" s="566"/>
      <c r="AN173" s="566"/>
      <c r="AO173" s="566"/>
      <c r="AP173" s="566"/>
      <c r="AQ173" s="566"/>
      <c r="AR173" s="566"/>
    </row>
    <row r="174" spans="1:44" x14ac:dyDescent="0.25">
      <c r="A174" s="566"/>
      <c r="B174" s="566"/>
      <c r="C174" s="566"/>
      <c r="D174" s="566"/>
      <c r="E174" s="566"/>
      <c r="F174" s="566"/>
      <c r="G174" s="566"/>
      <c r="H174" s="566"/>
      <c r="I174" s="566"/>
      <c r="J174" s="566"/>
      <c r="K174" s="566"/>
      <c r="L174" s="566"/>
      <c r="M174" s="566"/>
      <c r="N174" s="566"/>
      <c r="O174" s="566"/>
      <c r="P174" s="566"/>
      <c r="Q174" s="566"/>
      <c r="R174" s="566"/>
      <c r="S174" s="566"/>
      <c r="T174" s="566"/>
      <c r="U174" s="566"/>
      <c r="V174" s="566"/>
      <c r="W174" s="566"/>
      <c r="X174" s="566"/>
      <c r="Y174" s="566"/>
      <c r="Z174" s="566"/>
      <c r="AA174" s="566"/>
      <c r="AB174" s="566"/>
      <c r="AC174" s="566"/>
      <c r="AD174" s="566"/>
      <c r="AE174" s="566"/>
      <c r="AF174" s="566"/>
      <c r="AG174" s="566"/>
      <c r="AH174" s="566"/>
      <c r="AI174" s="566"/>
      <c r="AJ174" s="566"/>
      <c r="AK174" s="566"/>
      <c r="AL174" s="566"/>
      <c r="AM174" s="566"/>
      <c r="AN174" s="566"/>
      <c r="AO174" s="566"/>
      <c r="AP174" s="566"/>
      <c r="AQ174" s="566"/>
      <c r="AR174" s="566"/>
    </row>
    <row r="175" spans="1:44" x14ac:dyDescent="0.25">
      <c r="A175" s="566"/>
      <c r="B175" s="566"/>
      <c r="C175" s="566"/>
      <c r="D175" s="566"/>
      <c r="E175" s="566"/>
      <c r="F175" s="566"/>
      <c r="G175" s="566"/>
      <c r="H175" s="566"/>
      <c r="I175" s="566"/>
      <c r="J175" s="566"/>
      <c r="K175" s="566"/>
      <c r="L175" s="566"/>
      <c r="M175" s="566"/>
      <c r="N175" s="566"/>
      <c r="O175" s="566"/>
      <c r="P175" s="566"/>
      <c r="Q175" s="566"/>
      <c r="R175" s="566"/>
      <c r="S175" s="566"/>
      <c r="T175" s="566"/>
      <c r="U175" s="566"/>
      <c r="V175" s="566"/>
      <c r="W175" s="566"/>
      <c r="X175" s="566"/>
      <c r="Y175" s="566"/>
      <c r="Z175" s="566"/>
      <c r="AA175" s="566"/>
      <c r="AB175" s="566"/>
      <c r="AC175" s="566"/>
      <c r="AD175" s="566"/>
      <c r="AE175" s="566"/>
      <c r="AF175" s="566"/>
      <c r="AG175" s="566"/>
      <c r="AH175" s="566"/>
      <c r="AI175" s="566"/>
      <c r="AJ175" s="566"/>
      <c r="AK175" s="566"/>
      <c r="AL175" s="566"/>
      <c r="AM175" s="566"/>
      <c r="AN175" s="566"/>
      <c r="AO175" s="566"/>
      <c r="AP175" s="566"/>
      <c r="AQ175" s="566"/>
      <c r="AR175" s="566"/>
    </row>
    <row r="176" spans="1:44" x14ac:dyDescent="0.25">
      <c r="A176" s="566"/>
      <c r="B176" s="566"/>
      <c r="C176" s="566"/>
      <c r="D176" s="566"/>
      <c r="E176" s="566"/>
      <c r="F176" s="566"/>
      <c r="G176" s="566"/>
      <c r="H176" s="566"/>
      <c r="I176" s="566"/>
      <c r="J176" s="566"/>
      <c r="K176" s="566"/>
      <c r="L176" s="566"/>
      <c r="M176" s="566"/>
      <c r="N176" s="566"/>
      <c r="O176" s="566"/>
      <c r="P176" s="566"/>
      <c r="Q176" s="566"/>
      <c r="R176" s="566"/>
      <c r="S176" s="566"/>
      <c r="T176" s="566"/>
      <c r="U176" s="566"/>
      <c r="V176" s="566"/>
      <c r="W176" s="566"/>
      <c r="X176" s="566"/>
      <c r="Y176" s="566"/>
      <c r="Z176" s="566"/>
      <c r="AA176" s="566"/>
      <c r="AB176" s="566"/>
      <c r="AC176" s="566"/>
      <c r="AD176" s="566"/>
      <c r="AE176" s="566"/>
      <c r="AF176" s="566"/>
      <c r="AG176" s="566"/>
      <c r="AH176" s="566"/>
      <c r="AI176" s="566"/>
      <c r="AJ176" s="566"/>
      <c r="AK176" s="566"/>
      <c r="AL176" s="566"/>
      <c r="AM176" s="566"/>
      <c r="AN176" s="566"/>
      <c r="AO176" s="566"/>
      <c r="AP176" s="566"/>
      <c r="AQ176" s="566"/>
      <c r="AR176" s="566"/>
    </row>
    <row r="177" spans="1:44" x14ac:dyDescent="0.25">
      <c r="A177" s="566"/>
      <c r="B177" s="566"/>
      <c r="C177" s="566"/>
      <c r="D177" s="566"/>
      <c r="E177" s="566"/>
      <c r="F177" s="566"/>
      <c r="G177" s="566"/>
      <c r="H177" s="566"/>
      <c r="I177" s="566"/>
      <c r="J177" s="566"/>
      <c r="K177" s="566"/>
      <c r="L177" s="566"/>
      <c r="M177" s="566"/>
      <c r="N177" s="566"/>
      <c r="O177" s="566"/>
      <c r="P177" s="566"/>
      <c r="Q177" s="566"/>
      <c r="R177" s="566"/>
      <c r="S177" s="566"/>
      <c r="T177" s="566"/>
      <c r="U177" s="566"/>
      <c r="V177" s="566"/>
      <c r="W177" s="566"/>
      <c r="X177" s="566"/>
      <c r="Y177" s="566"/>
      <c r="Z177" s="566"/>
      <c r="AA177" s="566"/>
      <c r="AB177" s="566"/>
      <c r="AC177" s="566"/>
      <c r="AD177" s="566"/>
      <c r="AE177" s="566"/>
      <c r="AF177" s="566"/>
      <c r="AG177" s="566"/>
      <c r="AH177" s="566"/>
      <c r="AI177" s="566"/>
      <c r="AJ177" s="566"/>
      <c r="AK177" s="566"/>
      <c r="AL177" s="566"/>
      <c r="AM177" s="566"/>
      <c r="AN177" s="566"/>
      <c r="AO177" s="566"/>
      <c r="AP177" s="566"/>
      <c r="AQ177" s="566"/>
      <c r="AR177" s="566"/>
    </row>
    <row r="178" spans="1:44" x14ac:dyDescent="0.25">
      <c r="A178" s="566"/>
      <c r="B178" s="566"/>
      <c r="C178" s="566"/>
      <c r="D178" s="566"/>
      <c r="E178" s="566"/>
      <c r="F178" s="566"/>
      <c r="G178" s="566"/>
      <c r="H178" s="566"/>
      <c r="I178" s="566"/>
      <c r="J178" s="566"/>
      <c r="K178" s="566"/>
      <c r="L178" s="566"/>
      <c r="M178" s="566"/>
      <c r="N178" s="566"/>
      <c r="O178" s="566"/>
      <c r="P178" s="566"/>
      <c r="Q178" s="566"/>
      <c r="R178" s="566"/>
      <c r="S178" s="566"/>
      <c r="T178" s="566"/>
      <c r="U178" s="566"/>
      <c r="V178" s="566"/>
      <c r="W178" s="566"/>
      <c r="X178" s="566"/>
      <c r="Y178" s="566"/>
      <c r="Z178" s="566"/>
      <c r="AA178" s="566"/>
      <c r="AB178" s="566"/>
      <c r="AC178" s="566"/>
      <c r="AD178" s="566"/>
      <c r="AE178" s="566"/>
      <c r="AF178" s="566"/>
      <c r="AG178" s="566"/>
      <c r="AH178" s="566"/>
      <c r="AI178" s="566"/>
      <c r="AJ178" s="566"/>
      <c r="AK178" s="566"/>
      <c r="AL178" s="566"/>
      <c r="AM178" s="566"/>
      <c r="AN178" s="566"/>
      <c r="AO178" s="566"/>
      <c r="AP178" s="566"/>
      <c r="AQ178" s="566"/>
      <c r="AR178" s="566"/>
    </row>
    <row r="179" spans="1:44" x14ac:dyDescent="0.25">
      <c r="A179" s="566"/>
      <c r="B179" s="566"/>
      <c r="C179" s="566"/>
      <c r="D179" s="566"/>
      <c r="E179" s="566"/>
      <c r="F179" s="566"/>
      <c r="G179" s="566"/>
      <c r="H179" s="566"/>
      <c r="I179" s="566"/>
      <c r="J179" s="566"/>
      <c r="K179" s="566"/>
      <c r="L179" s="566"/>
      <c r="M179" s="566"/>
      <c r="N179" s="566"/>
      <c r="O179" s="566"/>
      <c r="P179" s="566"/>
      <c r="Q179" s="566"/>
      <c r="R179" s="566"/>
      <c r="S179" s="566"/>
      <c r="T179" s="566"/>
      <c r="U179" s="566"/>
      <c r="V179" s="566"/>
      <c r="W179" s="566"/>
      <c r="X179" s="566"/>
      <c r="Y179" s="566"/>
      <c r="Z179" s="566"/>
      <c r="AA179" s="566"/>
      <c r="AB179" s="566"/>
      <c r="AC179" s="566"/>
      <c r="AD179" s="566"/>
      <c r="AE179" s="566"/>
      <c r="AF179" s="566"/>
      <c r="AG179" s="566"/>
      <c r="AH179" s="566"/>
      <c r="AI179" s="566"/>
      <c r="AJ179" s="566"/>
      <c r="AK179" s="566"/>
      <c r="AL179" s="566"/>
      <c r="AM179" s="566"/>
      <c r="AN179" s="566"/>
      <c r="AO179" s="566"/>
      <c r="AP179" s="566"/>
      <c r="AQ179" s="566"/>
      <c r="AR179" s="566"/>
    </row>
    <row r="180" spans="1:44" x14ac:dyDescent="0.25">
      <c r="A180" s="566"/>
      <c r="B180" s="566"/>
      <c r="C180" s="566"/>
      <c r="D180" s="566"/>
      <c r="E180" s="566"/>
      <c r="F180" s="566"/>
      <c r="G180" s="566"/>
      <c r="H180" s="566"/>
      <c r="I180" s="566"/>
      <c r="J180" s="566"/>
      <c r="K180" s="566"/>
      <c r="L180" s="566"/>
      <c r="M180" s="566"/>
      <c r="N180" s="566"/>
      <c r="O180" s="566"/>
      <c r="P180" s="566"/>
      <c r="Q180" s="566"/>
      <c r="R180" s="566"/>
      <c r="S180" s="566"/>
      <c r="T180" s="566"/>
      <c r="U180" s="566"/>
      <c r="V180" s="566"/>
      <c r="W180" s="566"/>
      <c r="X180" s="566"/>
      <c r="Y180" s="566"/>
      <c r="Z180" s="566"/>
      <c r="AA180" s="566"/>
      <c r="AB180" s="566"/>
      <c r="AC180" s="566"/>
      <c r="AD180" s="566"/>
      <c r="AE180" s="566"/>
      <c r="AF180" s="566"/>
      <c r="AG180" s="566"/>
      <c r="AH180" s="566"/>
      <c r="AI180" s="566"/>
      <c r="AJ180" s="566"/>
      <c r="AK180" s="566"/>
      <c r="AL180" s="566"/>
      <c r="AM180" s="566"/>
      <c r="AN180" s="566"/>
      <c r="AO180" s="566"/>
      <c r="AP180" s="566"/>
      <c r="AQ180" s="566"/>
      <c r="AR180" s="566"/>
    </row>
    <row r="181" spans="1:44" x14ac:dyDescent="0.25">
      <c r="A181" s="566"/>
      <c r="B181" s="566"/>
      <c r="C181" s="566"/>
      <c r="D181" s="566"/>
      <c r="E181" s="566"/>
      <c r="F181" s="566"/>
      <c r="G181" s="566"/>
      <c r="H181" s="566"/>
      <c r="I181" s="566"/>
      <c r="J181" s="566"/>
      <c r="K181" s="566"/>
      <c r="L181" s="566"/>
      <c r="M181" s="566"/>
      <c r="N181" s="566"/>
      <c r="O181" s="566"/>
      <c r="P181" s="566"/>
      <c r="Q181" s="566"/>
      <c r="R181" s="566"/>
      <c r="S181" s="566"/>
      <c r="T181" s="566"/>
      <c r="U181" s="566"/>
      <c r="V181" s="566"/>
      <c r="W181" s="566"/>
      <c r="X181" s="566"/>
      <c r="Y181" s="566"/>
      <c r="Z181" s="566"/>
      <c r="AA181" s="566"/>
      <c r="AB181" s="566"/>
      <c r="AC181" s="566"/>
      <c r="AD181" s="566"/>
      <c r="AE181" s="566"/>
      <c r="AF181" s="566"/>
      <c r="AG181" s="566"/>
      <c r="AH181" s="566"/>
      <c r="AI181" s="566"/>
      <c r="AJ181" s="566"/>
      <c r="AK181" s="566"/>
      <c r="AL181" s="566"/>
      <c r="AM181" s="566"/>
      <c r="AN181" s="566"/>
      <c r="AO181" s="566"/>
      <c r="AP181" s="566"/>
      <c r="AQ181" s="566"/>
      <c r="AR181" s="566"/>
    </row>
    <row r="182" spans="1:44" x14ac:dyDescent="0.25">
      <c r="A182" s="566"/>
      <c r="B182" s="566"/>
      <c r="C182" s="566"/>
      <c r="D182" s="566"/>
      <c r="E182" s="566"/>
      <c r="F182" s="566"/>
      <c r="G182" s="566"/>
      <c r="H182" s="566"/>
      <c r="I182" s="566"/>
      <c r="J182" s="566"/>
      <c r="K182" s="566"/>
      <c r="L182" s="566"/>
      <c r="M182" s="566"/>
      <c r="N182" s="566"/>
      <c r="O182" s="566"/>
      <c r="P182" s="566"/>
      <c r="Q182" s="566"/>
      <c r="R182" s="566"/>
      <c r="S182" s="566"/>
      <c r="T182" s="566"/>
      <c r="U182" s="566"/>
      <c r="V182" s="566"/>
      <c r="W182" s="566"/>
      <c r="X182" s="566"/>
      <c r="Y182" s="566"/>
      <c r="Z182" s="566"/>
      <c r="AA182" s="566"/>
      <c r="AB182" s="566"/>
      <c r="AC182" s="566"/>
      <c r="AD182" s="566"/>
      <c r="AE182" s="566"/>
      <c r="AF182" s="566"/>
      <c r="AG182" s="566"/>
      <c r="AH182" s="566"/>
      <c r="AI182" s="566"/>
      <c r="AJ182" s="566"/>
      <c r="AK182" s="566"/>
      <c r="AL182" s="566"/>
      <c r="AM182" s="566"/>
      <c r="AN182" s="566"/>
      <c r="AO182" s="566"/>
      <c r="AP182" s="566"/>
      <c r="AQ182" s="566"/>
      <c r="AR182" s="566"/>
    </row>
    <row r="183" spans="1:44" x14ac:dyDescent="0.25">
      <c r="A183" s="566"/>
      <c r="B183" s="566"/>
      <c r="C183" s="566"/>
      <c r="D183" s="566"/>
      <c r="E183" s="566"/>
      <c r="F183" s="566"/>
      <c r="G183" s="566"/>
      <c r="H183" s="566"/>
      <c r="I183" s="566"/>
      <c r="J183" s="566"/>
      <c r="K183" s="566"/>
      <c r="L183" s="566"/>
      <c r="M183" s="566"/>
      <c r="N183" s="566"/>
      <c r="O183" s="566"/>
      <c r="P183" s="566"/>
      <c r="Q183" s="566"/>
      <c r="R183" s="566"/>
      <c r="S183" s="566"/>
      <c r="T183" s="566"/>
      <c r="U183" s="566"/>
      <c r="V183" s="566"/>
      <c r="W183" s="566"/>
      <c r="X183" s="566"/>
      <c r="Y183" s="566"/>
      <c r="Z183" s="566"/>
      <c r="AA183" s="566"/>
      <c r="AB183" s="566"/>
      <c r="AC183" s="566"/>
      <c r="AD183" s="566"/>
      <c r="AE183" s="566"/>
      <c r="AF183" s="566"/>
      <c r="AG183" s="566"/>
      <c r="AH183" s="566"/>
      <c r="AI183" s="566"/>
      <c r="AJ183" s="566"/>
      <c r="AK183" s="566"/>
      <c r="AL183" s="566"/>
      <c r="AM183" s="566"/>
      <c r="AN183" s="566"/>
      <c r="AO183" s="566"/>
      <c r="AP183" s="566"/>
      <c r="AQ183" s="566"/>
      <c r="AR183" s="566"/>
    </row>
    <row r="184" spans="1:44" x14ac:dyDescent="0.25">
      <c r="A184" s="566"/>
      <c r="B184" s="566"/>
      <c r="C184" s="566"/>
      <c r="D184" s="566"/>
      <c r="E184" s="566"/>
      <c r="F184" s="566"/>
      <c r="G184" s="566"/>
      <c r="H184" s="566"/>
      <c r="I184" s="566"/>
      <c r="J184" s="566"/>
      <c r="K184" s="566"/>
      <c r="L184" s="566"/>
      <c r="M184" s="566"/>
      <c r="N184" s="566"/>
      <c r="O184" s="566"/>
      <c r="P184" s="566"/>
      <c r="Q184" s="566"/>
      <c r="R184" s="566"/>
      <c r="S184" s="566"/>
      <c r="T184" s="566"/>
      <c r="U184" s="566"/>
      <c r="V184" s="566"/>
      <c r="W184" s="566"/>
      <c r="X184" s="566"/>
      <c r="Y184" s="566"/>
      <c r="Z184" s="566"/>
      <c r="AA184" s="566"/>
      <c r="AB184" s="566"/>
      <c r="AC184" s="566"/>
      <c r="AD184" s="566"/>
      <c r="AE184" s="566"/>
      <c r="AF184" s="566"/>
      <c r="AG184" s="566"/>
      <c r="AH184" s="566"/>
      <c r="AI184" s="566"/>
      <c r="AJ184" s="566"/>
      <c r="AK184" s="566"/>
      <c r="AL184" s="566"/>
      <c r="AM184" s="566"/>
      <c r="AN184" s="566"/>
      <c r="AO184" s="566"/>
      <c r="AP184" s="566"/>
      <c r="AQ184" s="566"/>
      <c r="AR184" s="566"/>
    </row>
    <row r="185" spans="1:44" x14ac:dyDescent="0.25">
      <c r="A185" s="566"/>
      <c r="B185" s="566"/>
      <c r="C185" s="566"/>
      <c r="D185" s="566"/>
      <c r="E185" s="566"/>
      <c r="F185" s="566"/>
      <c r="G185" s="566"/>
      <c r="H185" s="566"/>
      <c r="I185" s="566"/>
      <c r="J185" s="566"/>
      <c r="K185" s="566"/>
      <c r="L185" s="566"/>
      <c r="M185" s="566"/>
      <c r="N185" s="566"/>
      <c r="O185" s="566"/>
      <c r="P185" s="566"/>
      <c r="Q185" s="566"/>
      <c r="R185" s="566"/>
      <c r="S185" s="566"/>
      <c r="T185" s="566"/>
      <c r="U185" s="566"/>
      <c r="V185" s="566"/>
      <c r="W185" s="566"/>
      <c r="X185" s="566"/>
      <c r="Y185" s="566"/>
      <c r="Z185" s="566"/>
      <c r="AA185" s="566"/>
      <c r="AB185" s="566"/>
      <c r="AC185" s="566"/>
      <c r="AD185" s="566"/>
      <c r="AE185" s="566"/>
      <c r="AF185" s="566"/>
      <c r="AG185" s="566"/>
      <c r="AH185" s="566"/>
      <c r="AI185" s="566"/>
      <c r="AJ185" s="566"/>
      <c r="AK185" s="566"/>
      <c r="AL185" s="566"/>
      <c r="AM185" s="566"/>
      <c r="AN185" s="566"/>
      <c r="AO185" s="566"/>
      <c r="AP185" s="566"/>
      <c r="AQ185" s="566"/>
      <c r="AR185" s="566"/>
    </row>
    <row r="186" spans="1:44" x14ac:dyDescent="0.25">
      <c r="A186" s="566"/>
      <c r="B186" s="566"/>
      <c r="C186" s="566"/>
      <c r="D186" s="566"/>
      <c r="E186" s="566"/>
      <c r="F186" s="566"/>
      <c r="G186" s="566"/>
      <c r="H186" s="566"/>
      <c r="I186" s="566"/>
      <c r="J186" s="566"/>
      <c r="K186" s="566"/>
      <c r="L186" s="566"/>
      <c r="M186" s="566"/>
      <c r="N186" s="566"/>
      <c r="O186" s="566"/>
      <c r="P186" s="566"/>
      <c r="Q186" s="566"/>
      <c r="R186" s="566"/>
      <c r="S186" s="566"/>
      <c r="T186" s="566"/>
      <c r="U186" s="566"/>
      <c r="V186" s="566"/>
      <c r="W186" s="566"/>
      <c r="X186" s="566"/>
      <c r="Y186" s="566"/>
      <c r="Z186" s="566"/>
      <c r="AA186" s="566"/>
      <c r="AB186" s="566"/>
      <c r="AC186" s="566"/>
      <c r="AD186" s="566"/>
      <c r="AE186" s="566"/>
      <c r="AF186" s="566"/>
      <c r="AG186" s="566"/>
      <c r="AH186" s="566"/>
      <c r="AI186" s="566"/>
      <c r="AJ186" s="566"/>
      <c r="AK186" s="566"/>
      <c r="AL186" s="566"/>
      <c r="AM186" s="566"/>
      <c r="AN186" s="566"/>
      <c r="AO186" s="566"/>
      <c r="AP186" s="566"/>
      <c r="AQ186" s="566"/>
      <c r="AR186" s="566"/>
    </row>
    <row r="187" spans="1:44" x14ac:dyDescent="0.25">
      <c r="A187" s="566"/>
      <c r="B187" s="566"/>
      <c r="C187" s="566"/>
      <c r="D187" s="566"/>
      <c r="E187" s="566"/>
      <c r="F187" s="566"/>
      <c r="G187" s="566"/>
      <c r="H187" s="566"/>
      <c r="I187" s="566"/>
      <c r="J187" s="566"/>
      <c r="K187" s="566"/>
      <c r="L187" s="566"/>
      <c r="M187" s="566"/>
      <c r="N187" s="566"/>
      <c r="O187" s="566"/>
      <c r="P187" s="566"/>
      <c r="Q187" s="566"/>
      <c r="R187" s="566"/>
      <c r="S187" s="566"/>
      <c r="T187" s="566"/>
      <c r="U187" s="566"/>
      <c r="V187" s="566"/>
      <c r="W187" s="566"/>
      <c r="X187" s="566"/>
      <c r="Y187" s="566"/>
      <c r="Z187" s="566"/>
      <c r="AA187" s="566"/>
      <c r="AB187" s="566"/>
      <c r="AC187" s="566"/>
      <c r="AD187" s="566"/>
      <c r="AE187" s="566"/>
      <c r="AF187" s="566"/>
      <c r="AG187" s="566"/>
      <c r="AH187" s="566"/>
      <c r="AI187" s="566"/>
      <c r="AJ187" s="566"/>
      <c r="AK187" s="566"/>
      <c r="AL187" s="566"/>
      <c r="AM187" s="566"/>
      <c r="AN187" s="566"/>
      <c r="AO187" s="566"/>
      <c r="AP187" s="566"/>
      <c r="AQ187" s="566"/>
      <c r="AR187" s="566"/>
    </row>
    <row r="188" spans="1:44" x14ac:dyDescent="0.25">
      <c r="A188" s="566"/>
      <c r="B188" s="566"/>
      <c r="C188" s="566"/>
      <c r="D188" s="566"/>
      <c r="E188" s="566"/>
      <c r="F188" s="566"/>
      <c r="G188" s="566"/>
      <c r="H188" s="566"/>
      <c r="I188" s="566"/>
      <c r="J188" s="566"/>
      <c r="K188" s="566"/>
      <c r="L188" s="566"/>
      <c r="M188" s="566"/>
      <c r="N188" s="566"/>
      <c r="O188" s="566"/>
      <c r="P188" s="566"/>
      <c r="Q188" s="566"/>
      <c r="R188" s="566"/>
      <c r="S188" s="566"/>
      <c r="T188" s="566"/>
      <c r="U188" s="566"/>
      <c r="V188" s="566"/>
      <c r="W188" s="566"/>
      <c r="X188" s="566"/>
      <c r="Y188" s="566"/>
      <c r="Z188" s="566"/>
      <c r="AA188" s="566"/>
      <c r="AB188" s="566"/>
      <c r="AC188" s="566"/>
      <c r="AD188" s="566"/>
      <c r="AE188" s="566"/>
      <c r="AF188" s="566"/>
      <c r="AG188" s="566"/>
      <c r="AH188" s="566"/>
      <c r="AI188" s="566"/>
      <c r="AJ188" s="566"/>
      <c r="AK188" s="566"/>
      <c r="AL188" s="566"/>
      <c r="AM188" s="566"/>
      <c r="AN188" s="566"/>
      <c r="AO188" s="566"/>
      <c r="AP188" s="566"/>
      <c r="AQ188" s="566"/>
      <c r="AR188" s="566"/>
    </row>
    <row r="189" spans="1:44" x14ac:dyDescent="0.25">
      <c r="A189" s="566"/>
      <c r="B189" s="566"/>
      <c r="C189" s="566"/>
      <c r="D189" s="566"/>
      <c r="E189" s="566"/>
      <c r="F189" s="566"/>
      <c r="G189" s="566"/>
      <c r="H189" s="566"/>
      <c r="I189" s="566"/>
      <c r="J189" s="566"/>
      <c r="K189" s="566"/>
      <c r="L189" s="566"/>
      <c r="M189" s="566"/>
      <c r="N189" s="566"/>
      <c r="O189" s="566"/>
      <c r="P189" s="566"/>
      <c r="Q189" s="566"/>
      <c r="R189" s="566"/>
      <c r="S189" s="566"/>
      <c r="T189" s="566"/>
      <c r="U189" s="566"/>
      <c r="V189" s="566"/>
      <c r="W189" s="566"/>
      <c r="X189" s="566"/>
      <c r="Y189" s="566"/>
      <c r="Z189" s="566"/>
      <c r="AA189" s="566"/>
      <c r="AB189" s="566"/>
      <c r="AC189" s="566"/>
      <c r="AD189" s="566"/>
      <c r="AE189" s="566"/>
      <c r="AF189" s="566"/>
      <c r="AG189" s="566"/>
      <c r="AH189" s="566"/>
      <c r="AI189" s="566"/>
      <c r="AJ189" s="566"/>
      <c r="AK189" s="566"/>
      <c r="AL189" s="566"/>
      <c r="AM189" s="566"/>
      <c r="AN189" s="566"/>
      <c r="AO189" s="566"/>
      <c r="AP189" s="566"/>
      <c r="AQ189" s="566"/>
      <c r="AR189" s="566"/>
    </row>
    <row r="190" spans="1:44" x14ac:dyDescent="0.25">
      <c r="A190" s="566"/>
      <c r="B190" s="566"/>
      <c r="C190" s="566"/>
      <c r="D190" s="566"/>
      <c r="E190" s="566"/>
      <c r="F190" s="566"/>
      <c r="G190" s="566"/>
      <c r="H190" s="566"/>
      <c r="I190" s="566"/>
      <c r="J190" s="566"/>
      <c r="K190" s="566"/>
      <c r="L190" s="566"/>
      <c r="M190" s="566"/>
      <c r="N190" s="566"/>
      <c r="O190" s="566"/>
      <c r="P190" s="566"/>
      <c r="Q190" s="566"/>
      <c r="R190" s="566"/>
      <c r="S190" s="566"/>
      <c r="T190" s="566"/>
      <c r="U190" s="566"/>
      <c r="V190" s="566"/>
      <c r="W190" s="566"/>
      <c r="X190" s="566"/>
      <c r="Y190" s="566"/>
      <c r="Z190" s="566"/>
      <c r="AA190" s="566"/>
      <c r="AB190" s="566"/>
      <c r="AC190" s="566"/>
      <c r="AD190" s="566"/>
      <c r="AE190" s="566"/>
      <c r="AF190" s="566"/>
      <c r="AG190" s="566"/>
      <c r="AH190" s="566"/>
      <c r="AI190" s="566"/>
      <c r="AJ190" s="566"/>
      <c r="AK190" s="566"/>
      <c r="AL190" s="566"/>
      <c r="AM190" s="566"/>
      <c r="AN190" s="566"/>
      <c r="AO190" s="566"/>
      <c r="AP190" s="566"/>
      <c r="AQ190" s="566"/>
      <c r="AR190" s="566"/>
    </row>
    <row r="191" spans="1:44" x14ac:dyDescent="0.25">
      <c r="A191" s="566"/>
      <c r="B191" s="566"/>
      <c r="C191" s="566"/>
      <c r="D191" s="566"/>
      <c r="E191" s="566"/>
      <c r="F191" s="566"/>
      <c r="G191" s="566"/>
      <c r="H191" s="566"/>
      <c r="I191" s="566"/>
      <c r="J191" s="566"/>
      <c r="K191" s="566"/>
      <c r="L191" s="566"/>
      <c r="M191" s="566"/>
      <c r="N191" s="566"/>
      <c r="O191" s="566"/>
      <c r="P191" s="566"/>
      <c r="Q191" s="566"/>
      <c r="R191" s="566"/>
      <c r="S191" s="566"/>
      <c r="T191" s="566"/>
      <c r="U191" s="566"/>
      <c r="V191" s="566"/>
      <c r="W191" s="566"/>
      <c r="X191" s="566"/>
      <c r="Y191" s="566"/>
      <c r="Z191" s="566"/>
      <c r="AA191" s="566"/>
      <c r="AB191" s="566"/>
      <c r="AC191" s="566"/>
      <c r="AD191" s="566"/>
      <c r="AE191" s="566"/>
      <c r="AF191" s="566"/>
      <c r="AG191" s="566"/>
      <c r="AH191" s="566"/>
      <c r="AI191" s="566"/>
      <c r="AJ191" s="566"/>
      <c r="AK191" s="566"/>
      <c r="AL191" s="566"/>
      <c r="AM191" s="566"/>
      <c r="AN191" s="566"/>
      <c r="AO191" s="566"/>
      <c r="AP191" s="566"/>
      <c r="AQ191" s="566"/>
      <c r="AR191" s="566"/>
    </row>
    <row r="192" spans="1:44" x14ac:dyDescent="0.25">
      <c r="A192" s="566"/>
      <c r="B192" s="566"/>
      <c r="C192" s="566"/>
      <c r="D192" s="566"/>
      <c r="E192" s="566"/>
      <c r="F192" s="566"/>
      <c r="G192" s="566"/>
      <c r="H192" s="566"/>
      <c r="I192" s="566"/>
      <c r="J192" s="566"/>
      <c r="K192" s="566"/>
      <c r="L192" s="566"/>
      <c r="M192" s="566"/>
      <c r="N192" s="566"/>
      <c r="O192" s="566"/>
      <c r="P192" s="566"/>
      <c r="Q192" s="566"/>
      <c r="R192" s="566"/>
      <c r="S192" s="566"/>
      <c r="T192" s="566"/>
      <c r="U192" s="566"/>
      <c r="V192" s="566"/>
      <c r="W192" s="566"/>
      <c r="X192" s="566"/>
      <c r="Y192" s="566"/>
      <c r="Z192" s="566"/>
      <c r="AA192" s="566"/>
      <c r="AB192" s="566"/>
      <c r="AC192" s="566"/>
      <c r="AD192" s="566"/>
      <c r="AE192" s="566"/>
      <c r="AF192" s="566"/>
      <c r="AG192" s="566"/>
      <c r="AH192" s="566"/>
      <c r="AI192" s="566"/>
      <c r="AJ192" s="566"/>
      <c r="AK192" s="566"/>
      <c r="AL192" s="566"/>
      <c r="AM192" s="566"/>
      <c r="AN192" s="566"/>
      <c r="AO192" s="566"/>
      <c r="AP192" s="566"/>
      <c r="AQ192" s="566"/>
      <c r="AR192" s="566"/>
    </row>
    <row r="193" spans="1:44" x14ac:dyDescent="0.25">
      <c r="A193" s="566"/>
      <c r="B193" s="566"/>
      <c r="C193" s="566"/>
      <c r="D193" s="566"/>
      <c r="E193" s="566"/>
      <c r="F193" s="566"/>
      <c r="G193" s="566"/>
      <c r="H193" s="566"/>
      <c r="I193" s="566"/>
      <c r="J193" s="566"/>
      <c r="K193" s="566"/>
      <c r="L193" s="566"/>
      <c r="M193" s="566"/>
      <c r="N193" s="566"/>
      <c r="O193" s="566"/>
      <c r="P193" s="566"/>
      <c r="Q193" s="566"/>
      <c r="R193" s="566"/>
      <c r="S193" s="566"/>
      <c r="T193" s="566"/>
      <c r="U193" s="566"/>
      <c r="V193" s="566"/>
      <c r="W193" s="566"/>
      <c r="X193" s="566"/>
      <c r="Y193" s="566"/>
      <c r="Z193" s="566"/>
      <c r="AA193" s="566"/>
      <c r="AB193" s="566"/>
      <c r="AC193" s="566"/>
      <c r="AD193" s="566"/>
      <c r="AE193" s="566"/>
      <c r="AF193" s="566"/>
      <c r="AG193" s="566"/>
      <c r="AH193" s="566"/>
      <c r="AI193" s="566"/>
      <c r="AJ193" s="566"/>
      <c r="AK193" s="566"/>
      <c r="AL193" s="566"/>
      <c r="AM193" s="566"/>
      <c r="AN193" s="566"/>
      <c r="AO193" s="566"/>
      <c r="AP193" s="566"/>
      <c r="AQ193" s="566"/>
      <c r="AR193" s="566"/>
    </row>
    <row r="194" spans="1:44" x14ac:dyDescent="0.25">
      <c r="A194" s="566"/>
      <c r="B194" s="566"/>
      <c r="C194" s="566"/>
      <c r="D194" s="566"/>
      <c r="E194" s="566"/>
      <c r="F194" s="566"/>
      <c r="G194" s="566"/>
      <c r="H194" s="566"/>
      <c r="I194" s="566"/>
      <c r="J194" s="566"/>
      <c r="K194" s="566"/>
      <c r="L194" s="566"/>
      <c r="M194" s="566"/>
      <c r="N194" s="566"/>
      <c r="O194" s="566"/>
      <c r="P194" s="566"/>
      <c r="Q194" s="566"/>
      <c r="R194" s="566"/>
      <c r="S194" s="566"/>
      <c r="T194" s="566"/>
      <c r="U194" s="566"/>
      <c r="V194" s="566"/>
      <c r="W194" s="566"/>
      <c r="X194" s="566"/>
      <c r="Y194" s="566"/>
      <c r="Z194" s="566"/>
      <c r="AA194" s="566"/>
      <c r="AB194" s="566"/>
      <c r="AC194" s="566"/>
      <c r="AD194" s="566"/>
      <c r="AE194" s="566"/>
      <c r="AF194" s="566"/>
      <c r="AG194" s="566"/>
      <c r="AH194" s="566"/>
      <c r="AI194" s="566"/>
      <c r="AJ194" s="566"/>
      <c r="AK194" s="566"/>
      <c r="AL194" s="566"/>
      <c r="AM194" s="566"/>
      <c r="AN194" s="566"/>
      <c r="AO194" s="566"/>
      <c r="AP194" s="566"/>
      <c r="AQ194" s="566"/>
      <c r="AR194" s="566"/>
    </row>
    <row r="195" spans="1:44" x14ac:dyDescent="0.25">
      <c r="A195" s="566"/>
      <c r="B195" s="566"/>
      <c r="C195" s="566"/>
      <c r="D195" s="566"/>
      <c r="E195" s="566"/>
      <c r="F195" s="566"/>
      <c r="G195" s="566"/>
      <c r="H195" s="566"/>
      <c r="I195" s="566"/>
      <c r="J195" s="566"/>
      <c r="K195" s="566"/>
      <c r="L195" s="566"/>
      <c r="M195" s="566"/>
      <c r="N195" s="566"/>
      <c r="O195" s="566"/>
      <c r="P195" s="566"/>
      <c r="Q195" s="566"/>
      <c r="R195" s="566"/>
      <c r="S195" s="566"/>
      <c r="T195" s="566"/>
      <c r="U195" s="566"/>
      <c r="V195" s="566"/>
      <c r="W195" s="566"/>
      <c r="X195" s="566"/>
      <c r="Y195" s="566"/>
      <c r="Z195" s="566"/>
      <c r="AA195" s="566"/>
      <c r="AB195" s="566"/>
      <c r="AC195" s="566"/>
      <c r="AD195" s="566"/>
      <c r="AE195" s="566"/>
      <c r="AF195" s="566"/>
      <c r="AG195" s="566"/>
      <c r="AH195" s="566"/>
      <c r="AI195" s="566"/>
      <c r="AJ195" s="566"/>
      <c r="AK195" s="566"/>
      <c r="AL195" s="566"/>
      <c r="AM195" s="566"/>
      <c r="AN195" s="566"/>
      <c r="AO195" s="566"/>
      <c r="AP195" s="566"/>
      <c r="AQ195" s="566"/>
      <c r="AR195" s="566"/>
    </row>
    <row r="196" spans="1:44" x14ac:dyDescent="0.25">
      <c r="A196" s="566"/>
      <c r="B196" s="566"/>
      <c r="C196" s="566"/>
      <c r="D196" s="566"/>
      <c r="E196" s="566"/>
      <c r="F196" s="566"/>
      <c r="G196" s="566"/>
      <c r="H196" s="566"/>
      <c r="I196" s="566"/>
      <c r="J196" s="566"/>
      <c r="K196" s="566"/>
      <c r="L196" s="566"/>
      <c r="M196" s="566"/>
      <c r="N196" s="566"/>
      <c r="O196" s="566"/>
      <c r="P196" s="566"/>
      <c r="Q196" s="566"/>
      <c r="R196" s="566"/>
      <c r="S196" s="566"/>
      <c r="T196" s="566"/>
      <c r="U196" s="566"/>
      <c r="V196" s="566"/>
      <c r="W196" s="566"/>
      <c r="X196" s="566"/>
      <c r="Y196" s="566"/>
      <c r="Z196" s="566"/>
      <c r="AA196" s="566"/>
      <c r="AB196" s="566"/>
      <c r="AC196" s="566"/>
      <c r="AD196" s="566"/>
      <c r="AE196" s="566"/>
      <c r="AF196" s="566"/>
      <c r="AG196" s="566"/>
      <c r="AH196" s="566"/>
      <c r="AI196" s="566"/>
      <c r="AJ196" s="566"/>
      <c r="AK196" s="566"/>
      <c r="AL196" s="566"/>
      <c r="AM196" s="566"/>
      <c r="AN196" s="566"/>
      <c r="AO196" s="566"/>
      <c r="AP196" s="566"/>
      <c r="AQ196" s="566"/>
      <c r="AR196" s="566"/>
    </row>
    <row r="197" spans="1:44" x14ac:dyDescent="0.25">
      <c r="B197" s="566"/>
      <c r="C197" s="566"/>
      <c r="D197" s="566"/>
      <c r="E197" s="566"/>
      <c r="F197" s="566"/>
      <c r="G197" s="566"/>
      <c r="H197" s="566"/>
      <c r="I197" s="566"/>
      <c r="J197" s="566"/>
      <c r="K197" s="566"/>
      <c r="L197" s="566"/>
      <c r="M197" s="566"/>
      <c r="N197" s="566"/>
      <c r="O197" s="566"/>
      <c r="P197" s="566"/>
      <c r="Q197" s="566"/>
      <c r="R197" s="566"/>
      <c r="S197" s="566"/>
      <c r="T197" s="566"/>
      <c r="U197" s="566"/>
      <c r="V197" s="566"/>
      <c r="W197" s="566"/>
      <c r="X197" s="566"/>
      <c r="Y197" s="566"/>
      <c r="Z197" s="566"/>
      <c r="AA197" s="566"/>
      <c r="AB197" s="566"/>
      <c r="AC197" s="566"/>
      <c r="AD197" s="566"/>
      <c r="AE197" s="566"/>
      <c r="AF197" s="566"/>
      <c r="AG197" s="566"/>
      <c r="AH197" s="566"/>
      <c r="AI197" s="566"/>
      <c r="AJ197" s="566"/>
      <c r="AK197" s="566"/>
      <c r="AL197" s="566"/>
      <c r="AM197" s="566"/>
      <c r="AN197" s="566"/>
      <c r="AO197" s="566"/>
      <c r="AP197" s="566"/>
      <c r="AQ197" s="566"/>
      <c r="AR197" s="566"/>
    </row>
    <row r="198" spans="1:44" x14ac:dyDescent="0.25">
      <c r="B198" s="566"/>
      <c r="C198" s="566"/>
      <c r="D198" s="566"/>
      <c r="E198" s="566"/>
      <c r="F198" s="566"/>
      <c r="G198" s="566"/>
      <c r="H198" s="566"/>
      <c r="I198" s="566"/>
      <c r="J198" s="566"/>
      <c r="K198" s="566"/>
      <c r="L198" s="566"/>
      <c r="M198" s="566"/>
      <c r="N198" s="566"/>
      <c r="O198" s="566"/>
      <c r="P198" s="566"/>
      <c r="Q198" s="566"/>
      <c r="R198" s="566"/>
      <c r="S198" s="566"/>
      <c r="T198" s="566"/>
      <c r="U198" s="566"/>
      <c r="V198" s="566"/>
      <c r="W198" s="566"/>
      <c r="X198" s="566"/>
      <c r="Y198" s="566"/>
      <c r="Z198" s="566"/>
      <c r="AA198" s="566"/>
      <c r="AB198" s="566"/>
      <c r="AC198" s="566"/>
      <c r="AD198" s="566"/>
      <c r="AE198" s="566"/>
      <c r="AF198" s="566"/>
      <c r="AG198" s="566"/>
      <c r="AH198" s="566"/>
      <c r="AI198" s="566"/>
      <c r="AJ198" s="566"/>
      <c r="AK198" s="566"/>
      <c r="AL198" s="566"/>
      <c r="AM198" s="566"/>
      <c r="AN198" s="566"/>
      <c r="AO198" s="566"/>
      <c r="AP198" s="566"/>
      <c r="AQ198" s="566"/>
      <c r="AR198" s="566"/>
    </row>
    <row r="199" spans="1:44" x14ac:dyDescent="0.25">
      <c r="AL199" s="207"/>
    </row>
    <row r="200" spans="1:44" x14ac:dyDescent="0.25">
      <c r="AL200" s="207"/>
    </row>
    <row r="201" spans="1:44" x14ac:dyDescent="0.25">
      <c r="AL201" s="207"/>
    </row>
    <row r="202" spans="1:44" x14ac:dyDescent="0.25">
      <c r="AL202" s="207"/>
    </row>
    <row r="203" spans="1:44" x14ac:dyDescent="0.25">
      <c r="AL203" s="207"/>
    </row>
    <row r="204" spans="1:44" x14ac:dyDescent="0.25">
      <c r="AL204" s="207"/>
    </row>
    <row r="205" spans="1:44" x14ac:dyDescent="0.25">
      <c r="AL205" s="207"/>
    </row>
    <row r="206" spans="1:44" x14ac:dyDescent="0.25">
      <c r="AL206" s="207"/>
    </row>
    <row r="207" spans="1:44" x14ac:dyDescent="0.25">
      <c r="AL207" s="207"/>
    </row>
    <row r="208" spans="1:44" x14ac:dyDescent="0.25">
      <c r="AL208" s="207"/>
    </row>
    <row r="209" spans="38:38" x14ac:dyDescent="0.25">
      <c r="AL209" s="207"/>
    </row>
    <row r="210" spans="38:38" x14ac:dyDescent="0.25">
      <c r="AL210" s="207"/>
    </row>
    <row r="211" spans="38:38" x14ac:dyDescent="0.25">
      <c r="AL211" s="207"/>
    </row>
    <row r="212" spans="38:38" x14ac:dyDescent="0.25">
      <c r="AL212" s="207"/>
    </row>
    <row r="213" spans="38:38" x14ac:dyDescent="0.25">
      <c r="AL213" s="207"/>
    </row>
    <row r="214" spans="38:38" x14ac:dyDescent="0.25">
      <c r="AL214" s="207"/>
    </row>
    <row r="215" spans="38:38" x14ac:dyDescent="0.25">
      <c r="AL215" s="207"/>
    </row>
    <row r="216" spans="38:38" x14ac:dyDescent="0.25">
      <c r="AL216" s="207"/>
    </row>
    <row r="217" spans="38:38" x14ac:dyDescent="0.25">
      <c r="AL217" s="207"/>
    </row>
    <row r="218" spans="38:38" x14ac:dyDescent="0.25">
      <c r="AL218" s="207"/>
    </row>
    <row r="219" spans="38:38" x14ac:dyDescent="0.25">
      <c r="AL219" s="207"/>
    </row>
    <row r="220" spans="38:38" x14ac:dyDescent="0.25">
      <c r="AL220" s="207"/>
    </row>
    <row r="221" spans="38:38" x14ac:dyDescent="0.25">
      <c r="AL221" s="207"/>
    </row>
    <row r="222" spans="38:38" x14ac:dyDescent="0.25">
      <c r="AL222" s="207"/>
    </row>
    <row r="223" spans="38:38" x14ac:dyDescent="0.25">
      <c r="AL223" s="207"/>
    </row>
    <row r="224" spans="38:38" x14ac:dyDescent="0.25">
      <c r="AL224" s="207"/>
    </row>
    <row r="225" spans="38:38" x14ac:dyDescent="0.25">
      <c r="AL225" s="207"/>
    </row>
    <row r="226" spans="38:38" x14ac:dyDescent="0.25">
      <c r="AL226" s="207"/>
    </row>
    <row r="227" spans="38:38" x14ac:dyDescent="0.25">
      <c r="AL227" s="207"/>
    </row>
    <row r="228" spans="38:38" x14ac:dyDescent="0.25">
      <c r="AL228" s="207"/>
    </row>
    <row r="229" spans="38:38" x14ac:dyDescent="0.25">
      <c r="AL229" s="207"/>
    </row>
    <row r="230" spans="38:38" x14ac:dyDescent="0.25">
      <c r="AL230" s="207"/>
    </row>
    <row r="231" spans="38:38" x14ac:dyDescent="0.25">
      <c r="AL231" s="207"/>
    </row>
    <row r="232" spans="38:38" x14ac:dyDescent="0.25">
      <c r="AL232" s="207"/>
    </row>
    <row r="233" spans="38:38" x14ac:dyDescent="0.25">
      <c r="AL233" s="207"/>
    </row>
    <row r="234" spans="38:38" x14ac:dyDescent="0.25">
      <c r="AL234" s="207"/>
    </row>
    <row r="235" spans="38:38" x14ac:dyDescent="0.25">
      <c r="AL235" s="207"/>
    </row>
    <row r="236" spans="38:38" x14ac:dyDescent="0.25">
      <c r="AL236" s="207"/>
    </row>
    <row r="237" spans="38:38" x14ac:dyDescent="0.25">
      <c r="AL237" s="207"/>
    </row>
    <row r="238" spans="38:38" x14ac:dyDescent="0.25">
      <c r="AL238" s="207"/>
    </row>
    <row r="239" spans="38:38" x14ac:dyDescent="0.25">
      <c r="AL239" s="207"/>
    </row>
    <row r="240" spans="38:38" x14ac:dyDescent="0.25">
      <c r="AL240" s="207"/>
    </row>
    <row r="241" spans="38:38" x14ac:dyDescent="0.25">
      <c r="AL241" s="207"/>
    </row>
    <row r="242" spans="38:38" x14ac:dyDescent="0.25">
      <c r="AL242" s="207"/>
    </row>
    <row r="243" spans="38:38" x14ac:dyDescent="0.25">
      <c r="AL243" s="207"/>
    </row>
    <row r="244" spans="38:38" x14ac:dyDescent="0.25">
      <c r="AL244" s="207"/>
    </row>
    <row r="245" spans="38:38" x14ac:dyDescent="0.25">
      <c r="AL245" s="207"/>
    </row>
    <row r="246" spans="38:38" x14ac:dyDescent="0.25">
      <c r="AL246" s="207"/>
    </row>
    <row r="247" spans="38:38" x14ac:dyDescent="0.25">
      <c r="AL247" s="207"/>
    </row>
    <row r="248" spans="38:38" x14ac:dyDescent="0.25">
      <c r="AL248" s="207"/>
    </row>
    <row r="249" spans="38:38" x14ac:dyDescent="0.25">
      <c r="AL249" s="207"/>
    </row>
    <row r="250" spans="38:38" x14ac:dyDescent="0.25">
      <c r="AL250" s="207"/>
    </row>
    <row r="251" spans="38:38" x14ac:dyDescent="0.25">
      <c r="AL251" s="207"/>
    </row>
    <row r="252" spans="38:38" x14ac:dyDescent="0.25">
      <c r="AL252" s="207"/>
    </row>
    <row r="253" spans="38:38" x14ac:dyDescent="0.25">
      <c r="AL253" s="207"/>
    </row>
    <row r="254" spans="38:38" x14ac:dyDescent="0.25">
      <c r="AL254" s="207"/>
    </row>
    <row r="255" spans="38:38" x14ac:dyDescent="0.25">
      <c r="AL255" s="207"/>
    </row>
    <row r="256" spans="38:38" x14ac:dyDescent="0.25">
      <c r="AL256" s="207"/>
    </row>
    <row r="257" spans="38:38" x14ac:dyDescent="0.25">
      <c r="AL257" s="207"/>
    </row>
    <row r="258" spans="38:38" x14ac:dyDescent="0.25">
      <c r="AL258" s="207"/>
    </row>
    <row r="259" spans="38:38" x14ac:dyDescent="0.25">
      <c r="AL259" s="207"/>
    </row>
    <row r="260" spans="38:38" x14ac:dyDescent="0.25">
      <c r="AL260" s="207"/>
    </row>
    <row r="261" spans="38:38" x14ac:dyDescent="0.25">
      <c r="AL261" s="207"/>
    </row>
    <row r="262" spans="38:38" x14ac:dyDescent="0.25">
      <c r="AL262" s="207"/>
    </row>
    <row r="263" spans="38:38" x14ac:dyDescent="0.25">
      <c r="AL263" s="207"/>
    </row>
    <row r="264" spans="38:38" x14ac:dyDescent="0.25">
      <c r="AL264" s="207"/>
    </row>
    <row r="265" spans="38:38" x14ac:dyDescent="0.25">
      <c r="AL265" s="207"/>
    </row>
    <row r="266" spans="38:38" x14ac:dyDescent="0.25">
      <c r="AL266" s="207"/>
    </row>
    <row r="267" spans="38:38" x14ac:dyDescent="0.25">
      <c r="AL267" s="207"/>
    </row>
    <row r="268" spans="38:38" x14ac:dyDescent="0.25">
      <c r="AL268" s="207"/>
    </row>
    <row r="269" spans="38:38" x14ac:dyDescent="0.25">
      <c r="AL269" s="207"/>
    </row>
    <row r="270" spans="38:38" x14ac:dyDescent="0.25">
      <c r="AL270" s="207"/>
    </row>
    <row r="271" spans="38:38" x14ac:dyDescent="0.25">
      <c r="AL271" s="207"/>
    </row>
    <row r="272" spans="38:38" x14ac:dyDescent="0.25">
      <c r="AL272" s="207"/>
    </row>
    <row r="273" spans="38:38" x14ac:dyDescent="0.25">
      <c r="AL273" s="207"/>
    </row>
    <row r="274" spans="38:38" x14ac:dyDescent="0.25">
      <c r="AL274" s="207"/>
    </row>
    <row r="275" spans="38:38" x14ac:dyDescent="0.25">
      <c r="AL275" s="207"/>
    </row>
    <row r="276" spans="38:38" x14ac:dyDescent="0.25">
      <c r="AL276" s="207"/>
    </row>
    <row r="277" spans="38:38" x14ac:dyDescent="0.25">
      <c r="AL277" s="207"/>
    </row>
    <row r="278" spans="38:38" x14ac:dyDescent="0.25">
      <c r="AL278" s="207"/>
    </row>
    <row r="279" spans="38:38" x14ac:dyDescent="0.25">
      <c r="AL279" s="207"/>
    </row>
    <row r="280" spans="38:38" x14ac:dyDescent="0.25">
      <c r="AL280" s="207"/>
    </row>
    <row r="281" spans="38:38" x14ac:dyDescent="0.25">
      <c r="AL281" s="207"/>
    </row>
    <row r="282" spans="38:38" x14ac:dyDescent="0.25">
      <c r="AL282" s="207"/>
    </row>
    <row r="283" spans="38:38" x14ac:dyDescent="0.25">
      <c r="AL283" s="207"/>
    </row>
    <row r="284" spans="38:38" x14ac:dyDescent="0.25">
      <c r="AL284" s="207"/>
    </row>
    <row r="285" spans="38:38" x14ac:dyDescent="0.25">
      <c r="AL285" s="207"/>
    </row>
    <row r="286" spans="38:38" x14ac:dyDescent="0.25">
      <c r="AL286" s="207"/>
    </row>
    <row r="287" spans="38:38" x14ac:dyDescent="0.25">
      <c r="AL287" s="207"/>
    </row>
    <row r="288" spans="38:38" x14ac:dyDescent="0.25">
      <c r="AL288" s="207"/>
    </row>
    <row r="289" spans="38:38" x14ac:dyDescent="0.25">
      <c r="AL289" s="207"/>
    </row>
    <row r="290" spans="38:38" x14ac:dyDescent="0.25">
      <c r="AL290" s="207"/>
    </row>
    <row r="291" spans="38:38" x14ac:dyDescent="0.25">
      <c r="AL291" s="207"/>
    </row>
    <row r="292" spans="38:38" x14ac:dyDescent="0.25">
      <c r="AL292" s="207"/>
    </row>
    <row r="293" spans="38:38" x14ac:dyDescent="0.25">
      <c r="AL293" s="207"/>
    </row>
    <row r="294" spans="38:38" x14ac:dyDescent="0.25">
      <c r="AL294" s="207"/>
    </row>
    <row r="295" spans="38:38" x14ac:dyDescent="0.25">
      <c r="AL295" s="207"/>
    </row>
    <row r="296" spans="38:38" x14ac:dyDescent="0.25">
      <c r="AL296" s="207"/>
    </row>
    <row r="297" spans="38:38" x14ac:dyDescent="0.25">
      <c r="AL297" s="207"/>
    </row>
    <row r="298" spans="38:38" x14ac:dyDescent="0.25">
      <c r="AL298" s="207"/>
    </row>
    <row r="299" spans="38:38" x14ac:dyDescent="0.25">
      <c r="AL299" s="207"/>
    </row>
    <row r="300" spans="38:38" x14ac:dyDescent="0.25">
      <c r="AL300" s="207"/>
    </row>
    <row r="301" spans="38:38" x14ac:dyDescent="0.25">
      <c r="AL301" s="207"/>
    </row>
    <row r="302" spans="38:38" x14ac:dyDescent="0.25">
      <c r="AL302" s="207"/>
    </row>
    <row r="303" spans="38:38" x14ac:dyDescent="0.25">
      <c r="AL303" s="207"/>
    </row>
    <row r="304" spans="38:38" x14ac:dyDescent="0.25">
      <c r="AL304" s="207"/>
    </row>
    <row r="305" spans="38:38" x14ac:dyDescent="0.25">
      <c r="AL305" s="207"/>
    </row>
    <row r="306" spans="38:38" x14ac:dyDescent="0.25">
      <c r="AL306" s="207"/>
    </row>
    <row r="307" spans="38:38" x14ac:dyDescent="0.25">
      <c r="AL307" s="207"/>
    </row>
    <row r="308" spans="38:38" x14ac:dyDescent="0.25">
      <c r="AL308" s="207"/>
    </row>
    <row r="309" spans="38:38" x14ac:dyDescent="0.25">
      <c r="AL309" s="207"/>
    </row>
    <row r="310" spans="38:38" x14ac:dyDescent="0.25">
      <c r="AL310" s="207"/>
    </row>
    <row r="311" spans="38:38" x14ac:dyDescent="0.25">
      <c r="AL311" s="207"/>
    </row>
    <row r="312" spans="38:38" x14ac:dyDescent="0.25">
      <c r="AL312" s="207"/>
    </row>
    <row r="313" spans="38:38" x14ac:dyDescent="0.25">
      <c r="AL313" s="207"/>
    </row>
    <row r="314" spans="38:38" x14ac:dyDescent="0.25">
      <c r="AL314" s="207"/>
    </row>
    <row r="315" spans="38:38" x14ac:dyDescent="0.25">
      <c r="AL315" s="207"/>
    </row>
    <row r="316" spans="38:38" x14ac:dyDescent="0.25">
      <c r="AL316" s="207"/>
    </row>
    <row r="317" spans="38:38" x14ac:dyDescent="0.25">
      <c r="AL317" s="207"/>
    </row>
    <row r="318" spans="38:38" x14ac:dyDescent="0.25">
      <c r="AL318" s="207"/>
    </row>
    <row r="319" spans="38:38" x14ac:dyDescent="0.25">
      <c r="AL319" s="207"/>
    </row>
    <row r="320" spans="38:38" x14ac:dyDescent="0.25">
      <c r="AL320" s="207"/>
    </row>
    <row r="321" spans="38:38" x14ac:dyDescent="0.25">
      <c r="AL321" s="207"/>
    </row>
    <row r="322" spans="38:38" x14ac:dyDescent="0.25">
      <c r="AL322" s="207"/>
    </row>
    <row r="323" spans="38:38" x14ac:dyDescent="0.25">
      <c r="AL323" s="207"/>
    </row>
    <row r="324" spans="38:38" x14ac:dyDescent="0.25">
      <c r="AL324" s="207"/>
    </row>
    <row r="325" spans="38:38" x14ac:dyDescent="0.25">
      <c r="AL325" s="207"/>
    </row>
    <row r="326" spans="38:38" x14ac:dyDescent="0.25">
      <c r="AL326" s="207"/>
    </row>
    <row r="327" spans="38:38" x14ac:dyDescent="0.25">
      <c r="AL327" s="207"/>
    </row>
    <row r="328" spans="38:38" x14ac:dyDescent="0.25">
      <c r="AL328" s="207"/>
    </row>
    <row r="329" spans="38:38" x14ac:dyDescent="0.25">
      <c r="AL329" s="207"/>
    </row>
    <row r="330" spans="38:38" x14ac:dyDescent="0.25">
      <c r="AL330" s="207"/>
    </row>
    <row r="331" spans="38:38" x14ac:dyDescent="0.25">
      <c r="AL331" s="207"/>
    </row>
    <row r="332" spans="38:38" x14ac:dyDescent="0.25">
      <c r="AL332" s="207"/>
    </row>
    <row r="333" spans="38:38" x14ac:dyDescent="0.25">
      <c r="AL333" s="207"/>
    </row>
    <row r="334" spans="38:38" x14ac:dyDescent="0.25">
      <c r="AL334" s="207"/>
    </row>
    <row r="335" spans="38:38" x14ac:dyDescent="0.25">
      <c r="AL335" s="207"/>
    </row>
    <row r="336" spans="38:38" x14ac:dyDescent="0.25">
      <c r="AL336" s="207"/>
    </row>
    <row r="337" spans="38:38" x14ac:dyDescent="0.25">
      <c r="AL337" s="207"/>
    </row>
    <row r="338" spans="38:38" x14ac:dyDescent="0.25">
      <c r="AL338" s="207"/>
    </row>
    <row r="339" spans="38:38" x14ac:dyDescent="0.25">
      <c r="AL339" s="207"/>
    </row>
    <row r="340" spans="38:38" x14ac:dyDescent="0.25">
      <c r="AL340" s="207"/>
    </row>
    <row r="341" spans="38:38" x14ac:dyDescent="0.25">
      <c r="AL341" s="207"/>
    </row>
    <row r="342" spans="38:38" x14ac:dyDescent="0.25">
      <c r="AL342" s="207"/>
    </row>
    <row r="343" spans="38:38" x14ac:dyDescent="0.25">
      <c r="AL343" s="207"/>
    </row>
    <row r="344" spans="38:38" x14ac:dyDescent="0.25">
      <c r="AL344" s="207"/>
    </row>
    <row r="345" spans="38:38" x14ac:dyDescent="0.25">
      <c r="AL345" s="207"/>
    </row>
    <row r="346" spans="38:38" x14ac:dyDescent="0.25">
      <c r="AL346" s="207"/>
    </row>
    <row r="347" spans="38:38" x14ac:dyDescent="0.25">
      <c r="AL347" s="207"/>
    </row>
    <row r="348" spans="38:38" x14ac:dyDescent="0.25">
      <c r="AL348" s="207"/>
    </row>
    <row r="349" spans="38:38" x14ac:dyDescent="0.25">
      <c r="AL349" s="207"/>
    </row>
    <row r="350" spans="38:38" x14ac:dyDescent="0.25">
      <c r="AL350" s="207"/>
    </row>
    <row r="351" spans="38:38" x14ac:dyDescent="0.25">
      <c r="AL351" s="207"/>
    </row>
    <row r="352" spans="38:38" x14ac:dyDescent="0.25">
      <c r="AL352" s="207"/>
    </row>
    <row r="353" spans="38:38" x14ac:dyDescent="0.25">
      <c r="AL353" s="207"/>
    </row>
    <row r="354" spans="38:38" x14ac:dyDescent="0.25">
      <c r="AL354" s="207"/>
    </row>
    <row r="355" spans="38:38" x14ac:dyDescent="0.25">
      <c r="AL355" s="207"/>
    </row>
    <row r="356" spans="38:38" x14ac:dyDescent="0.25">
      <c r="AL356" s="207"/>
    </row>
    <row r="357" spans="38:38" x14ac:dyDescent="0.25">
      <c r="AL357" s="207"/>
    </row>
    <row r="358" spans="38:38" x14ac:dyDescent="0.25">
      <c r="AL358" s="207"/>
    </row>
    <row r="359" spans="38:38" x14ac:dyDescent="0.25">
      <c r="AL359" s="207"/>
    </row>
    <row r="360" spans="38:38" x14ac:dyDescent="0.25">
      <c r="AL360" s="207"/>
    </row>
    <row r="361" spans="38:38" x14ac:dyDescent="0.25">
      <c r="AL361" s="207"/>
    </row>
    <row r="362" spans="38:38" x14ac:dyDescent="0.25">
      <c r="AL362" s="207"/>
    </row>
    <row r="363" spans="38:38" x14ac:dyDescent="0.25">
      <c r="AL363" s="207"/>
    </row>
    <row r="364" spans="38:38" x14ac:dyDescent="0.25">
      <c r="AL364" s="207"/>
    </row>
    <row r="365" spans="38:38" x14ac:dyDescent="0.25">
      <c r="AL365" s="20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327F5-D99B-45B8-B6EF-FE48D46856BF}">
  <sheetPr>
    <tabColor rgb="FFFFFF00"/>
  </sheetPr>
  <dimension ref="A1:AQ88"/>
  <sheetViews>
    <sheetView tabSelected="1" zoomScale="85" zoomScaleNormal="85" workbookViewId="0">
      <selection activeCell="N41" sqref="N41"/>
    </sheetView>
  </sheetViews>
  <sheetFormatPr defaultRowHeight="15" x14ac:dyDescent="0.25"/>
  <cols>
    <col min="1" max="1" width="22.85546875" customWidth="1"/>
    <col min="2" max="2" width="11.42578125" customWidth="1"/>
    <col min="3" max="3" width="15.42578125" bestFit="1" customWidth="1"/>
    <col min="4" max="4" width="20.5703125" customWidth="1"/>
    <col min="5" max="5" width="12.85546875" customWidth="1"/>
    <col min="6" max="6" width="19.140625" customWidth="1"/>
    <col min="7" max="7" width="17.28515625" bestFit="1" customWidth="1"/>
    <col min="8" max="8" width="10.85546875" bestFit="1" customWidth="1"/>
    <col min="9" max="9" width="13.5703125" customWidth="1"/>
    <col min="10" max="10" width="11.5703125" bestFit="1" customWidth="1"/>
    <col min="15" max="15" width="12.140625" bestFit="1" customWidth="1"/>
    <col min="16" max="16" width="12" bestFit="1" customWidth="1"/>
    <col min="17" max="19" width="9.28515625" bestFit="1" customWidth="1"/>
    <col min="20" max="20" width="11" bestFit="1" customWidth="1"/>
    <col min="21" max="31" width="11" customWidth="1"/>
    <col min="32" max="32" width="11.7109375" customWidth="1"/>
    <col min="33" max="41" width="11" customWidth="1"/>
    <col min="42" max="43" width="9.28515625" customWidth="1"/>
    <col min="50" max="50" width="14.85546875" bestFit="1" customWidth="1"/>
  </cols>
  <sheetData>
    <row r="1" spans="1:43" x14ac:dyDescent="0.25">
      <c r="A1" s="567"/>
      <c r="D1" s="562" t="s">
        <v>961</v>
      </c>
      <c r="F1" s="692">
        <f>'CANARD AERO'!A24</f>
        <v>3.1728633999999998</v>
      </c>
      <c r="G1" s="2" t="s">
        <v>1011</v>
      </c>
      <c r="H1" s="41" t="s">
        <v>953</v>
      </c>
    </row>
    <row r="2" spans="1:43" x14ac:dyDescent="0.25">
      <c r="A2" s="567"/>
      <c r="D2" s="562" t="s">
        <v>962</v>
      </c>
      <c r="F2" s="692">
        <f>'CANARD AERO'!B24</f>
        <v>0</v>
      </c>
      <c r="G2" s="2" t="s">
        <v>1011</v>
      </c>
    </row>
    <row r="3" spans="1:43" x14ac:dyDescent="0.25">
      <c r="A3" s="567"/>
      <c r="D3" s="562" t="s">
        <v>963</v>
      </c>
      <c r="F3" s="692">
        <f>'CANARD AERO'!C24</f>
        <v>3.9167551999999999</v>
      </c>
      <c r="G3" s="2" t="s">
        <v>1011</v>
      </c>
    </row>
    <row r="4" spans="1:43" x14ac:dyDescent="0.25">
      <c r="A4" s="567"/>
      <c r="F4" s="2"/>
      <c r="AF4" t="s">
        <v>937</v>
      </c>
    </row>
    <row r="5" spans="1:43" x14ac:dyDescent="0.25">
      <c r="A5" s="567"/>
      <c r="F5" s="2"/>
    </row>
    <row r="6" spans="1:43" x14ac:dyDescent="0.25">
      <c r="A6" s="567"/>
      <c r="D6" s="4" t="s">
        <v>974</v>
      </c>
      <c r="F6" s="2"/>
    </row>
    <row r="7" spans="1:43" x14ac:dyDescent="0.25">
      <c r="A7" s="567"/>
      <c r="D7" s="562" t="s">
        <v>973</v>
      </c>
      <c r="F7" s="742">
        <v>21</v>
      </c>
    </row>
    <row r="8" spans="1:43" x14ac:dyDescent="0.25">
      <c r="F8" s="2"/>
    </row>
    <row r="9" spans="1:43" ht="14.25" customHeight="1" x14ac:dyDescent="0.25">
      <c r="F9" s="5" t="s">
        <v>991</v>
      </c>
    </row>
    <row r="10" spans="1:43" x14ac:dyDescent="0.25">
      <c r="D10" s="562" t="s">
        <v>811</v>
      </c>
      <c r="F10" s="652">
        <v>10</v>
      </c>
      <c r="G10" t="s">
        <v>857</v>
      </c>
    </row>
    <row r="11" spans="1:43" x14ac:dyDescent="0.25">
      <c r="D11" s="562" t="s">
        <v>992</v>
      </c>
      <c r="F11" s="652">
        <v>0.01</v>
      </c>
      <c r="G11" t="s">
        <v>856</v>
      </c>
    </row>
    <row r="12" spans="1:43" x14ac:dyDescent="0.25">
      <c r="D12" s="562" t="s">
        <v>703</v>
      </c>
      <c r="F12" s="653">
        <f>2*F11/F10</f>
        <v>2E-3</v>
      </c>
    </row>
    <row r="13" spans="1:43" x14ac:dyDescent="0.25">
      <c r="D13" s="562" t="s">
        <v>706</v>
      </c>
      <c r="F13" s="653">
        <f>2*F11/F10</f>
        <v>2E-3</v>
      </c>
    </row>
    <row r="14" spans="1:43" x14ac:dyDescent="0.25">
      <c r="AP14" s="2"/>
    </row>
    <row r="15" spans="1:43" x14ac:dyDescent="0.25">
      <c r="B15" s="2" t="s">
        <v>1011</v>
      </c>
      <c r="C15" s="2" t="s">
        <v>1011</v>
      </c>
      <c r="D15" s="2" t="s">
        <v>1011</v>
      </c>
      <c r="E15" s="2" t="s">
        <v>1014</v>
      </c>
      <c r="F15" s="2" t="s">
        <v>1022</v>
      </c>
      <c r="G15" s="2" t="s">
        <v>1022</v>
      </c>
      <c r="H15" s="2" t="s">
        <v>1022</v>
      </c>
      <c r="I15" s="2" t="s">
        <v>1022</v>
      </c>
      <c r="J15" s="2" t="s">
        <v>1022</v>
      </c>
      <c r="K15" s="2" t="s">
        <v>1022</v>
      </c>
      <c r="L15" s="2"/>
      <c r="M15" s="2" t="s">
        <v>1023</v>
      </c>
      <c r="N15" s="2" t="s">
        <v>1023</v>
      </c>
      <c r="O15" s="2" t="s">
        <v>1021</v>
      </c>
      <c r="P15" s="2" t="s">
        <v>1021</v>
      </c>
      <c r="Q15" s="2" t="s">
        <v>1012</v>
      </c>
      <c r="R15" s="2" t="s">
        <v>1011</v>
      </c>
      <c r="S15" s="2" t="s">
        <v>1011</v>
      </c>
      <c r="T15" s="2" t="s">
        <v>1021</v>
      </c>
      <c r="U15" s="2" t="s">
        <v>1021</v>
      </c>
      <c r="V15" s="2" t="s">
        <v>1012</v>
      </c>
      <c r="W15" s="2" t="s">
        <v>1011</v>
      </c>
      <c r="X15" s="2" t="s">
        <v>1011</v>
      </c>
      <c r="Y15" s="2" t="s">
        <v>1011</v>
      </c>
      <c r="Z15" s="2" t="s">
        <v>1011</v>
      </c>
      <c r="AA15" s="2" t="s">
        <v>1011</v>
      </c>
      <c r="AB15" s="2" t="s">
        <v>1011</v>
      </c>
      <c r="AC15" s="2" t="s">
        <v>1017</v>
      </c>
      <c r="AD15" s="2" t="s">
        <v>1017</v>
      </c>
      <c r="AE15" s="2" t="s">
        <v>1011</v>
      </c>
      <c r="AF15" s="2" t="s">
        <v>1011</v>
      </c>
      <c r="AG15" s="2" t="s">
        <v>1020</v>
      </c>
      <c r="AH15" s="2" t="s">
        <v>1011</v>
      </c>
      <c r="AK15" s="2" t="s">
        <v>1011</v>
      </c>
      <c r="AM15" s="2" t="s">
        <v>1014</v>
      </c>
      <c r="AQ15" t="s">
        <v>1019</v>
      </c>
    </row>
    <row r="16" spans="1:43" ht="15.75" thickBot="1" x14ac:dyDescent="0.3">
      <c r="A16" s="614" t="s">
        <v>1114</v>
      </c>
      <c r="B16" s="610"/>
      <c r="C16" s="610"/>
      <c r="D16" s="610"/>
      <c r="E16" s="610"/>
      <c r="F16" s="610"/>
      <c r="G16" s="610"/>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1"/>
    </row>
    <row r="17" spans="1:43" x14ac:dyDescent="0.25">
      <c r="A17" s="731" t="s">
        <v>616</v>
      </c>
      <c r="B17" s="732" t="s">
        <v>646</v>
      </c>
      <c r="C17" s="733" t="s">
        <v>648</v>
      </c>
      <c r="D17" s="733" t="s">
        <v>650</v>
      </c>
      <c r="E17" s="733" t="s">
        <v>652</v>
      </c>
      <c r="F17" s="733" t="s">
        <v>655</v>
      </c>
      <c r="G17" s="733" t="s">
        <v>659</v>
      </c>
      <c r="H17" s="733" t="s">
        <v>661</v>
      </c>
      <c r="I17" s="733" t="s">
        <v>663</v>
      </c>
      <c r="J17" s="733" t="s">
        <v>665</v>
      </c>
      <c r="K17" s="733" t="s">
        <v>667</v>
      </c>
      <c r="L17" s="733" t="s">
        <v>608</v>
      </c>
      <c r="M17" s="733" t="s">
        <v>670</v>
      </c>
      <c r="N17" s="733" t="s">
        <v>672</v>
      </c>
      <c r="O17" s="733" t="s">
        <v>674</v>
      </c>
      <c r="P17" s="733" t="s">
        <v>676</v>
      </c>
      <c r="Q17" s="733" t="s">
        <v>678</v>
      </c>
      <c r="R17" s="733" t="s">
        <v>681</v>
      </c>
      <c r="S17" s="733" t="s">
        <v>683</v>
      </c>
      <c r="T17" s="733" t="s">
        <v>685</v>
      </c>
      <c r="U17" s="733" t="s">
        <v>687</v>
      </c>
      <c r="V17" s="733" t="s">
        <v>689</v>
      </c>
      <c r="W17" s="733" t="s">
        <v>691</v>
      </c>
      <c r="X17" s="733" t="s">
        <v>693</v>
      </c>
      <c r="Y17" s="733" t="s">
        <v>695</v>
      </c>
      <c r="Z17" s="733" t="s">
        <v>697</v>
      </c>
      <c r="AA17" s="733" t="s">
        <v>699</v>
      </c>
      <c r="AB17" s="733" t="s">
        <v>701</v>
      </c>
      <c r="AC17" s="733" t="s">
        <v>703</v>
      </c>
      <c r="AD17" s="733" t="s">
        <v>706</v>
      </c>
      <c r="AE17" s="733" t="s">
        <v>708</v>
      </c>
      <c r="AF17" s="733" t="s">
        <v>710</v>
      </c>
      <c r="AG17" s="733" t="s">
        <v>712</v>
      </c>
      <c r="AH17" s="733" t="s">
        <v>716</v>
      </c>
      <c r="AI17" s="733" t="s">
        <v>718</v>
      </c>
      <c r="AJ17" s="733" t="s">
        <v>720</v>
      </c>
      <c r="AK17" s="733" t="s">
        <v>722</v>
      </c>
      <c r="AL17" s="733" t="s">
        <v>725</v>
      </c>
      <c r="AM17" s="733" t="s">
        <v>727</v>
      </c>
      <c r="AN17" s="733" t="s">
        <v>729</v>
      </c>
      <c r="AO17" s="733" t="s">
        <v>731</v>
      </c>
      <c r="AP17" s="733" t="s">
        <v>733</v>
      </c>
      <c r="AQ17" s="734" t="s">
        <v>735</v>
      </c>
    </row>
    <row r="18" spans="1:43" x14ac:dyDescent="0.25">
      <c r="A18" s="572">
        <f ca="1">'REF - ASWING STRUCT-Imperial'!AV50</f>
        <v>0</v>
      </c>
      <c r="B18" s="735">
        <f ca="1">'REF - ASWING STRUCT-Imperial'!AW50/3.28084</f>
        <v>3.1728633999999998</v>
      </c>
      <c r="C18" s="659">
        <f ca="1">'REF - ASWING STRUCT-Imperial'!AX50/3.28084</f>
        <v>0</v>
      </c>
      <c r="D18" s="659">
        <f ca="1">'REF - ASWING STRUCT-Imperial'!AY50/3.28084</f>
        <v>3.9167552000000003</v>
      </c>
      <c r="E18" s="41">
        <f ca="1">'REF - ASWING STRUCT-Imperial'!AZ50</f>
        <v>0</v>
      </c>
      <c r="F18" s="41">
        <f ca="1">'REF - ASWING STRUCT-Imperial'!BA50*0.413253134140599</f>
        <v>108293.8811456291</v>
      </c>
      <c r="G18" s="41">
        <f ca="1">'REF - ASWING STRUCT-Imperial'!BB50*0.413253134140599</f>
        <v>94404.660607434445</v>
      </c>
      <c r="H18" s="41">
        <f ca="1">'REF - ASWING STRUCT-Imperial'!BC50*0.413253134140599</f>
        <v>0</v>
      </c>
      <c r="I18" s="41">
        <f ca="1">'REF - ASWING STRUCT-Imperial'!BD50*0.413253134140599</f>
        <v>0</v>
      </c>
      <c r="J18" s="41">
        <f ca="1">'REF - ASWING STRUCT-Imperial'!BE50*0.413253134140599</f>
        <v>0</v>
      </c>
      <c r="K18" s="41">
        <f ca="1">'REF - ASWING STRUCT-Imperial'!BF50*0.413253134140599</f>
        <v>1604012.7249157543</v>
      </c>
      <c r="L18" s="41">
        <f ca="1">'REF - ASWING STRUCT-Imperial'!BG50</f>
        <v>0</v>
      </c>
      <c r="M18" s="41">
        <f ca="1">'REF - ASWING STRUCT-Imperial'!BH50*4.44822</f>
        <v>0</v>
      </c>
      <c r="N18" s="41">
        <f ca="1">'REF - ASWING STRUCT-Imperial'!BI50*4.44822</f>
        <v>0</v>
      </c>
      <c r="O18" s="41">
        <f ca="1">'REF - ASWING STRUCT-Imperial'!BJ50/(2.20462*3.28084)</f>
        <v>0</v>
      </c>
      <c r="P18" s="41">
        <f ca="1">'REF - ASWING STRUCT-Imperial'!BK50/(2.20462*3.28084)</f>
        <v>0</v>
      </c>
      <c r="Q18" s="41">
        <f ca="1">'REF - ASWING STRUCT-Imperial'!BL50/(2.20462)*3.28084</f>
        <v>5.1655231769395664</v>
      </c>
      <c r="R18" s="41">
        <f ca="1">'REF - ASWING STRUCT-Imperial'!BM50/3.28084</f>
        <v>0.11999167415475685</v>
      </c>
      <c r="S18" s="41">
        <f ca="1">'REF - ASWING STRUCT-Imperial'!BN50/3.28084</f>
        <v>0</v>
      </c>
      <c r="T18" s="41">
        <f ca="1">'REF - ASWING STRUCT-Imperial'!BO50/(2.20462*3.28084)</f>
        <v>0</v>
      </c>
      <c r="U18" s="41">
        <f ca="1">'REF - ASWING STRUCT-Imperial'!BP50/(2.20462*3.28084)</f>
        <v>0</v>
      </c>
      <c r="V18" s="41">
        <f ca="1">'REF - ASWING STRUCT-Imperial'!BQ50/(2.20462)*3.28084</f>
        <v>0</v>
      </c>
      <c r="W18" s="41">
        <f ca="1">'REF - ASWING STRUCT-Imperial'!BR50/3.28084</f>
        <v>0</v>
      </c>
      <c r="X18" s="41">
        <f ca="1">'REF - ASWING STRUCT-Imperial'!BS50/3.28084</f>
        <v>0</v>
      </c>
      <c r="Y18" s="41">
        <f ca="1">'REF - ASWING STRUCT-Imperial'!BT50/3.28084</f>
        <v>5.8500527787553901E-2</v>
      </c>
      <c r="Z18" s="41">
        <f ca="1">'REF - ASWING STRUCT-Imperial'!BU50/3.28084</f>
        <v>0</v>
      </c>
      <c r="AA18" s="41">
        <f ca="1">'REF - ASWING STRUCT-Imperial'!BV50/3.28084</f>
        <v>0</v>
      </c>
      <c r="AB18" s="41">
        <f ca="1">'REF - ASWING STRUCT-Imperial'!BW50/3.28084</f>
        <v>0</v>
      </c>
      <c r="AC18" s="41">
        <f ca="1">'REF - ASWING STRUCT-Imperial'!BX50</f>
        <v>2E-3</v>
      </c>
      <c r="AD18" s="41">
        <f ca="1">'REF - ASWING STRUCT-Imperial'!BY50</f>
        <v>2E-3</v>
      </c>
      <c r="AE18" s="41">
        <f ca="1">'REF - ASWING STRUCT-Imperial'!BZ50/3.28084</f>
        <v>0</v>
      </c>
      <c r="AF18" s="41">
        <f ca="1">'REF - ASWING STRUCT-Imperial'!CA50/3.28084</f>
        <v>5.8499999999999996E-2</v>
      </c>
      <c r="AG18" s="41">
        <f ca="1">'REF - ASWING STRUCT-Imperial'!CB50/(3.28084^3)</f>
        <v>3.359785973345497E-5</v>
      </c>
      <c r="AH18" s="41">
        <f ca="1">'REF - ASWING STRUCT-Imperial'!CC50/3.28084</f>
        <v>0</v>
      </c>
      <c r="AI18" s="41">
        <f>'REF - ASWING STRUCT-Imperial'!CD50</f>
        <v>5.4999999999999997E-3</v>
      </c>
      <c r="AJ18" s="41">
        <f>'REF - ASWING STRUCT-Imperial'!CE50</f>
        <v>5.4999999999999997E-3</v>
      </c>
      <c r="AK18" s="41">
        <f ca="1">'REF - ASWING STRUCT-Imperial'!CF50/3.28084</f>
        <v>0.65</v>
      </c>
      <c r="AL18" s="41">
        <f ca="1">'REF - ASWING STRUCT-Imperial'!CG50</f>
        <v>0.25</v>
      </c>
      <c r="AM18" s="41">
        <f ca="1">'REF - ASWING STRUCT-Imperial'!CH50</f>
        <v>5.9</v>
      </c>
      <c r="AN18" s="41">
        <f ca="1">'REF - ASWING STRUCT-Imperial'!CI50</f>
        <v>-0.15</v>
      </c>
      <c r="AO18" s="41">
        <f ca="1">'REF - ASWING STRUCT-Imperial'!CJ50</f>
        <v>2.25</v>
      </c>
      <c r="AP18" s="41">
        <f ca="1">'REF - ASWING STRUCT-Imperial'!CK50</f>
        <v>-1.65</v>
      </c>
      <c r="AQ18" s="736">
        <f ca="1">'REF - ASWING STRUCT-Imperial'!CL50</f>
        <v>5.9690260418206069</v>
      </c>
    </row>
    <row r="19" spans="1:43" x14ac:dyDescent="0.25">
      <c r="A19" s="575">
        <f ca="1">'REF - ASWING STRUCT-Imperial'!AV51</f>
        <v>4</v>
      </c>
      <c r="B19" s="735">
        <f ca="1">'REF - ASWING STRUCT-Imperial'!AW51/3.28084</f>
        <v>3.1758633999999999</v>
      </c>
      <c r="C19" s="659">
        <f ca="1">'REF - ASWING STRUCT-Imperial'!AX51/3.28084</f>
        <v>0.12000000000000001</v>
      </c>
      <c r="D19" s="659">
        <f ca="1">'REF - ASWING STRUCT-Imperial'!AY51/3.28084</f>
        <v>3.9167552000000003</v>
      </c>
      <c r="E19" s="41">
        <f ca="1">'REF - ASWING STRUCT-Imperial'!AZ51</f>
        <v>0</v>
      </c>
      <c r="F19" s="41">
        <f ca="1">'REF - ASWING STRUCT-Imperial'!BA51*0.413253134140599</f>
        <v>102921.07595694142</v>
      </c>
      <c r="G19" s="41">
        <f ca="1">'REF - ASWING STRUCT-Imperial'!BB51*0.413253134140599</f>
        <v>90951.125851579971</v>
      </c>
      <c r="H19" s="41">
        <f ca="1">'REF - ASWING STRUCT-Imperial'!BC51*0.413253134140599</f>
        <v>0</v>
      </c>
      <c r="I19" s="41">
        <f ca="1">'REF - ASWING STRUCT-Imperial'!BD51*0.413253134140599</f>
        <v>0</v>
      </c>
      <c r="J19" s="41">
        <f ca="1">'REF - ASWING STRUCT-Imperial'!BE51*0.413253134140599</f>
        <v>0</v>
      </c>
      <c r="K19" s="41">
        <f ca="1">'REF - ASWING STRUCT-Imperial'!BF51*0.413253134140599</f>
        <v>1516805.0835619054</v>
      </c>
      <c r="L19" s="41">
        <f ca="1">'REF - ASWING STRUCT-Imperial'!BG51</f>
        <v>0</v>
      </c>
      <c r="M19" s="41">
        <f ca="1">'REF - ASWING STRUCT-Imperial'!BH51*4.44822</f>
        <v>0</v>
      </c>
      <c r="N19" s="41">
        <f ca="1">'REF - ASWING STRUCT-Imperial'!BI51*4.44822</f>
        <v>0</v>
      </c>
      <c r="O19" s="41">
        <f ca="1">'REF - ASWING STRUCT-Imperial'!BJ51/(2.20462*3.28084)</f>
        <v>0</v>
      </c>
      <c r="P19" s="41">
        <f ca="1">'REF - ASWING STRUCT-Imperial'!BK51/(2.20462*3.28084)</f>
        <v>0</v>
      </c>
      <c r="Q19" s="41">
        <f ca="1">'REF - ASWING STRUCT-Imperial'!BL51/(2.20462)*3.28084</f>
        <v>5.0881644031334483</v>
      </c>
      <c r="R19" s="41">
        <f ca="1">'REF - ASWING STRUCT-Imperial'!BM51/3.28084</f>
        <v>0.11735702751273738</v>
      </c>
      <c r="S19" s="41">
        <f ca="1">'REF - ASWING STRUCT-Imperial'!BN51/3.28084</f>
        <v>0</v>
      </c>
      <c r="T19" s="41">
        <f ca="1">'REF - ASWING STRUCT-Imperial'!BO51/(2.20462*3.28084)</f>
        <v>0</v>
      </c>
      <c r="U19" s="41">
        <f ca="1">'REF - ASWING STRUCT-Imperial'!BP51/(2.20462*3.28084)</f>
        <v>0</v>
      </c>
      <c r="V19" s="41">
        <f ca="1">'REF - ASWING STRUCT-Imperial'!BQ51/(2.20462)*3.28084</f>
        <v>0</v>
      </c>
      <c r="W19" s="41">
        <f ca="1">'REF - ASWING STRUCT-Imperial'!BR51/3.28084</f>
        <v>0</v>
      </c>
      <c r="X19" s="41">
        <f ca="1">'REF - ASWING STRUCT-Imperial'!BS51/3.28084</f>
        <v>0</v>
      </c>
      <c r="Y19" s="41">
        <f ca="1">'REF - ASWING STRUCT-Imperial'!BT51/3.28084</f>
        <v>5.7504196206161415E-2</v>
      </c>
      <c r="Z19" s="41">
        <f ca="1">'REF - ASWING STRUCT-Imperial'!BU51/3.28084</f>
        <v>0</v>
      </c>
      <c r="AA19" s="41">
        <f ca="1">'REF - ASWING STRUCT-Imperial'!BV51/3.28084</f>
        <v>0</v>
      </c>
      <c r="AB19" s="41">
        <f ca="1">'REF - ASWING STRUCT-Imperial'!BW51/3.28084</f>
        <v>0</v>
      </c>
      <c r="AC19" s="41">
        <f ca="1">'REF - ASWING STRUCT-Imperial'!BX51</f>
        <v>2E-3</v>
      </c>
      <c r="AD19" s="41">
        <f ca="1">'REF - ASWING STRUCT-Imperial'!BY51</f>
        <v>2E-3</v>
      </c>
      <c r="AE19" s="41">
        <f ca="1">'REF - ASWING STRUCT-Imperial'!BZ51/3.28084</f>
        <v>0</v>
      </c>
      <c r="AF19" s="41">
        <f ca="1">'REF - ASWING STRUCT-Imperial'!CA51/3.28084</f>
        <v>5.7420000000000006E-2</v>
      </c>
      <c r="AG19" s="41">
        <f ca="1">'REF - ASWING STRUCT-Imperial'!CB51/(3.28084^3)</f>
        <v>3.2368774478921769E-5</v>
      </c>
      <c r="AH19" s="41">
        <f ca="1">'REF - ASWING STRUCT-Imperial'!CC51/3.28084</f>
        <v>0</v>
      </c>
      <c r="AI19" s="41">
        <f>'REF - ASWING STRUCT-Imperial'!CD51</f>
        <v>5.4999999999999997E-3</v>
      </c>
      <c r="AJ19" s="41">
        <f>'REF - ASWING STRUCT-Imperial'!CE51</f>
        <v>5.4999999999999997E-3</v>
      </c>
      <c r="AK19" s="41">
        <f ca="1">'REF - ASWING STRUCT-Imperial'!CF51/3.28084</f>
        <v>0.63800000000000001</v>
      </c>
      <c r="AL19" s="41">
        <f ca="1">'REF - ASWING STRUCT-Imperial'!CG51</f>
        <v>0.25</v>
      </c>
      <c r="AM19" s="41">
        <f ca="1">'REF - ASWING STRUCT-Imperial'!CH51</f>
        <v>5.9</v>
      </c>
      <c r="AN19" s="41">
        <f ca="1">'REF - ASWING STRUCT-Imperial'!CI51</f>
        <v>-0.15</v>
      </c>
      <c r="AO19" s="41">
        <f ca="1">'REF - ASWING STRUCT-Imperial'!CJ51</f>
        <v>2.25</v>
      </c>
      <c r="AP19" s="41">
        <f ca="1">'REF - ASWING STRUCT-Imperial'!CK51</f>
        <v>-1.65</v>
      </c>
      <c r="AQ19" s="737">
        <f ca="1">'REF - ASWING STRUCT-Imperial'!CL51</f>
        <v>5.9690260418206069</v>
      </c>
    </row>
    <row r="20" spans="1:43" x14ac:dyDescent="0.25">
      <c r="A20" s="575">
        <f ca="1">'REF - ASWING STRUCT-Imperial'!AV52</f>
        <v>9</v>
      </c>
      <c r="B20" s="735">
        <f ca="1">'REF - ASWING STRUCT-Imperial'!AW52/3.28084</f>
        <v>3.1796134</v>
      </c>
      <c r="C20" s="659">
        <f ca="1">'REF - ASWING STRUCT-Imperial'!AX52/3.28084</f>
        <v>0.27</v>
      </c>
      <c r="D20" s="659">
        <f ca="1">'REF - ASWING STRUCT-Imperial'!AY52/3.28084</f>
        <v>3.9167552000000003</v>
      </c>
      <c r="E20" s="41">
        <f ca="1">'REF - ASWING STRUCT-Imperial'!AZ52</f>
        <v>0</v>
      </c>
      <c r="F20" s="41">
        <f ca="1">'REF - ASWING STRUCT-Imperial'!BA52*0.413253134140599</f>
        <v>96397.294673056458</v>
      </c>
      <c r="G20" s="41">
        <f ca="1">'REF - ASWING STRUCT-Imperial'!BB52*0.413253134140599</f>
        <v>86724.701815154796</v>
      </c>
      <c r="H20" s="41">
        <f ca="1">'REF - ASWING STRUCT-Imperial'!BC52*0.413253134140599</f>
        <v>0</v>
      </c>
      <c r="I20" s="41">
        <f ca="1">'REF - ASWING STRUCT-Imperial'!BD52*0.413253134140599</f>
        <v>0</v>
      </c>
      <c r="J20" s="41">
        <f ca="1">'REF - ASWING STRUCT-Imperial'!BE52*0.413253134140599</f>
        <v>0</v>
      </c>
      <c r="K20" s="41">
        <f ca="1">'REF - ASWING STRUCT-Imperial'!BF52*0.413253134140599</f>
        <v>1412316.0003939886</v>
      </c>
      <c r="L20" s="41">
        <f ca="1">'REF - ASWING STRUCT-Imperial'!BG52</f>
        <v>0</v>
      </c>
      <c r="M20" s="41">
        <f ca="1">'REF - ASWING STRUCT-Imperial'!BH52*4.44822</f>
        <v>0</v>
      </c>
      <c r="N20" s="41">
        <f ca="1">'REF - ASWING STRUCT-Imperial'!BI52*4.44822</f>
        <v>0</v>
      </c>
      <c r="O20" s="41">
        <f ca="1">'REF - ASWING STRUCT-Imperial'!BJ52/(2.20462*3.28084)</f>
        <v>0</v>
      </c>
      <c r="P20" s="41">
        <f ca="1">'REF - ASWING STRUCT-Imperial'!BK52/(2.20462*3.28084)</f>
        <v>0</v>
      </c>
      <c r="Q20" s="41">
        <f ca="1">'REF - ASWING STRUCT-Imperial'!BL52/(2.20462)*3.28084</f>
        <v>4.9914659358758033</v>
      </c>
      <c r="R20" s="41">
        <f ca="1">'REF - ASWING STRUCT-Imperial'!BM52/3.28084</f>
        <v>0.11406768863893471</v>
      </c>
      <c r="S20" s="41">
        <f ca="1">'REF - ASWING STRUCT-Imperial'!BN52/3.28084</f>
        <v>0</v>
      </c>
      <c r="T20" s="41">
        <f ca="1">'REF - ASWING STRUCT-Imperial'!BO52/(2.20462*3.28084)</f>
        <v>0</v>
      </c>
      <c r="U20" s="41">
        <f ca="1">'REF - ASWING STRUCT-Imperial'!BP52/(2.20462*3.28084)</f>
        <v>0</v>
      </c>
      <c r="V20" s="41">
        <f ca="1">'REF - ASWING STRUCT-Imperial'!BQ52/(2.20462)*3.28084</f>
        <v>0</v>
      </c>
      <c r="W20" s="41">
        <f ca="1">'REF - ASWING STRUCT-Imperial'!BR52/3.28084</f>
        <v>0</v>
      </c>
      <c r="X20" s="41">
        <f ca="1">'REF - ASWING STRUCT-Imperial'!BS52/3.28084</f>
        <v>0</v>
      </c>
      <c r="Y20" s="41">
        <f ca="1">'REF - ASWING STRUCT-Imperial'!BT52/3.28084</f>
        <v>5.6267097223831684E-2</v>
      </c>
      <c r="Z20" s="41">
        <f ca="1">'REF - ASWING STRUCT-Imperial'!BU52/3.28084</f>
        <v>0</v>
      </c>
      <c r="AA20" s="41">
        <f ca="1">'REF - ASWING STRUCT-Imperial'!BV52/3.28084</f>
        <v>0</v>
      </c>
      <c r="AB20" s="41">
        <f ca="1">'REF - ASWING STRUCT-Imperial'!BW52/3.28084</f>
        <v>0</v>
      </c>
      <c r="AC20" s="41">
        <f ca="1">'REF - ASWING STRUCT-Imperial'!BX52</f>
        <v>2E-3</v>
      </c>
      <c r="AD20" s="41">
        <f ca="1">'REF - ASWING STRUCT-Imperial'!BY52</f>
        <v>2E-3</v>
      </c>
      <c r="AE20" s="41">
        <f ca="1">'REF - ASWING STRUCT-Imperial'!BZ52/3.28084</f>
        <v>0</v>
      </c>
      <c r="AF20" s="41">
        <f ca="1">'REF - ASWING STRUCT-Imperial'!CA52/3.28084</f>
        <v>5.6069999999999995E-2</v>
      </c>
      <c r="AG20" s="41">
        <f ca="1">'REF - ASWING STRUCT-Imperial'!CB52/(3.28084^3)</f>
        <v>3.0864624143162468E-5</v>
      </c>
      <c r="AH20" s="41">
        <f ca="1">'REF - ASWING STRUCT-Imperial'!CC52/3.28084</f>
        <v>0</v>
      </c>
      <c r="AI20" s="41">
        <f>'REF - ASWING STRUCT-Imperial'!CD52</f>
        <v>5.4999999999999997E-3</v>
      </c>
      <c r="AJ20" s="41">
        <f>'REF - ASWING STRUCT-Imperial'!CE52</f>
        <v>5.4999999999999997E-3</v>
      </c>
      <c r="AK20" s="41">
        <f ca="1">'REF - ASWING STRUCT-Imperial'!CF52/3.28084</f>
        <v>0.623</v>
      </c>
      <c r="AL20" s="41">
        <f ca="1">'REF - ASWING STRUCT-Imperial'!CG52</f>
        <v>0.25</v>
      </c>
      <c r="AM20" s="41">
        <f ca="1">'REF - ASWING STRUCT-Imperial'!CH52</f>
        <v>5.9</v>
      </c>
      <c r="AN20" s="41">
        <f ca="1">'REF - ASWING STRUCT-Imperial'!CI52</f>
        <v>-0.15</v>
      </c>
      <c r="AO20" s="41">
        <f ca="1">'REF - ASWING STRUCT-Imperial'!CJ52</f>
        <v>2.25</v>
      </c>
      <c r="AP20" s="41">
        <f ca="1">'REF - ASWING STRUCT-Imperial'!CK52</f>
        <v>-1.65</v>
      </c>
      <c r="AQ20" s="737">
        <f ca="1">'REF - ASWING STRUCT-Imperial'!CL52</f>
        <v>5.9690260418206069</v>
      </c>
    </row>
    <row r="21" spans="1:43" x14ac:dyDescent="0.25">
      <c r="A21" s="575">
        <f ca="1">'REF - ASWING STRUCT-Imperial'!AV53</f>
        <v>14.000000000000002</v>
      </c>
      <c r="B21" s="735">
        <f ca="1">'REF - ASWING STRUCT-Imperial'!AW53/3.28084</f>
        <v>3.1833633999999997</v>
      </c>
      <c r="C21" s="659">
        <f ca="1">'REF - ASWING STRUCT-Imperial'!AX53/3.28084</f>
        <v>0.42000000000000004</v>
      </c>
      <c r="D21" s="659">
        <f ca="1">'REF - ASWING STRUCT-Imperial'!AY53/3.28084</f>
        <v>3.9167552000000003</v>
      </c>
      <c r="E21" s="41">
        <f ca="1">'REF - ASWING STRUCT-Imperial'!AZ53</f>
        <v>0</v>
      </c>
      <c r="F21" s="41">
        <f ca="1">'REF - ASWING STRUCT-Imperial'!BA53*0.413253134140599</f>
        <v>76652.804816454474</v>
      </c>
      <c r="G21" s="41">
        <f ca="1">'REF - ASWING STRUCT-Imperial'!BB53*0.413253134140599</f>
        <v>68125.586888411679</v>
      </c>
      <c r="H21" s="41">
        <f ca="1">'REF - ASWING STRUCT-Imperial'!BC53*0.413253134140599</f>
        <v>0</v>
      </c>
      <c r="I21" s="41">
        <f ca="1">'REF - ASWING STRUCT-Imperial'!BD53*0.413253134140599</f>
        <v>0</v>
      </c>
      <c r="J21" s="41">
        <f ca="1">'REF - ASWING STRUCT-Imperial'!BE53*0.413253134140599</f>
        <v>0</v>
      </c>
      <c r="K21" s="41">
        <f ca="1">'REF - ASWING STRUCT-Imperial'!BF53*0.413253134140599</f>
        <v>1312739.2700792004</v>
      </c>
      <c r="L21" s="41">
        <f ca="1">'REF - ASWING STRUCT-Imperial'!BG53</f>
        <v>0</v>
      </c>
      <c r="M21" s="41">
        <f ca="1">'REF - ASWING STRUCT-Imperial'!BH53*4.44822</f>
        <v>0</v>
      </c>
      <c r="N21" s="41">
        <f ca="1">'REF - ASWING STRUCT-Imperial'!BI53*4.44822</f>
        <v>0</v>
      </c>
      <c r="O21" s="41">
        <f ca="1">'REF - ASWING STRUCT-Imperial'!BJ53/(2.20462*3.28084)</f>
        <v>0</v>
      </c>
      <c r="P21" s="41">
        <f ca="1">'REF - ASWING STRUCT-Imperial'!BK53/(2.20462*3.28084)</f>
        <v>0</v>
      </c>
      <c r="Q21" s="41">
        <f ca="1">'REF - ASWING STRUCT-Imperial'!BL53/(2.20462)*3.28084</f>
        <v>4.7191468893011512</v>
      </c>
      <c r="R21" s="41">
        <f ca="1">'REF - ASWING STRUCT-Imperial'!BM53/3.28084</f>
        <v>0.11485084670915716</v>
      </c>
      <c r="S21" s="41">
        <f ca="1">'REF - ASWING STRUCT-Imperial'!BN53/3.28084</f>
        <v>0</v>
      </c>
      <c r="T21" s="41">
        <f ca="1">'REF - ASWING STRUCT-Imperial'!BO53/(2.20462*3.28084)</f>
        <v>0</v>
      </c>
      <c r="U21" s="41">
        <f ca="1">'REF - ASWING STRUCT-Imperial'!BP53/(2.20462*3.28084)</f>
        <v>0</v>
      </c>
      <c r="V21" s="41">
        <f ca="1">'REF - ASWING STRUCT-Imperial'!BQ53/(2.20462)*3.28084</f>
        <v>0</v>
      </c>
      <c r="W21" s="41">
        <f ca="1">'REF - ASWING STRUCT-Imperial'!BR53/3.28084</f>
        <v>0</v>
      </c>
      <c r="X21" s="41">
        <f ca="1">'REF - ASWING STRUCT-Imperial'!BS53/3.28084</f>
        <v>0</v>
      </c>
      <c r="Y21" s="41">
        <f ca="1">'REF - ASWING STRUCT-Imperial'!BT53/3.28084</f>
        <v>5.5039673514074614E-2</v>
      </c>
      <c r="Z21" s="41">
        <f ca="1">'REF - ASWING STRUCT-Imperial'!BU53/3.28084</f>
        <v>0</v>
      </c>
      <c r="AA21" s="41">
        <f ca="1">'REF - ASWING STRUCT-Imperial'!BV53/3.28084</f>
        <v>0</v>
      </c>
      <c r="AB21" s="41">
        <f ca="1">'REF - ASWING STRUCT-Imperial'!BW53/3.28084</f>
        <v>0</v>
      </c>
      <c r="AC21" s="41">
        <f ca="1">'REF - ASWING STRUCT-Imperial'!BX53</f>
        <v>2E-3</v>
      </c>
      <c r="AD21" s="41">
        <f ca="1">'REF - ASWING STRUCT-Imperial'!BY53</f>
        <v>2E-3</v>
      </c>
      <c r="AE21" s="41">
        <f ca="1">'REF - ASWING STRUCT-Imperial'!BZ53/3.28084</f>
        <v>0</v>
      </c>
      <c r="AF21" s="41">
        <f ca="1">'REF - ASWING STRUCT-Imperial'!CA53/3.28084</f>
        <v>5.4719999999999998E-2</v>
      </c>
      <c r="AG21" s="41">
        <f ca="1">'REF - ASWING STRUCT-Imperial'!CB53/(3.28084^3)</f>
        <v>2.9396258510077854E-5</v>
      </c>
      <c r="AH21" s="41">
        <f ca="1">'REF - ASWING STRUCT-Imperial'!CC53/3.28084</f>
        <v>0</v>
      </c>
      <c r="AI21" s="41">
        <f>'REF - ASWING STRUCT-Imperial'!CD53</f>
        <v>5.4999999999999997E-3</v>
      </c>
      <c r="AJ21" s="41">
        <f>'REF - ASWING STRUCT-Imperial'!CE53</f>
        <v>5.4999999999999997E-3</v>
      </c>
      <c r="AK21" s="41">
        <f ca="1">'REF - ASWING STRUCT-Imperial'!CF53/3.28084</f>
        <v>0.60799999999999998</v>
      </c>
      <c r="AL21" s="41">
        <f ca="1">'REF - ASWING STRUCT-Imperial'!CG53</f>
        <v>0.25</v>
      </c>
      <c r="AM21" s="41">
        <f ca="1">'REF - ASWING STRUCT-Imperial'!CH53</f>
        <v>5.9</v>
      </c>
      <c r="AN21" s="41">
        <f ca="1">'REF - ASWING STRUCT-Imperial'!CI53</f>
        <v>-0.15</v>
      </c>
      <c r="AO21" s="41">
        <f ca="1">'REF - ASWING STRUCT-Imperial'!CJ53</f>
        <v>2.25</v>
      </c>
      <c r="AP21" s="41">
        <f ca="1">'REF - ASWING STRUCT-Imperial'!CK53</f>
        <v>-1.65</v>
      </c>
      <c r="AQ21" s="737">
        <f ca="1">'REF - ASWING STRUCT-Imperial'!CL53</f>
        <v>5.9690260418206069</v>
      </c>
    </row>
    <row r="22" spans="1:43" x14ac:dyDescent="0.25">
      <c r="A22" s="575">
        <f ca="1">'REF - ASWING STRUCT-Imperial'!AV54</f>
        <v>19.000000000000004</v>
      </c>
      <c r="B22" s="735">
        <f ca="1">'REF - ASWING STRUCT-Imperial'!AW54/3.28084</f>
        <v>3.1871133999999999</v>
      </c>
      <c r="C22" s="659">
        <f ca="1">'REF - ASWING STRUCT-Imperial'!AX54/3.28084</f>
        <v>0.57000000000000006</v>
      </c>
      <c r="D22" s="659">
        <f ca="1">'REF - ASWING STRUCT-Imperial'!AY54/3.28084</f>
        <v>3.9167552000000003</v>
      </c>
      <c r="E22" s="41">
        <f ca="1">'REF - ASWING STRUCT-Imperial'!AZ54</f>
        <v>0</v>
      </c>
      <c r="F22" s="41">
        <f ca="1">'REF - ASWING STRUCT-Imperial'!BA54*0.413253134140599</f>
        <v>71564.764660668501</v>
      </c>
      <c r="G22" s="41">
        <f ca="1">'REF - ASWING STRUCT-Imperial'!BB54*0.413253134140599</f>
        <v>64805.592385850687</v>
      </c>
      <c r="H22" s="41">
        <f ca="1">'REF - ASWING STRUCT-Imperial'!BC54*0.413253134140599</f>
        <v>0</v>
      </c>
      <c r="I22" s="41">
        <f ca="1">'REF - ASWING STRUCT-Imperial'!BD54*0.413253134140599</f>
        <v>0</v>
      </c>
      <c r="J22" s="41">
        <f ca="1">'REF - ASWING STRUCT-Imperial'!BE54*0.413253134140599</f>
        <v>0</v>
      </c>
      <c r="K22" s="41">
        <f ca="1">'REF - ASWING STRUCT-Imperial'!BF54*0.413253134140599</f>
        <v>1217956.6176692322</v>
      </c>
      <c r="L22" s="41">
        <f ca="1">'REF - ASWING STRUCT-Imperial'!BG54</f>
        <v>0</v>
      </c>
      <c r="M22" s="41">
        <f ca="1">'REF - ASWING STRUCT-Imperial'!BH54*4.44822</f>
        <v>0</v>
      </c>
      <c r="N22" s="41">
        <f ca="1">'REF - ASWING STRUCT-Imperial'!BI54*4.44822</f>
        <v>0</v>
      </c>
      <c r="O22" s="41">
        <f ca="1">'REF - ASWING STRUCT-Imperial'!BJ54/(2.20462*3.28084)</f>
        <v>0</v>
      </c>
      <c r="P22" s="41">
        <f ca="1">'REF - ASWING STRUCT-Imperial'!BK54/(2.20462*3.28084)</f>
        <v>0</v>
      </c>
      <c r="Q22" s="41">
        <f ca="1">'REF - ASWING STRUCT-Imperial'!BL54/(2.20462)*3.28084</f>
        <v>4.6224484220435063</v>
      </c>
      <c r="R22" s="41">
        <f ca="1">'REF - ASWING STRUCT-Imperial'!BM54/3.28084</f>
        <v>0.11153423651186907</v>
      </c>
      <c r="S22" s="41">
        <f ca="1">'REF - ASWING STRUCT-Imperial'!BN54/3.28084</f>
        <v>0</v>
      </c>
      <c r="T22" s="41">
        <f ca="1">'REF - ASWING STRUCT-Imperial'!BO54/(2.20462*3.28084)</f>
        <v>0</v>
      </c>
      <c r="U22" s="41">
        <f ca="1">'REF - ASWING STRUCT-Imperial'!BP54/(2.20462*3.28084)</f>
        <v>0</v>
      </c>
      <c r="V22" s="41">
        <f ca="1">'REF - ASWING STRUCT-Imperial'!BQ54/(2.20462)*3.28084</f>
        <v>0</v>
      </c>
      <c r="W22" s="41">
        <f ca="1">'REF - ASWING STRUCT-Imperial'!BR54/3.28084</f>
        <v>0</v>
      </c>
      <c r="X22" s="41">
        <f ca="1">'REF - ASWING STRUCT-Imperial'!BS54/3.28084</f>
        <v>0</v>
      </c>
      <c r="Y22" s="41">
        <f ca="1">'REF - ASWING STRUCT-Imperial'!BT54/3.28084</f>
        <v>5.3822378582930437E-2</v>
      </c>
      <c r="Z22" s="41">
        <f ca="1">'REF - ASWING STRUCT-Imperial'!BU54/3.28084</f>
        <v>0</v>
      </c>
      <c r="AA22" s="41">
        <f ca="1">'REF - ASWING STRUCT-Imperial'!BV54/3.28084</f>
        <v>0</v>
      </c>
      <c r="AB22" s="41">
        <f ca="1">'REF - ASWING STRUCT-Imperial'!BW54/3.28084</f>
        <v>0</v>
      </c>
      <c r="AC22" s="41">
        <f ca="1">'REF - ASWING STRUCT-Imperial'!BX54</f>
        <v>2E-3</v>
      </c>
      <c r="AD22" s="41">
        <f ca="1">'REF - ASWING STRUCT-Imperial'!BY54</f>
        <v>2E-3</v>
      </c>
      <c r="AE22" s="41">
        <f ca="1">'REF - ASWING STRUCT-Imperial'!BZ54/3.28084</f>
        <v>0</v>
      </c>
      <c r="AF22" s="41">
        <f ca="1">'REF - ASWING STRUCT-Imperial'!CA54/3.28084</f>
        <v>5.3370000000000001E-2</v>
      </c>
      <c r="AG22" s="41">
        <f ca="1">'REF - ASWING STRUCT-Imperial'!CB54/(3.28084^3)</f>
        <v>2.7963677579667951E-5</v>
      </c>
      <c r="AH22" s="41">
        <f ca="1">'REF - ASWING STRUCT-Imperial'!CC54/3.28084</f>
        <v>0</v>
      </c>
      <c r="AI22" s="41">
        <f>'REF - ASWING STRUCT-Imperial'!CD54</f>
        <v>5.4999999999999997E-3</v>
      </c>
      <c r="AJ22" s="41">
        <f>'REF - ASWING STRUCT-Imperial'!CE54</f>
        <v>5.4999999999999997E-3</v>
      </c>
      <c r="AK22" s="41">
        <f ca="1">'REF - ASWING STRUCT-Imperial'!CF54/3.28084</f>
        <v>0.59300000000000008</v>
      </c>
      <c r="AL22" s="41">
        <f ca="1">'REF - ASWING STRUCT-Imperial'!CG54</f>
        <v>0.25</v>
      </c>
      <c r="AM22" s="41">
        <f ca="1">'REF - ASWING STRUCT-Imperial'!CH54</f>
        <v>5.9</v>
      </c>
      <c r="AN22" s="41">
        <f ca="1">'REF - ASWING STRUCT-Imperial'!CI54</f>
        <v>-0.15</v>
      </c>
      <c r="AO22" s="41">
        <f ca="1">'REF - ASWING STRUCT-Imperial'!CJ54</f>
        <v>2.25</v>
      </c>
      <c r="AP22" s="41">
        <f ca="1">'REF - ASWING STRUCT-Imperial'!CK54</f>
        <v>-1.65</v>
      </c>
      <c r="AQ22" s="737">
        <f ca="1">'REF - ASWING STRUCT-Imperial'!CL54</f>
        <v>5.9690260418206069</v>
      </c>
    </row>
    <row r="23" spans="1:43" x14ac:dyDescent="0.25">
      <c r="A23" s="575">
        <f ca="1">'REF - ASWING STRUCT-Imperial'!AV55</f>
        <v>23.000000000000004</v>
      </c>
      <c r="B23" s="735">
        <f ca="1">'REF - ASWING STRUCT-Imperial'!AW55/3.28084</f>
        <v>3.1901134</v>
      </c>
      <c r="C23" s="659">
        <f ca="1">'REF - ASWING STRUCT-Imperial'!AX55/3.28084</f>
        <v>0.69000000000000006</v>
      </c>
      <c r="D23" s="659">
        <f ca="1">'REF - ASWING STRUCT-Imperial'!AY55/3.28084</f>
        <v>3.9167552000000003</v>
      </c>
      <c r="E23" s="41">
        <f ca="1">'REF - ASWING STRUCT-Imperial'!AZ55</f>
        <v>0</v>
      </c>
      <c r="F23" s="41">
        <f ca="1">'REF - ASWING STRUCT-Imperial'!BA55*0.413253134140599</f>
        <v>56158.406766760847</v>
      </c>
      <c r="G23" s="41">
        <f ca="1">'REF - ASWING STRUCT-Imperial'!BB55*0.413253134140599</f>
        <v>50010.65903948342</v>
      </c>
      <c r="H23" s="41">
        <f ca="1">'REF - ASWING STRUCT-Imperial'!BC55*0.413253134140599</f>
        <v>0</v>
      </c>
      <c r="I23" s="41">
        <f ca="1">'REF - ASWING STRUCT-Imperial'!BD55*0.413253134140599</f>
        <v>0</v>
      </c>
      <c r="J23" s="41">
        <f ca="1">'REF - ASWING STRUCT-Imperial'!BE55*0.413253134140599</f>
        <v>0</v>
      </c>
      <c r="K23" s="41">
        <f ca="1">'REF - ASWING STRUCT-Imperial'!BF55*0.413253134140599</f>
        <v>1145502.7510674617</v>
      </c>
      <c r="L23" s="41">
        <f ca="1">'REF - ASWING STRUCT-Imperial'!BG55</f>
        <v>0</v>
      </c>
      <c r="M23" s="41">
        <f ca="1">'REF - ASWING STRUCT-Imperial'!BH55*4.44822</f>
        <v>0</v>
      </c>
      <c r="N23" s="41">
        <f ca="1">'REF - ASWING STRUCT-Imperial'!BI55*4.44822</f>
        <v>0</v>
      </c>
      <c r="O23" s="41">
        <f ca="1">'REF - ASWING STRUCT-Imperial'!BJ55/(2.20462*3.28084)</f>
        <v>0</v>
      </c>
      <c r="P23" s="41">
        <f ca="1">'REF - ASWING STRUCT-Imperial'!BK55/(2.20462*3.28084)</f>
        <v>0</v>
      </c>
      <c r="Q23" s="41">
        <f ca="1">'REF - ASWING STRUCT-Imperial'!BL55/(2.20462)*3.28084</f>
        <v>4.3844082691558768</v>
      </c>
      <c r="R23" s="41">
        <f ca="1">'REF - ASWING STRUCT-Imperial'!BM55/3.28084</f>
        <v>0.11282295413705085</v>
      </c>
      <c r="S23" s="41">
        <f ca="1">'REF - ASWING STRUCT-Imperial'!BN55/3.28084</f>
        <v>0</v>
      </c>
      <c r="T23" s="41">
        <f ca="1">'REF - ASWING STRUCT-Imperial'!BO55/(2.20462*3.28084)</f>
        <v>0</v>
      </c>
      <c r="U23" s="41">
        <f ca="1">'REF - ASWING STRUCT-Imperial'!BP55/(2.20462*3.28084)</f>
        <v>0</v>
      </c>
      <c r="V23" s="41">
        <f ca="1">'REF - ASWING STRUCT-Imperial'!BQ55/(2.20462)*3.28084</f>
        <v>0</v>
      </c>
      <c r="W23" s="41">
        <f ca="1">'REF - ASWING STRUCT-Imperial'!BR55/3.28084</f>
        <v>0</v>
      </c>
      <c r="X23" s="41">
        <f ca="1">'REF - ASWING STRUCT-Imperial'!BS55/3.28084</f>
        <v>0</v>
      </c>
      <c r="Y23" s="41">
        <f ca="1">'REF - ASWING STRUCT-Imperial'!BT55/3.28084</f>
        <v>5.2856127931771503E-2</v>
      </c>
      <c r="Z23" s="41">
        <f ca="1">'REF - ASWING STRUCT-Imperial'!BU55/3.28084</f>
        <v>0</v>
      </c>
      <c r="AA23" s="41">
        <f ca="1">'REF - ASWING STRUCT-Imperial'!BV55/3.28084</f>
        <v>0</v>
      </c>
      <c r="AB23" s="41">
        <f ca="1">'REF - ASWING STRUCT-Imperial'!BW55/3.28084</f>
        <v>0</v>
      </c>
      <c r="AC23" s="41">
        <f ca="1">'REF - ASWING STRUCT-Imperial'!BX55</f>
        <v>2E-3</v>
      </c>
      <c r="AD23" s="41">
        <f ca="1">'REF - ASWING STRUCT-Imperial'!BY55</f>
        <v>2E-3</v>
      </c>
      <c r="AE23" s="41">
        <f ca="1">'REF - ASWING STRUCT-Imperial'!BZ55/3.28084</f>
        <v>0</v>
      </c>
      <c r="AF23" s="41">
        <f ca="1">'REF - ASWING STRUCT-Imperial'!CA55/3.28084</f>
        <v>5.2290000000000003E-2</v>
      </c>
      <c r="AG23" s="41">
        <f ca="1">'REF - ASWING STRUCT-Imperial'!CB55/(3.28084^3)</f>
        <v>2.684337782126578E-5</v>
      </c>
      <c r="AH23" s="41">
        <f ca="1">'REF - ASWING STRUCT-Imperial'!CC55/3.28084</f>
        <v>0</v>
      </c>
      <c r="AI23" s="41">
        <f>'REF - ASWING STRUCT-Imperial'!CD55</f>
        <v>5.4999999999999997E-3</v>
      </c>
      <c r="AJ23" s="41">
        <f>'REF - ASWING STRUCT-Imperial'!CE55</f>
        <v>5.4999999999999997E-3</v>
      </c>
      <c r="AK23" s="41">
        <f ca="1">'REF - ASWING STRUCT-Imperial'!CF55/3.28084</f>
        <v>0.58100000000000007</v>
      </c>
      <c r="AL23" s="41">
        <f ca="1">'REF - ASWING STRUCT-Imperial'!CG55</f>
        <v>0.25</v>
      </c>
      <c r="AM23" s="41">
        <f ca="1">'REF - ASWING STRUCT-Imperial'!CH55</f>
        <v>5.9</v>
      </c>
      <c r="AN23" s="41">
        <f ca="1">'REF - ASWING STRUCT-Imperial'!CI55</f>
        <v>-0.15</v>
      </c>
      <c r="AO23" s="41">
        <f ca="1">'REF - ASWING STRUCT-Imperial'!CJ55</f>
        <v>2.25</v>
      </c>
      <c r="AP23" s="41">
        <f ca="1">'REF - ASWING STRUCT-Imperial'!CK55</f>
        <v>-1.65</v>
      </c>
      <c r="AQ23" s="737">
        <f ca="1">'REF - ASWING STRUCT-Imperial'!CL55</f>
        <v>5.9690260418206069</v>
      </c>
    </row>
    <row r="24" spans="1:43" x14ac:dyDescent="0.25">
      <c r="A24" s="575">
        <f ca="1">'REF - ASWING STRUCT-Imperial'!AV56</f>
        <v>28.000000000000004</v>
      </c>
      <c r="B24" s="735">
        <f ca="1">'REF - ASWING STRUCT-Imperial'!AW56/3.28084</f>
        <v>3.1938633999999997</v>
      </c>
      <c r="C24" s="659">
        <f ca="1">'REF - ASWING STRUCT-Imperial'!AX56/3.28084</f>
        <v>0.84000000000000008</v>
      </c>
      <c r="D24" s="659">
        <f ca="1">'REF - ASWING STRUCT-Imperial'!AY56/3.28084</f>
        <v>3.9167552000000003</v>
      </c>
      <c r="E24" s="41">
        <f ca="1">'REF - ASWING STRUCT-Imperial'!AZ56</f>
        <v>0</v>
      </c>
      <c r="F24" s="41">
        <f ca="1">'REF - ASWING STRUCT-Imperial'!BA56*0.413253134140599</f>
        <v>52274.548552387438</v>
      </c>
      <c r="G24" s="41">
        <f ca="1">'REF - ASWING STRUCT-Imperial'!BB56*0.413253134140599</f>
        <v>47461.687479456283</v>
      </c>
      <c r="H24" s="41">
        <f ca="1">'REF - ASWING STRUCT-Imperial'!BC56*0.413253134140599</f>
        <v>0</v>
      </c>
      <c r="I24" s="41">
        <f ca="1">'REF - ASWING STRUCT-Imperial'!BD56*0.413253134140599</f>
        <v>0</v>
      </c>
      <c r="J24" s="41">
        <f ca="1">'REF - ASWING STRUCT-Imperial'!BE56*0.413253134140599</f>
        <v>0</v>
      </c>
      <c r="K24" s="41">
        <f ca="1">'REF - ASWING STRUCT-Imperial'!BF56*0.413253134140599</f>
        <v>1059051.3860164261</v>
      </c>
      <c r="L24" s="41">
        <f ca="1">'REF - ASWING STRUCT-Imperial'!BG56</f>
        <v>0</v>
      </c>
      <c r="M24" s="41">
        <f ca="1">'REF - ASWING STRUCT-Imperial'!BH56*4.44822</f>
        <v>0</v>
      </c>
      <c r="N24" s="41">
        <f ca="1">'REF - ASWING STRUCT-Imperial'!BI56*4.44822</f>
        <v>0</v>
      </c>
      <c r="O24" s="41">
        <f ca="1">'REF - ASWING STRUCT-Imperial'!BJ56/(2.20462*3.28084)</f>
        <v>0</v>
      </c>
      <c r="P24" s="41">
        <f ca="1">'REF - ASWING STRUCT-Imperial'!BK56/(2.20462*3.28084)</f>
        <v>0</v>
      </c>
      <c r="Q24" s="41">
        <f ca="1">'REF - ASWING STRUCT-Imperial'!BL56/(2.20462)*3.28084</f>
        <v>4.196540797126703</v>
      </c>
      <c r="R24" s="41">
        <f ca="1">'REF - ASWING STRUCT-Imperial'!BM56/3.28084</f>
        <v>0.11187567385135519</v>
      </c>
      <c r="S24" s="41">
        <f ca="1">'REF - ASWING STRUCT-Imperial'!BN56/3.28084</f>
        <v>0</v>
      </c>
      <c r="T24" s="41">
        <f ca="1">'REF - ASWING STRUCT-Imperial'!BO56/(2.20462*3.28084)</f>
        <v>0</v>
      </c>
      <c r="U24" s="41">
        <f ca="1">'REF - ASWING STRUCT-Imperial'!BP56/(2.20462*3.28084)</f>
        <v>0</v>
      </c>
      <c r="V24" s="41">
        <f ca="1">'REF - ASWING STRUCT-Imperial'!BQ56/(2.20462)*3.28084</f>
        <v>0</v>
      </c>
      <c r="W24" s="41">
        <f ca="1">'REF - ASWING STRUCT-Imperial'!BR56/3.28084</f>
        <v>0</v>
      </c>
      <c r="X24" s="41">
        <f ca="1">'REF - ASWING STRUCT-Imperial'!BS56/3.28084</f>
        <v>0</v>
      </c>
      <c r="Y24" s="41">
        <f ca="1">'REF - ASWING STRUCT-Imperial'!BT56/3.28084</f>
        <v>5.1658142184217583E-2</v>
      </c>
      <c r="Z24" s="41">
        <f ca="1">'REF - ASWING STRUCT-Imperial'!BU56/3.28084</f>
        <v>0</v>
      </c>
      <c r="AA24" s="41">
        <f ca="1">'REF - ASWING STRUCT-Imperial'!BV56/3.28084</f>
        <v>0</v>
      </c>
      <c r="AB24" s="41">
        <f ca="1">'REF - ASWING STRUCT-Imperial'!BW56/3.28084</f>
        <v>0</v>
      </c>
      <c r="AC24" s="41">
        <f ca="1">'REF - ASWING STRUCT-Imperial'!BX56</f>
        <v>2E-3</v>
      </c>
      <c r="AD24" s="41">
        <f ca="1">'REF - ASWING STRUCT-Imperial'!BY56</f>
        <v>2E-3</v>
      </c>
      <c r="AE24" s="41">
        <f ca="1">'REF - ASWING STRUCT-Imperial'!BZ56/3.28084</f>
        <v>0</v>
      </c>
      <c r="AF24" s="41">
        <f ca="1">'REF - ASWING STRUCT-Imperial'!CA56/3.28084</f>
        <v>5.0939999999999999E-2</v>
      </c>
      <c r="AG24" s="41">
        <f ca="1">'REF - ASWING STRUCT-Imperial'!CB56/(3.28084^3)</f>
        <v>2.5475209355670294E-5</v>
      </c>
      <c r="AH24" s="41">
        <f ca="1">'REF - ASWING STRUCT-Imperial'!CC56/3.28084</f>
        <v>0</v>
      </c>
      <c r="AI24" s="41">
        <f>'REF - ASWING STRUCT-Imperial'!CD56</f>
        <v>5.4999999999999997E-3</v>
      </c>
      <c r="AJ24" s="41">
        <f>'REF - ASWING STRUCT-Imperial'!CE56</f>
        <v>5.4999999999999997E-3</v>
      </c>
      <c r="AK24" s="41">
        <f ca="1">'REF - ASWING STRUCT-Imperial'!CF56/3.28084</f>
        <v>0.56600000000000006</v>
      </c>
      <c r="AL24" s="41">
        <f ca="1">'REF - ASWING STRUCT-Imperial'!CG56</f>
        <v>0.25</v>
      </c>
      <c r="AM24" s="41">
        <f ca="1">'REF - ASWING STRUCT-Imperial'!CH56</f>
        <v>5.9</v>
      </c>
      <c r="AN24" s="41">
        <f ca="1">'REF - ASWING STRUCT-Imperial'!CI56</f>
        <v>-0.15</v>
      </c>
      <c r="AO24" s="41">
        <f ca="1">'REF - ASWING STRUCT-Imperial'!CJ56</f>
        <v>2.25</v>
      </c>
      <c r="AP24" s="41">
        <f ca="1">'REF - ASWING STRUCT-Imperial'!CK56</f>
        <v>-1.65</v>
      </c>
      <c r="AQ24" s="737">
        <f ca="1">'REF - ASWING STRUCT-Imperial'!CL56</f>
        <v>5.9690260418206069</v>
      </c>
    </row>
    <row r="25" spans="1:43" x14ac:dyDescent="0.25">
      <c r="A25" s="575">
        <f ca="1">'REF - ASWING STRUCT-Imperial'!AV57</f>
        <v>33.000000000000007</v>
      </c>
      <c r="B25" s="735">
        <f ca="1">'REF - ASWING STRUCT-Imperial'!AW57/3.28084</f>
        <v>3.1976133999999998</v>
      </c>
      <c r="C25" s="659">
        <f ca="1">'REF - ASWING STRUCT-Imperial'!AX57/3.28084</f>
        <v>0.9900000000000001</v>
      </c>
      <c r="D25" s="659">
        <f ca="1">'REF - ASWING STRUCT-Imperial'!AY57/3.28084</f>
        <v>3.9167552000000003</v>
      </c>
      <c r="E25" s="41">
        <f ca="1">'REF - ASWING STRUCT-Imperial'!AZ57</f>
        <v>0</v>
      </c>
      <c r="F25" s="41">
        <f ca="1">'REF - ASWING STRUCT-Imperial'!BA57*0.413253134140599</f>
        <v>39079.940892500505</v>
      </c>
      <c r="G25" s="41">
        <f ca="1">'REF - ASWING STRUCT-Imperial'!BB57*0.413253134140599</f>
        <v>34999.982436828526</v>
      </c>
      <c r="H25" s="41">
        <f ca="1">'REF - ASWING STRUCT-Imperial'!BC57*0.413253134140599</f>
        <v>0</v>
      </c>
      <c r="I25" s="41">
        <f ca="1">'REF - ASWING STRUCT-Imperial'!BD57*0.413253134140599</f>
        <v>0</v>
      </c>
      <c r="J25" s="41">
        <f ca="1">'REF - ASWING STRUCT-Imperial'!BE57*0.413253134140599</f>
        <v>0</v>
      </c>
      <c r="K25" s="41">
        <f ca="1">'REF - ASWING STRUCT-Imperial'!BF57*0.413253134140599</f>
        <v>977062.92901494261</v>
      </c>
      <c r="L25" s="41">
        <f ca="1">'REF - ASWING STRUCT-Imperial'!BG57</f>
        <v>0</v>
      </c>
      <c r="M25" s="41">
        <f ca="1">'REF - ASWING STRUCT-Imperial'!BH57*4.44822</f>
        <v>0</v>
      </c>
      <c r="N25" s="41">
        <f ca="1">'REF - ASWING STRUCT-Imperial'!BI57*4.44822</f>
        <v>0</v>
      </c>
      <c r="O25" s="41">
        <f ca="1">'REF - ASWING STRUCT-Imperial'!BJ57/(2.20462*3.28084)</f>
        <v>0</v>
      </c>
      <c r="P25" s="41">
        <f ca="1">'REF - ASWING STRUCT-Imperial'!BK57/(2.20462*3.28084)</f>
        <v>0</v>
      </c>
      <c r="Q25" s="41">
        <f ca="1">'REF - ASWING STRUCT-Imperial'!BL57/(2.20462)*3.28084</f>
        <v>3.9576183491317369</v>
      </c>
      <c r="R25" s="41">
        <f ca="1">'REF - ASWING STRUCT-Imperial'!BM57/3.28084</f>
        <v>0.11237059163479998</v>
      </c>
      <c r="S25" s="41">
        <f ca="1">'REF - ASWING STRUCT-Imperial'!BN57/3.28084</f>
        <v>0</v>
      </c>
      <c r="T25" s="41">
        <f ca="1">'REF - ASWING STRUCT-Imperial'!BO57/(2.20462*3.28084)</f>
        <v>0</v>
      </c>
      <c r="U25" s="41">
        <f ca="1">'REF - ASWING STRUCT-Imperial'!BP57/(2.20462*3.28084)</f>
        <v>0</v>
      </c>
      <c r="V25" s="41">
        <f ca="1">'REF - ASWING STRUCT-Imperial'!BQ57/(2.20462)*3.28084</f>
        <v>0</v>
      </c>
      <c r="W25" s="41">
        <f ca="1">'REF - ASWING STRUCT-Imperial'!BR57/3.28084</f>
        <v>0</v>
      </c>
      <c r="X25" s="41">
        <f ca="1">'REF - ASWING STRUCT-Imperial'!BS57/3.28084</f>
        <v>0</v>
      </c>
      <c r="Y25" s="41">
        <f ca="1">'REF - ASWING STRUCT-Imperial'!BT57/3.28084</f>
        <v>5.0471432784472213E-2</v>
      </c>
      <c r="Z25" s="41">
        <f ca="1">'REF - ASWING STRUCT-Imperial'!BU57/3.28084</f>
        <v>0</v>
      </c>
      <c r="AA25" s="41">
        <f ca="1">'REF - ASWING STRUCT-Imperial'!BV57/3.28084</f>
        <v>0</v>
      </c>
      <c r="AB25" s="41">
        <f ca="1">'REF - ASWING STRUCT-Imperial'!BW57/3.28084</f>
        <v>0</v>
      </c>
      <c r="AC25" s="41">
        <f ca="1">'REF - ASWING STRUCT-Imperial'!BX57</f>
        <v>2E-3</v>
      </c>
      <c r="AD25" s="41">
        <f ca="1">'REF - ASWING STRUCT-Imperial'!BY57</f>
        <v>2E-3</v>
      </c>
      <c r="AE25" s="41">
        <f ca="1">'REF - ASWING STRUCT-Imperial'!BZ57/3.28084</f>
        <v>0</v>
      </c>
      <c r="AF25" s="41">
        <f ca="1">'REF - ASWING STRUCT-Imperial'!CA57/3.28084</f>
        <v>4.9590000000000002E-2</v>
      </c>
      <c r="AG25" s="41">
        <f ca="1">'REF - ASWING STRUCT-Imperial'!CB57/(3.28084^3)</f>
        <v>2.4142825592749493E-5</v>
      </c>
      <c r="AH25" s="41">
        <f ca="1">'REF - ASWING STRUCT-Imperial'!CC57/3.28084</f>
        <v>0</v>
      </c>
      <c r="AI25" s="41">
        <f>'REF - ASWING STRUCT-Imperial'!CD57</f>
        <v>5.4999999999999997E-3</v>
      </c>
      <c r="AJ25" s="41">
        <f>'REF - ASWING STRUCT-Imperial'!CE57</f>
        <v>5.4999999999999997E-3</v>
      </c>
      <c r="AK25" s="41">
        <f ca="1">'REF - ASWING STRUCT-Imperial'!CF57/3.28084</f>
        <v>0.55100000000000005</v>
      </c>
      <c r="AL25" s="41">
        <f ca="1">'REF - ASWING STRUCT-Imperial'!CG57</f>
        <v>0.25</v>
      </c>
      <c r="AM25" s="41">
        <f ca="1">'REF - ASWING STRUCT-Imperial'!CH57</f>
        <v>5.9</v>
      </c>
      <c r="AN25" s="41">
        <f ca="1">'REF - ASWING STRUCT-Imperial'!CI57</f>
        <v>-0.15</v>
      </c>
      <c r="AO25" s="41">
        <f ca="1">'REF - ASWING STRUCT-Imperial'!CJ57</f>
        <v>2.25</v>
      </c>
      <c r="AP25" s="41">
        <f ca="1">'REF - ASWING STRUCT-Imperial'!CK57</f>
        <v>-1.65</v>
      </c>
      <c r="AQ25" s="737">
        <f ca="1">'REF - ASWING STRUCT-Imperial'!CL57</f>
        <v>5.9690260418206069</v>
      </c>
    </row>
    <row r="26" spans="1:43" x14ac:dyDescent="0.25">
      <c r="A26" s="575">
        <f ca="1">'REF - ASWING STRUCT-Imperial'!AV58</f>
        <v>38.000000000000007</v>
      </c>
      <c r="B26" s="735">
        <f ca="1">'REF - ASWING STRUCT-Imperial'!AW58/3.28084</f>
        <v>3.2013634</v>
      </c>
      <c r="C26" s="659">
        <f ca="1">'REF - ASWING STRUCT-Imperial'!AX58/3.28084</f>
        <v>1.1400000000000001</v>
      </c>
      <c r="D26" s="659">
        <f ca="1">'REF - ASWING STRUCT-Imperial'!AY58/3.28084</f>
        <v>3.9167552000000003</v>
      </c>
      <c r="E26" s="41">
        <f ca="1">'REF - ASWING STRUCT-Imperial'!AZ58</f>
        <v>0</v>
      </c>
      <c r="F26" s="41">
        <f ca="1">'REF - ASWING STRUCT-Imperial'!BA58*0.413253134140599</f>
        <v>36239.513787760334</v>
      </c>
      <c r="G26" s="41">
        <f ca="1">'REF - ASWING STRUCT-Imperial'!BB58*0.413253134140599</f>
        <v>33120.295895504605</v>
      </c>
      <c r="H26" s="41">
        <f ca="1">'REF - ASWING STRUCT-Imperial'!BC58*0.413253134140599</f>
        <v>0</v>
      </c>
      <c r="I26" s="41">
        <f ca="1">'REF - ASWING STRUCT-Imperial'!BD58*0.413253134140599</f>
        <v>0</v>
      </c>
      <c r="J26" s="41">
        <f ca="1">'REF - ASWING STRUCT-Imperial'!BE58*0.413253134140599</f>
        <v>0</v>
      </c>
      <c r="K26" s="41">
        <f ca="1">'REF - ASWING STRUCT-Imperial'!BF58*0.413253134140599</f>
        <v>899419.10511470051</v>
      </c>
      <c r="L26" s="41">
        <f ca="1">'REF - ASWING STRUCT-Imperial'!BG58</f>
        <v>0</v>
      </c>
      <c r="M26" s="41">
        <f ca="1">'REF - ASWING STRUCT-Imperial'!BH58*4.44822</f>
        <v>0</v>
      </c>
      <c r="N26" s="41">
        <f ca="1">'REF - ASWING STRUCT-Imperial'!BI58*4.44822</f>
        <v>0</v>
      </c>
      <c r="O26" s="41">
        <f ca="1">'REF - ASWING STRUCT-Imperial'!BJ58/(2.20462*3.28084)</f>
        <v>0</v>
      </c>
      <c r="P26" s="41">
        <f ca="1">'REF - ASWING STRUCT-Imperial'!BK58/(2.20462*3.28084)</f>
        <v>0</v>
      </c>
      <c r="Q26" s="41">
        <f ca="1">'REF - ASWING STRUCT-Imperial'!BL58/(2.20462)*3.28084</f>
        <v>3.8633296353041779</v>
      </c>
      <c r="R26" s="41">
        <f ca="1">'REF - ASWING STRUCT-Imperial'!BM58/3.28084</f>
        <v>0.10892345855787704</v>
      </c>
      <c r="S26" s="41">
        <f ca="1">'REF - ASWING STRUCT-Imperial'!BN58/3.28084</f>
        <v>0</v>
      </c>
      <c r="T26" s="41">
        <f ca="1">'REF - ASWING STRUCT-Imperial'!BO58/(2.20462*3.28084)</f>
        <v>0</v>
      </c>
      <c r="U26" s="41">
        <f ca="1">'REF - ASWING STRUCT-Imperial'!BP58/(2.20462*3.28084)</f>
        <v>0</v>
      </c>
      <c r="V26" s="41">
        <f ca="1">'REF - ASWING STRUCT-Imperial'!BQ58/(2.20462)*3.28084</f>
        <v>0</v>
      </c>
      <c r="W26" s="41">
        <f ca="1">'REF - ASWING STRUCT-Imperial'!BR58/3.28084</f>
        <v>0</v>
      </c>
      <c r="X26" s="41">
        <f ca="1">'REF - ASWING STRUCT-Imperial'!BS58/3.28084</f>
        <v>0</v>
      </c>
      <c r="Y26" s="41">
        <f ca="1">'REF - ASWING STRUCT-Imperial'!BT58/3.28084</f>
        <v>4.9296345890959811E-2</v>
      </c>
      <c r="Z26" s="41">
        <f ca="1">'REF - ASWING STRUCT-Imperial'!BU58/3.28084</f>
        <v>0</v>
      </c>
      <c r="AA26" s="41">
        <f ca="1">'REF - ASWING STRUCT-Imperial'!BV58/3.28084</f>
        <v>0</v>
      </c>
      <c r="AB26" s="41">
        <f ca="1">'REF - ASWING STRUCT-Imperial'!BW58/3.28084</f>
        <v>0</v>
      </c>
      <c r="AC26" s="41">
        <f ca="1">'REF - ASWING STRUCT-Imperial'!BX58</f>
        <v>2E-3</v>
      </c>
      <c r="AD26" s="41">
        <f ca="1">'REF - ASWING STRUCT-Imperial'!BY58</f>
        <v>2E-3</v>
      </c>
      <c r="AE26" s="41">
        <f ca="1">'REF - ASWING STRUCT-Imperial'!BZ58/3.28084</f>
        <v>0</v>
      </c>
      <c r="AF26" s="41">
        <f ca="1">'REF - ASWING STRUCT-Imperial'!CA58/3.28084</f>
        <v>4.8239999999999998E-2</v>
      </c>
      <c r="AG26" s="41">
        <f ca="1">'REF - ASWING STRUCT-Imperial'!CB58/(3.28084^3)</f>
        <v>2.2846226532503382E-5</v>
      </c>
      <c r="AH26" s="41">
        <f ca="1">'REF - ASWING STRUCT-Imperial'!CC58/3.28084</f>
        <v>0</v>
      </c>
      <c r="AI26" s="41">
        <f>'REF - ASWING STRUCT-Imperial'!CD58</f>
        <v>5.4999999999999997E-3</v>
      </c>
      <c r="AJ26" s="41">
        <f>'REF - ASWING STRUCT-Imperial'!CE58</f>
        <v>5.4999999999999997E-3</v>
      </c>
      <c r="AK26" s="41">
        <f ca="1">'REF - ASWING STRUCT-Imperial'!CF58/3.28084</f>
        <v>0.53600000000000003</v>
      </c>
      <c r="AL26" s="41">
        <f ca="1">'REF - ASWING STRUCT-Imperial'!CG58</f>
        <v>0.25</v>
      </c>
      <c r="AM26" s="41">
        <f ca="1">'REF - ASWING STRUCT-Imperial'!CH58</f>
        <v>5.9</v>
      </c>
      <c r="AN26" s="41">
        <f ca="1">'REF - ASWING STRUCT-Imperial'!CI58</f>
        <v>-0.15</v>
      </c>
      <c r="AO26" s="41">
        <f ca="1">'REF - ASWING STRUCT-Imperial'!CJ58</f>
        <v>2.25</v>
      </c>
      <c r="AP26" s="41">
        <f ca="1">'REF - ASWING STRUCT-Imperial'!CK58</f>
        <v>-1.65</v>
      </c>
      <c r="AQ26" s="737">
        <f ca="1">'REF - ASWING STRUCT-Imperial'!CL58</f>
        <v>5.9690260418206069</v>
      </c>
    </row>
    <row r="27" spans="1:43" x14ac:dyDescent="0.25">
      <c r="A27" s="575">
        <f ca="1">'REF - ASWING STRUCT-Imperial'!AV59</f>
        <v>42</v>
      </c>
      <c r="B27" s="735">
        <f ca="1">'REF - ASWING STRUCT-Imperial'!AW59/3.28084</f>
        <v>3.2043633999999996</v>
      </c>
      <c r="C27" s="659">
        <f ca="1">'REF - ASWING STRUCT-Imperial'!AX59/3.28084</f>
        <v>1.26</v>
      </c>
      <c r="D27" s="659">
        <f ca="1">'REF - ASWING STRUCT-Imperial'!AY59/3.28084</f>
        <v>3.9167552000000003</v>
      </c>
      <c r="E27" s="41">
        <f ca="1">'REF - ASWING STRUCT-Imperial'!AZ59</f>
        <v>0</v>
      </c>
      <c r="F27" s="41">
        <f ca="1">'REF - ASWING STRUCT-Imperial'!BA59*0.413253134140599</f>
        <v>26305.131446067691</v>
      </c>
      <c r="G27" s="41">
        <f ca="1">'REF - ASWING STRUCT-Imperial'!BB59*0.413253134140599</f>
        <v>23599.172548626906</v>
      </c>
      <c r="H27" s="41">
        <f ca="1">'REF - ASWING STRUCT-Imperial'!BC59*0.413253134140599</f>
        <v>0</v>
      </c>
      <c r="I27" s="41">
        <f ca="1">'REF - ASWING STRUCT-Imperial'!BD59*0.413253134140599</f>
        <v>0</v>
      </c>
      <c r="J27" s="41">
        <f ca="1">'REF - ASWING STRUCT-Imperial'!BE59*0.413253134140599</f>
        <v>0</v>
      </c>
      <c r="K27" s="41">
        <f ca="1">'REF - ASWING STRUCT-Imperial'!BF59*0.413253134140599</f>
        <v>840352.70106213703</v>
      </c>
      <c r="L27" s="41">
        <f ca="1">'REF - ASWING STRUCT-Imperial'!BG59</f>
        <v>0</v>
      </c>
      <c r="M27" s="41">
        <f ca="1">'REF - ASWING STRUCT-Imperial'!BH59*4.44822</f>
        <v>0</v>
      </c>
      <c r="N27" s="41">
        <f ca="1">'REF - ASWING STRUCT-Imperial'!BI59*4.44822</f>
        <v>0</v>
      </c>
      <c r="O27" s="41">
        <f ca="1">'REF - ASWING STRUCT-Imperial'!BJ59/(2.20462*3.28084)</f>
        <v>0</v>
      </c>
      <c r="P27" s="41">
        <f ca="1">'REF - ASWING STRUCT-Imperial'!BK59/(2.20462*3.28084)</f>
        <v>0</v>
      </c>
      <c r="Q27" s="41">
        <f ca="1">'REF - ASWING STRUCT-Imperial'!BL59/(2.20462)*3.28084</f>
        <v>3.660405635406101</v>
      </c>
      <c r="R27" s="41">
        <f ca="1">'REF - ASWING STRUCT-Imperial'!BM59/3.28084</f>
        <v>0.10982246669046763</v>
      </c>
      <c r="S27" s="41">
        <f ca="1">'REF - ASWING STRUCT-Imperial'!BN59/3.28084</f>
        <v>0</v>
      </c>
      <c r="T27" s="41">
        <f ca="1">'REF - ASWING STRUCT-Imperial'!BO59/(2.20462*3.28084)</f>
        <v>0</v>
      </c>
      <c r="U27" s="41">
        <f ca="1">'REF - ASWING STRUCT-Imperial'!BP59/(2.20462*3.28084)</f>
        <v>0</v>
      </c>
      <c r="V27" s="41">
        <f ca="1">'REF - ASWING STRUCT-Imperial'!BQ59/(2.20462)*3.28084</f>
        <v>0</v>
      </c>
      <c r="W27" s="41">
        <f ca="1">'REF - ASWING STRUCT-Imperial'!BR59/3.28084</f>
        <v>0</v>
      </c>
      <c r="X27" s="41">
        <f ca="1">'REF - ASWING STRUCT-Imperial'!BS59/3.28084</f>
        <v>0</v>
      </c>
      <c r="Y27" s="41">
        <f ca="1">'REF - ASWING STRUCT-Imperial'!BT59/3.28084</f>
        <v>4.8364848202480014E-2</v>
      </c>
      <c r="Z27" s="41">
        <f ca="1">'REF - ASWING STRUCT-Imperial'!BU59/3.28084</f>
        <v>0</v>
      </c>
      <c r="AA27" s="41">
        <f ca="1">'REF - ASWING STRUCT-Imperial'!BV59/3.28084</f>
        <v>0</v>
      </c>
      <c r="AB27" s="41">
        <f ca="1">'REF - ASWING STRUCT-Imperial'!BW59/3.28084</f>
        <v>0</v>
      </c>
      <c r="AC27" s="41">
        <f ca="1">'REF - ASWING STRUCT-Imperial'!BX59</f>
        <v>2E-3</v>
      </c>
      <c r="AD27" s="41">
        <f ca="1">'REF - ASWING STRUCT-Imperial'!BY59</f>
        <v>2E-3</v>
      </c>
      <c r="AE27" s="41">
        <f ca="1">'REF - ASWING STRUCT-Imperial'!BZ59/3.28084</f>
        <v>0</v>
      </c>
      <c r="AF27" s="41">
        <f ca="1">'REF - ASWING STRUCT-Imperial'!CA59/3.28084</f>
        <v>4.7159999999999994E-2</v>
      </c>
      <c r="AG27" s="41">
        <f ca="1">'REF - ASWING STRUCT-Imperial'!CB59/(3.28084^3)</f>
        <v>2.1834712270232261E-5</v>
      </c>
      <c r="AH27" s="41">
        <f ca="1">'REF - ASWING STRUCT-Imperial'!CC59/3.28084</f>
        <v>0</v>
      </c>
      <c r="AI27" s="41">
        <f>'REF - ASWING STRUCT-Imperial'!CD59</f>
        <v>5.4999999999999997E-3</v>
      </c>
      <c r="AJ27" s="41">
        <f>'REF - ASWING STRUCT-Imperial'!CE59</f>
        <v>5.4999999999999997E-3</v>
      </c>
      <c r="AK27" s="41">
        <f ca="1">'REF - ASWING STRUCT-Imperial'!CF59/3.28084</f>
        <v>0.52400000000000002</v>
      </c>
      <c r="AL27" s="41">
        <f ca="1">'REF - ASWING STRUCT-Imperial'!CG59</f>
        <v>0.25</v>
      </c>
      <c r="AM27" s="41">
        <f ca="1">'REF - ASWING STRUCT-Imperial'!CH59</f>
        <v>5.9</v>
      </c>
      <c r="AN27" s="41">
        <f ca="1">'REF - ASWING STRUCT-Imperial'!CI59</f>
        <v>-0.15</v>
      </c>
      <c r="AO27" s="41">
        <f ca="1">'REF - ASWING STRUCT-Imperial'!CJ59</f>
        <v>2.25</v>
      </c>
      <c r="AP27" s="41">
        <f ca="1">'REF - ASWING STRUCT-Imperial'!CK59</f>
        <v>-1.65</v>
      </c>
      <c r="AQ27" s="737">
        <f ca="1">'REF - ASWING STRUCT-Imperial'!CL59</f>
        <v>5.9690260418206069</v>
      </c>
    </row>
    <row r="28" spans="1:43" x14ac:dyDescent="0.25">
      <c r="A28" s="575">
        <f ca="1">'REF - ASWING STRUCT-Imperial'!AV60</f>
        <v>46.999999999999993</v>
      </c>
      <c r="B28" s="735">
        <f ca="1">'REF - ASWING STRUCT-Imperial'!AW60/3.28084</f>
        <v>3.2081133999999998</v>
      </c>
      <c r="C28" s="659">
        <f ca="1">'REF - ASWING STRUCT-Imperial'!AX60/3.28084</f>
        <v>1.4100000000000001</v>
      </c>
      <c r="D28" s="659">
        <f ca="1">'REF - ASWING STRUCT-Imperial'!AY60/3.28084</f>
        <v>3.9167552000000003</v>
      </c>
      <c r="E28" s="41">
        <f ca="1">'REF - ASWING STRUCT-Imperial'!AZ60</f>
        <v>0</v>
      </c>
      <c r="F28" s="41">
        <f ca="1">'REF - ASWING STRUCT-Imperial'!BA60*0.413253134140599</f>
        <v>24306.546981311938</v>
      </c>
      <c r="G28" s="41">
        <f ca="1">'REF - ASWING STRUCT-Imperial'!BB60*0.413253134140599</f>
        <v>22267.413113567123</v>
      </c>
      <c r="H28" s="41">
        <f ca="1">'REF - ASWING STRUCT-Imperial'!BC60*0.413253134140599</f>
        <v>0</v>
      </c>
      <c r="I28" s="41">
        <f ca="1">'REF - ASWING STRUCT-Imperial'!BD60*0.413253134140599</f>
        <v>0</v>
      </c>
      <c r="J28" s="41">
        <f ca="1">'REF - ASWING STRUCT-Imperial'!BE60*0.413253134140599</f>
        <v>0</v>
      </c>
      <c r="K28" s="41">
        <f ca="1">'REF - ASWING STRUCT-Imperial'!BF60*0.413253134140599</f>
        <v>770231.16387439007</v>
      </c>
      <c r="L28" s="41">
        <f ca="1">'REF - ASWING STRUCT-Imperial'!BG60</f>
        <v>0</v>
      </c>
      <c r="M28" s="41">
        <f ca="1">'REF - ASWING STRUCT-Imperial'!BH60*4.44822</f>
        <v>0</v>
      </c>
      <c r="N28" s="41">
        <f ca="1">'REF - ASWING STRUCT-Imperial'!BI60*4.44822</f>
        <v>0</v>
      </c>
      <c r="O28" s="41">
        <f ca="1">'REF - ASWING STRUCT-Imperial'!BJ60/(2.20462*3.28084)</f>
        <v>0</v>
      </c>
      <c r="P28" s="41">
        <f ca="1">'REF - ASWING STRUCT-Imperial'!BK60/(2.20462*3.28084)</f>
        <v>0</v>
      </c>
      <c r="Q28" s="41">
        <f ca="1">'REF - ASWING STRUCT-Imperial'!BL60/(2.20462)*3.28084</f>
        <v>3.5661169215785389</v>
      </c>
      <c r="R28" s="41">
        <f ca="1">'REF - ASWING STRUCT-Imperial'!BM60/3.28084</f>
        <v>0.10635594301176031</v>
      </c>
      <c r="S28" s="41">
        <f ca="1">'REF - ASWING STRUCT-Imperial'!BN60/3.28084</f>
        <v>0</v>
      </c>
      <c r="T28" s="41">
        <f ca="1">'REF - ASWING STRUCT-Imperial'!BO60/(2.20462*3.28084)</f>
        <v>0</v>
      </c>
      <c r="U28" s="41">
        <f ca="1">'REF - ASWING STRUCT-Imperial'!BP60/(2.20462*3.28084)</f>
        <v>0</v>
      </c>
      <c r="V28" s="41">
        <f ca="1">'REF - ASWING STRUCT-Imperial'!BQ60/(2.20462)*3.28084</f>
        <v>0</v>
      </c>
      <c r="W28" s="41">
        <f ca="1">'REF - ASWING STRUCT-Imperial'!BR60/3.28084</f>
        <v>0</v>
      </c>
      <c r="X28" s="41">
        <f ca="1">'REF - ASWING STRUCT-Imperial'!BS60/3.28084</f>
        <v>0</v>
      </c>
      <c r="Y28" s="41">
        <f ca="1">'REF - ASWING STRUCT-Imperial'!BT60/3.28084</f>
        <v>4.7211402429139335E-2</v>
      </c>
      <c r="Z28" s="41">
        <f ca="1">'REF - ASWING STRUCT-Imperial'!BU60/3.28084</f>
        <v>0</v>
      </c>
      <c r="AA28" s="41">
        <f ca="1">'REF - ASWING STRUCT-Imperial'!BV60/3.28084</f>
        <v>0</v>
      </c>
      <c r="AB28" s="41">
        <f ca="1">'REF - ASWING STRUCT-Imperial'!BW60/3.28084</f>
        <v>0</v>
      </c>
      <c r="AC28" s="41">
        <f ca="1">'REF - ASWING STRUCT-Imperial'!BX60</f>
        <v>2E-3</v>
      </c>
      <c r="AD28" s="41">
        <f ca="1">'REF - ASWING STRUCT-Imperial'!BY60</f>
        <v>2E-3</v>
      </c>
      <c r="AE28" s="41">
        <f ca="1">'REF - ASWING STRUCT-Imperial'!BZ60/3.28084</f>
        <v>0</v>
      </c>
      <c r="AF28" s="41">
        <f ca="1">'REF - ASWING STRUCT-Imperial'!CA60/3.28084</f>
        <v>4.5809999999999997E-2</v>
      </c>
      <c r="AG28" s="41">
        <f ca="1">'REF - ASWING STRUCT-Imperial'!CB60/(3.28084^3)</f>
        <v>2.0602525674800581E-5</v>
      </c>
      <c r="AH28" s="41">
        <f ca="1">'REF - ASWING STRUCT-Imperial'!CC60/3.28084</f>
        <v>0</v>
      </c>
      <c r="AI28" s="41">
        <f>'REF - ASWING STRUCT-Imperial'!CD60</f>
        <v>5.4999999999999997E-3</v>
      </c>
      <c r="AJ28" s="41">
        <f>'REF - ASWING STRUCT-Imperial'!CE60</f>
        <v>5.4999999999999997E-3</v>
      </c>
      <c r="AK28" s="41">
        <f ca="1">'REF - ASWING STRUCT-Imperial'!CF60/3.28084</f>
        <v>0.50900000000000001</v>
      </c>
      <c r="AL28" s="41">
        <f ca="1">'REF - ASWING STRUCT-Imperial'!CG60</f>
        <v>0.25</v>
      </c>
      <c r="AM28" s="41">
        <f ca="1">'REF - ASWING STRUCT-Imperial'!CH60</f>
        <v>5.9</v>
      </c>
      <c r="AN28" s="41">
        <f ca="1">'REF - ASWING STRUCT-Imperial'!CI60</f>
        <v>-0.15</v>
      </c>
      <c r="AO28" s="41">
        <f ca="1">'REF - ASWING STRUCT-Imperial'!CJ60</f>
        <v>2.25</v>
      </c>
      <c r="AP28" s="41">
        <f ca="1">'REF - ASWING STRUCT-Imperial'!CK60</f>
        <v>-1.65</v>
      </c>
      <c r="AQ28" s="737">
        <f ca="1">'REF - ASWING STRUCT-Imperial'!CL60</f>
        <v>5.9690260418206069</v>
      </c>
    </row>
    <row r="29" spans="1:43" x14ac:dyDescent="0.25">
      <c r="A29" s="575">
        <f ca="1">'REF - ASWING STRUCT-Imperial'!AV61</f>
        <v>52</v>
      </c>
      <c r="B29" s="735">
        <f ca="1">'REF - ASWING STRUCT-Imperial'!AW61/3.28084</f>
        <v>3.2118633999999995</v>
      </c>
      <c r="C29" s="659">
        <f ca="1">'REF - ASWING STRUCT-Imperial'!AX61/3.28084</f>
        <v>1.56</v>
      </c>
      <c r="D29" s="659">
        <f ca="1">'REF - ASWING STRUCT-Imperial'!AY61/3.28084</f>
        <v>3.9167552000000003</v>
      </c>
      <c r="E29" s="41">
        <f ca="1">'REF - ASWING STRUCT-Imperial'!AZ61</f>
        <v>0</v>
      </c>
      <c r="F29" s="41">
        <f ca="1">'REF - ASWING STRUCT-Imperial'!BA61*0.413253134140599</f>
        <v>16343.860877713749</v>
      </c>
      <c r="G29" s="41">
        <f ca="1">'REF - ASWING STRUCT-Imperial'!BB61*0.413253134140599</f>
        <v>14747.223991093399</v>
      </c>
      <c r="H29" s="41">
        <f ca="1">'REF - ASWING STRUCT-Imperial'!BC61*0.413253134140599</f>
        <v>0</v>
      </c>
      <c r="I29" s="41">
        <f ca="1">'REF - ASWING STRUCT-Imperial'!BD61*0.413253134140599</f>
        <v>0</v>
      </c>
      <c r="J29" s="41">
        <f ca="1">'REF - ASWING STRUCT-Imperial'!BE61*0.413253134140599</f>
        <v>0</v>
      </c>
      <c r="K29" s="41">
        <f ca="1">'REF - ASWING STRUCT-Imperial'!BF61*0.413253134140599</f>
        <v>704123.08993261843</v>
      </c>
      <c r="L29" s="41">
        <f ca="1">'REF - ASWING STRUCT-Imperial'!BG61</f>
        <v>0</v>
      </c>
      <c r="M29" s="41">
        <f ca="1">'REF - ASWING STRUCT-Imperial'!BH61*4.44822</f>
        <v>0</v>
      </c>
      <c r="N29" s="41">
        <f ca="1">'REF - ASWING STRUCT-Imperial'!BI61*4.44822</f>
        <v>0</v>
      </c>
      <c r="O29" s="41">
        <f ca="1">'REF - ASWING STRUCT-Imperial'!BJ61/(2.20462*3.28084)</f>
        <v>0</v>
      </c>
      <c r="P29" s="41">
        <f ca="1">'REF - ASWING STRUCT-Imperial'!BK61/(2.20462*3.28084)</f>
        <v>0</v>
      </c>
      <c r="Q29" s="41">
        <f ca="1">'REF - ASWING STRUCT-Imperial'!BL61/(2.20462)*3.28084</f>
        <v>3.3625314929222565</v>
      </c>
      <c r="R29" s="41">
        <f ca="1">'REF - ASWING STRUCT-Imperial'!BM61/3.28084</f>
        <v>0.10619829905620856</v>
      </c>
      <c r="S29" s="41">
        <f ca="1">'REF - ASWING STRUCT-Imperial'!BN61/3.28084</f>
        <v>0</v>
      </c>
      <c r="T29" s="41">
        <f ca="1">'REF - ASWING STRUCT-Imperial'!BO61/(2.20462*3.28084)</f>
        <v>0</v>
      </c>
      <c r="U29" s="41">
        <f ca="1">'REF - ASWING STRUCT-Imperial'!BP61/(2.20462*3.28084)</f>
        <v>0</v>
      </c>
      <c r="V29" s="41">
        <f ca="1">'REF - ASWING STRUCT-Imperial'!BQ61/(2.20462)*3.28084</f>
        <v>0</v>
      </c>
      <c r="W29" s="41">
        <f ca="1">'REF - ASWING STRUCT-Imperial'!BR61/3.28084</f>
        <v>0</v>
      </c>
      <c r="X29" s="41">
        <f ca="1">'REF - ASWING STRUCT-Imperial'!BS61/3.28084</f>
        <v>0</v>
      </c>
      <c r="Y29" s="41">
        <f ca="1">'REF - ASWING STRUCT-Imperial'!BT61/3.28084</f>
        <v>4.6070276123017416E-2</v>
      </c>
      <c r="Z29" s="41">
        <f ca="1">'REF - ASWING STRUCT-Imperial'!BU61/3.28084</f>
        <v>0</v>
      </c>
      <c r="AA29" s="41">
        <f ca="1">'REF - ASWING STRUCT-Imperial'!BV61/3.28084</f>
        <v>0</v>
      </c>
      <c r="AB29" s="41">
        <f ca="1">'REF - ASWING STRUCT-Imperial'!BW61/3.28084</f>
        <v>0</v>
      </c>
      <c r="AC29" s="41">
        <f ca="1">'REF - ASWING STRUCT-Imperial'!BX61</f>
        <v>2E-3</v>
      </c>
      <c r="AD29" s="41">
        <f ca="1">'REF - ASWING STRUCT-Imperial'!BY61</f>
        <v>2E-3</v>
      </c>
      <c r="AE29" s="41">
        <f ca="1">'REF - ASWING STRUCT-Imperial'!BZ61/3.28084</f>
        <v>0</v>
      </c>
      <c r="AF29" s="41">
        <f ca="1">'REF - ASWING STRUCT-Imperial'!CA61/3.28084</f>
        <v>4.446E-2</v>
      </c>
      <c r="AG29" s="41">
        <f ca="1">'REF - ASWING STRUCT-Imperial'!CB61/(3.28084^3)</f>
        <v>1.9406123782043589E-5</v>
      </c>
      <c r="AH29" s="41">
        <f ca="1">'REF - ASWING STRUCT-Imperial'!CC61/3.28084</f>
        <v>0</v>
      </c>
      <c r="AI29" s="41">
        <f>'REF - ASWING STRUCT-Imperial'!CD61</f>
        <v>5.4999999999999997E-3</v>
      </c>
      <c r="AJ29" s="41">
        <f>'REF - ASWING STRUCT-Imperial'!CE61</f>
        <v>5.4999999999999997E-3</v>
      </c>
      <c r="AK29" s="41">
        <f ca="1">'REF - ASWING STRUCT-Imperial'!CF61/3.28084</f>
        <v>0.49399999999999999</v>
      </c>
      <c r="AL29" s="41">
        <f ca="1">'REF - ASWING STRUCT-Imperial'!CG61</f>
        <v>0.25</v>
      </c>
      <c r="AM29" s="41">
        <f ca="1">'REF - ASWING STRUCT-Imperial'!CH61</f>
        <v>5.9</v>
      </c>
      <c r="AN29" s="41">
        <f ca="1">'REF - ASWING STRUCT-Imperial'!CI61</f>
        <v>-0.15</v>
      </c>
      <c r="AO29" s="41">
        <f ca="1">'REF - ASWING STRUCT-Imperial'!CJ61</f>
        <v>2.25</v>
      </c>
      <c r="AP29" s="41">
        <f ca="1">'REF - ASWING STRUCT-Imperial'!CK61</f>
        <v>-1.65</v>
      </c>
      <c r="AQ29" s="737">
        <f ca="1">'REF - ASWING STRUCT-Imperial'!CL61</f>
        <v>5.9690260418206069</v>
      </c>
    </row>
    <row r="30" spans="1:43" x14ac:dyDescent="0.25">
      <c r="A30" s="575">
        <f ca="1">'REF - ASWING STRUCT-Imperial'!AV62</f>
        <v>57</v>
      </c>
      <c r="B30" s="735">
        <f ca="1">'REF - ASWING STRUCT-Imperial'!AW62/3.28084</f>
        <v>3.2156134000000001</v>
      </c>
      <c r="C30" s="659">
        <f ca="1">'REF - ASWING STRUCT-Imperial'!AX62/3.28084</f>
        <v>1.71</v>
      </c>
      <c r="D30" s="659">
        <f ca="1">'REF - ASWING STRUCT-Imperial'!AY62/3.28084</f>
        <v>3.9167552000000003</v>
      </c>
      <c r="E30" s="41">
        <f ca="1">'REF - ASWING STRUCT-Imperial'!AZ62</f>
        <v>0</v>
      </c>
      <c r="F30" s="41">
        <f ca="1">'REF - ASWING STRUCT-Imperial'!BA62*0.413253134140599</f>
        <v>15033.111059001807</v>
      </c>
      <c r="G30" s="41">
        <f ca="1">'REF - ASWING STRUCT-Imperial'!BB62*0.413253134140599</f>
        <v>13865.240455262581</v>
      </c>
      <c r="H30" s="41">
        <f ca="1">'REF - ASWING STRUCT-Imperial'!BC62*0.413253134140599</f>
        <v>0</v>
      </c>
      <c r="I30" s="41">
        <f ca="1">'REF - ASWING STRUCT-Imperial'!BD62*0.413253134140599</f>
        <v>0</v>
      </c>
      <c r="J30" s="41">
        <f ca="1">'REF - ASWING STRUCT-Imperial'!BE62*0.413253134140599</f>
        <v>0</v>
      </c>
      <c r="K30" s="41">
        <f ca="1">'REF - ASWING STRUCT-Imperial'!BF62*0.413253134140599</f>
        <v>641910.20428851165</v>
      </c>
      <c r="L30" s="41">
        <f ca="1">'REF - ASWING STRUCT-Imperial'!BG62</f>
        <v>0</v>
      </c>
      <c r="M30" s="41">
        <f ca="1">'REF - ASWING STRUCT-Imperial'!BH62*4.44822</f>
        <v>0</v>
      </c>
      <c r="N30" s="41">
        <f ca="1">'REF - ASWING STRUCT-Imperial'!BI62*4.44822</f>
        <v>0</v>
      </c>
      <c r="O30" s="41">
        <f ca="1">'REF - ASWING STRUCT-Imperial'!BJ62/(2.20462*3.28084)</f>
        <v>0</v>
      </c>
      <c r="P30" s="41">
        <f ca="1">'REF - ASWING STRUCT-Imperial'!BK62/(2.20462*3.28084)</f>
        <v>0</v>
      </c>
      <c r="Q30" s="41">
        <f ca="1">'REF - ASWING STRUCT-Imperial'!BL62/(2.20462)*3.28084</f>
        <v>3.2682427790946962</v>
      </c>
      <c r="R30" s="41">
        <f ca="1">'REF - ASWING STRUCT-Imperial'!BM62/3.28084</f>
        <v>0.10271722246778868</v>
      </c>
      <c r="S30" s="41">
        <f ca="1">'REF - ASWING STRUCT-Imperial'!BN62/3.28084</f>
        <v>0</v>
      </c>
      <c r="T30" s="41">
        <f ca="1">'REF - ASWING STRUCT-Imperial'!BO62/(2.20462*3.28084)</f>
        <v>0</v>
      </c>
      <c r="U30" s="41">
        <f ca="1">'REF - ASWING STRUCT-Imperial'!BP62/(2.20462*3.28084)</f>
        <v>0</v>
      </c>
      <c r="V30" s="41">
        <f ca="1">'REF - ASWING STRUCT-Imperial'!BQ62/(2.20462)*3.28084</f>
        <v>0</v>
      </c>
      <c r="W30" s="41">
        <f ca="1">'REF - ASWING STRUCT-Imperial'!BR62/3.28084</f>
        <v>0</v>
      </c>
      <c r="X30" s="41">
        <f ca="1">'REF - ASWING STRUCT-Imperial'!BS62/3.28084</f>
        <v>0</v>
      </c>
      <c r="Y30" s="41">
        <f ca="1">'REF - ASWING STRUCT-Imperial'!BT62/3.28084</f>
        <v>4.4941591527334603E-2</v>
      </c>
      <c r="Z30" s="41">
        <f ca="1">'REF - ASWING STRUCT-Imperial'!BU62/3.28084</f>
        <v>0</v>
      </c>
      <c r="AA30" s="41">
        <f ca="1">'REF - ASWING STRUCT-Imperial'!BV62/3.28084</f>
        <v>0</v>
      </c>
      <c r="AB30" s="41">
        <f ca="1">'REF - ASWING STRUCT-Imperial'!BW62/3.28084</f>
        <v>0</v>
      </c>
      <c r="AC30" s="41">
        <f ca="1">'REF - ASWING STRUCT-Imperial'!BX62</f>
        <v>2E-3</v>
      </c>
      <c r="AD30" s="41">
        <f ca="1">'REF - ASWING STRUCT-Imperial'!BY62</f>
        <v>2E-3</v>
      </c>
      <c r="AE30" s="41">
        <f ca="1">'REF - ASWING STRUCT-Imperial'!BZ62/3.28084</f>
        <v>0</v>
      </c>
      <c r="AF30" s="41">
        <f ca="1">'REF - ASWING STRUCT-Imperial'!CA62/3.28084</f>
        <v>4.3109999999999996E-2</v>
      </c>
      <c r="AG30" s="41">
        <f ca="1">'REF - ASWING STRUCT-Imperial'!CB62/(3.28084^3)</f>
        <v>1.8245506591961277E-5</v>
      </c>
      <c r="AH30" s="41">
        <f ca="1">'REF - ASWING STRUCT-Imperial'!CC62/3.28084</f>
        <v>0</v>
      </c>
      <c r="AI30" s="41">
        <f>'REF - ASWING STRUCT-Imperial'!CD62</f>
        <v>5.4999999999999997E-3</v>
      </c>
      <c r="AJ30" s="41">
        <f>'REF - ASWING STRUCT-Imperial'!CE62</f>
        <v>5.4999999999999997E-3</v>
      </c>
      <c r="AK30" s="41">
        <f ca="1">'REF - ASWING STRUCT-Imperial'!CF62/3.28084</f>
        <v>0.47899999999999998</v>
      </c>
      <c r="AL30" s="41">
        <f ca="1">'REF - ASWING STRUCT-Imperial'!CG62</f>
        <v>0.25</v>
      </c>
      <c r="AM30" s="41">
        <f ca="1">'REF - ASWING STRUCT-Imperial'!CH62</f>
        <v>5.9</v>
      </c>
      <c r="AN30" s="41">
        <f ca="1">'REF - ASWING STRUCT-Imperial'!CI62</f>
        <v>-0.15</v>
      </c>
      <c r="AO30" s="41">
        <f ca="1">'REF - ASWING STRUCT-Imperial'!CJ62</f>
        <v>2.25</v>
      </c>
      <c r="AP30" s="41">
        <f ca="1">'REF - ASWING STRUCT-Imperial'!CK62</f>
        <v>-1.65</v>
      </c>
      <c r="AQ30" s="737">
        <f ca="1">'REF - ASWING STRUCT-Imperial'!CL62</f>
        <v>5.9690260418206069</v>
      </c>
    </row>
    <row r="31" spans="1:43" x14ac:dyDescent="0.25">
      <c r="A31" s="575">
        <f ca="1">'REF - ASWING STRUCT-Imperial'!AV63</f>
        <v>61</v>
      </c>
      <c r="B31" s="735">
        <f ca="1">'REF - ASWING STRUCT-Imperial'!AW63/3.28084</f>
        <v>3.2186133999999997</v>
      </c>
      <c r="C31" s="659">
        <f ca="1">'REF - ASWING STRUCT-Imperial'!AX63/3.28084</f>
        <v>1.83</v>
      </c>
      <c r="D31" s="659">
        <f ca="1">'REF - ASWING STRUCT-Imperial'!AY63/3.28084</f>
        <v>3.9167552000000003</v>
      </c>
      <c r="E31" s="41">
        <f ca="1">'REF - ASWING STRUCT-Imperial'!AZ63</f>
        <v>0</v>
      </c>
      <c r="F31" s="41">
        <f ca="1">'REF - ASWING STRUCT-Imperial'!BA63*0.413253134140599</f>
        <v>9417.9447543958904</v>
      </c>
      <c r="G31" s="41">
        <f ca="1">'REF - ASWING STRUCT-Imperial'!BB63*0.413253134140599</f>
        <v>8511.6055090659866</v>
      </c>
      <c r="H31" s="41">
        <f ca="1">'REF - ASWING STRUCT-Imperial'!BC63*0.413253134140599</f>
        <v>0</v>
      </c>
      <c r="I31" s="41">
        <f ca="1">'REF - ASWING STRUCT-Imperial'!BD63*0.413253134140599</f>
        <v>0</v>
      </c>
      <c r="J31" s="41">
        <f ca="1">'REF - ASWING STRUCT-Imperial'!BE63*0.413253134140599</f>
        <v>0</v>
      </c>
      <c r="K31" s="41">
        <f ca="1">'REF - ASWING STRUCT-Imperial'!BF63*0.413253134140599</f>
        <v>594864.9505822811</v>
      </c>
      <c r="L31" s="41">
        <f ca="1">'REF - ASWING STRUCT-Imperial'!BG63</f>
        <v>0</v>
      </c>
      <c r="M31" s="41">
        <f ca="1">'REF - ASWING STRUCT-Imperial'!BH63*4.44822</f>
        <v>0</v>
      </c>
      <c r="N31" s="41">
        <f ca="1">'REF - ASWING STRUCT-Imperial'!BI63*4.44822</f>
        <v>0</v>
      </c>
      <c r="O31" s="41">
        <f ca="1">'REF - ASWING STRUCT-Imperial'!BJ63/(2.20462*3.28084)</f>
        <v>0</v>
      </c>
      <c r="P31" s="41">
        <f ca="1">'REF - ASWING STRUCT-Imperial'!BK63/(2.20462*3.28084)</f>
        <v>0</v>
      </c>
      <c r="Q31" s="41">
        <f ca="1">'REF - ASWING STRUCT-Imperial'!BL63/(2.20462)*3.28084</f>
        <v>3.1026914717892575</v>
      </c>
      <c r="R31" s="41">
        <f ca="1">'REF - ASWING STRUCT-Imperial'!BM63/3.28084</f>
        <v>0.10280453579488021</v>
      </c>
      <c r="S31" s="41">
        <f ca="1">'REF - ASWING STRUCT-Imperial'!BN63/3.28084</f>
        <v>0</v>
      </c>
      <c r="T31" s="41">
        <f ca="1">'REF - ASWING STRUCT-Imperial'!BO63/(2.20462*3.28084)</f>
        <v>0</v>
      </c>
      <c r="U31" s="41">
        <f ca="1">'REF - ASWING STRUCT-Imperial'!BP63/(2.20462*3.28084)</f>
        <v>0</v>
      </c>
      <c r="V31" s="41">
        <f ca="1">'REF - ASWING STRUCT-Imperial'!BQ63/(2.20462)*3.28084</f>
        <v>0</v>
      </c>
      <c r="W31" s="41">
        <f ca="1">'REF - ASWING STRUCT-Imperial'!BR63/3.28084</f>
        <v>0</v>
      </c>
      <c r="X31" s="41">
        <f ca="1">'REF - ASWING STRUCT-Imperial'!BS63/3.28084</f>
        <v>0</v>
      </c>
      <c r="Y31" s="41">
        <f ca="1">'REF - ASWING STRUCT-Imperial'!BT63/3.28084</f>
        <v>4.4047630409986598E-2</v>
      </c>
      <c r="Z31" s="41">
        <f ca="1">'REF - ASWING STRUCT-Imperial'!BU63/3.28084</f>
        <v>0</v>
      </c>
      <c r="AA31" s="41">
        <f ca="1">'REF - ASWING STRUCT-Imperial'!BV63/3.28084</f>
        <v>0</v>
      </c>
      <c r="AB31" s="41">
        <f ca="1">'REF - ASWING STRUCT-Imperial'!BW63/3.28084</f>
        <v>0</v>
      </c>
      <c r="AC31" s="41">
        <f ca="1">'REF - ASWING STRUCT-Imperial'!BX63</f>
        <v>2E-3</v>
      </c>
      <c r="AD31" s="41">
        <f ca="1">'REF - ASWING STRUCT-Imperial'!BY63</f>
        <v>2E-3</v>
      </c>
      <c r="AE31" s="41">
        <f ca="1">'REF - ASWING STRUCT-Imperial'!BZ63/3.28084</f>
        <v>0</v>
      </c>
      <c r="AF31" s="41">
        <f ca="1">'REF - ASWING STRUCT-Imperial'!CA63/3.28084</f>
        <v>4.2029999999999998E-2</v>
      </c>
      <c r="AG31" s="41">
        <f ca="1">'REF - ASWING STRUCT-Imperial'!CB63/(3.28084^3)</f>
        <v>1.7342777825821202E-5</v>
      </c>
      <c r="AH31" s="41">
        <f ca="1">'REF - ASWING STRUCT-Imperial'!CC63/3.28084</f>
        <v>0</v>
      </c>
      <c r="AI31" s="41">
        <f>'REF - ASWING STRUCT-Imperial'!CD63</f>
        <v>5.4999999999999997E-3</v>
      </c>
      <c r="AJ31" s="41">
        <f>'REF - ASWING STRUCT-Imperial'!CE63</f>
        <v>5.4999999999999997E-3</v>
      </c>
      <c r="AK31" s="41">
        <f ca="1">'REF - ASWING STRUCT-Imperial'!CF63/3.28084</f>
        <v>0.46700000000000003</v>
      </c>
      <c r="AL31" s="41">
        <f ca="1">'REF - ASWING STRUCT-Imperial'!CG63</f>
        <v>0.25</v>
      </c>
      <c r="AM31" s="41">
        <f ca="1">'REF - ASWING STRUCT-Imperial'!CH63</f>
        <v>5.9</v>
      </c>
      <c r="AN31" s="41">
        <f ca="1">'REF - ASWING STRUCT-Imperial'!CI63</f>
        <v>-0.15</v>
      </c>
      <c r="AO31" s="41">
        <f ca="1">'REF - ASWING STRUCT-Imperial'!CJ63</f>
        <v>2.25</v>
      </c>
      <c r="AP31" s="41">
        <f ca="1">'REF - ASWING STRUCT-Imperial'!CK63</f>
        <v>-1.65</v>
      </c>
      <c r="AQ31" s="737">
        <f ca="1">'REF - ASWING STRUCT-Imperial'!CL63</f>
        <v>5.9690260418206069</v>
      </c>
    </row>
    <row r="32" spans="1:43" x14ac:dyDescent="0.25">
      <c r="A32" s="575">
        <f ca="1">'REF - ASWING STRUCT-Imperial'!AV64</f>
        <v>66.000000000000014</v>
      </c>
      <c r="B32" s="735">
        <f ca="1">'REF - ASWING STRUCT-Imperial'!AW64/3.28084</f>
        <v>3.2223633999999994</v>
      </c>
      <c r="C32" s="659">
        <f ca="1">'REF - ASWING STRUCT-Imperial'!AX64/3.28084</f>
        <v>1.9800000000000002</v>
      </c>
      <c r="D32" s="659">
        <f ca="1">'REF - ASWING STRUCT-Imperial'!AY64/3.28084</f>
        <v>3.9167552000000003</v>
      </c>
      <c r="E32" s="41">
        <f ca="1">'REF - ASWING STRUCT-Imperial'!AZ64</f>
        <v>0</v>
      </c>
      <c r="F32" s="41">
        <f ca="1">'REF - ASWING STRUCT-Imperial'!BA64*0.413253134140599</f>
        <v>8625.1264318741323</v>
      </c>
      <c r="G32" s="41">
        <f ca="1">'REF - ASWING STRUCT-Imperial'!BB64*0.413253134140599</f>
        <v>7973.6027581593626</v>
      </c>
      <c r="H32" s="41">
        <f ca="1">'REF - ASWING STRUCT-Imperial'!BC64*0.413253134140599</f>
        <v>0</v>
      </c>
      <c r="I32" s="41">
        <f ca="1">'REF - ASWING STRUCT-Imperial'!BD64*0.413253134140599</f>
        <v>0</v>
      </c>
      <c r="J32" s="41">
        <f ca="1">'REF - ASWING STRUCT-Imperial'!BE64*0.413253134140599</f>
        <v>0</v>
      </c>
      <c r="K32" s="41">
        <f ca="1">'REF - ASWING STRUCT-Imperial'!BF64*0.413253134140599</f>
        <v>539365.35100423137</v>
      </c>
      <c r="L32" s="41">
        <f ca="1">'REF - ASWING STRUCT-Imperial'!BG64</f>
        <v>0</v>
      </c>
      <c r="M32" s="41">
        <f ca="1">'REF - ASWING STRUCT-Imperial'!BH64*4.44822</f>
        <v>0</v>
      </c>
      <c r="N32" s="41">
        <f ca="1">'REF - ASWING STRUCT-Imperial'!BI64*4.44822</f>
        <v>0</v>
      </c>
      <c r="O32" s="41">
        <f ca="1">'REF - ASWING STRUCT-Imperial'!BJ64/(2.20462*3.28084)</f>
        <v>0</v>
      </c>
      <c r="P32" s="41">
        <f ca="1">'REF - ASWING STRUCT-Imperial'!BK64/(2.20462*3.28084)</f>
        <v>0</v>
      </c>
      <c r="Q32" s="41">
        <f ca="1">'REF - ASWING STRUCT-Imperial'!BL64/(2.20462)*3.28084</f>
        <v>3.0084027579616968</v>
      </c>
      <c r="R32" s="41">
        <f ca="1">'REF - ASWING STRUCT-Imperial'!BM64/3.28084</f>
        <v>9.9313210435585608E-2</v>
      </c>
      <c r="S32" s="41">
        <f ca="1">'REF - ASWING STRUCT-Imperial'!BN64/3.28084</f>
        <v>0</v>
      </c>
      <c r="T32" s="41">
        <f ca="1">'REF - ASWING STRUCT-Imperial'!BO64/(2.20462*3.28084)</f>
        <v>0</v>
      </c>
      <c r="U32" s="41">
        <f ca="1">'REF - ASWING STRUCT-Imperial'!BP64/(2.20462*3.28084)</f>
        <v>0</v>
      </c>
      <c r="V32" s="41">
        <f ca="1">'REF - ASWING STRUCT-Imperial'!BQ64/(2.20462)*3.28084</f>
        <v>0</v>
      </c>
      <c r="W32" s="41">
        <f ca="1">'REF - ASWING STRUCT-Imperial'!BR64/3.28084</f>
        <v>0</v>
      </c>
      <c r="X32" s="41">
        <f ca="1">'REF - ASWING STRUCT-Imperial'!BS64/3.28084</f>
        <v>0</v>
      </c>
      <c r="Y32" s="41">
        <f ca="1">'REF - ASWING STRUCT-Imperial'!BT64/3.28084</f>
        <v>4.2941371105843257E-2</v>
      </c>
      <c r="Z32" s="41">
        <f ca="1">'REF - ASWING STRUCT-Imperial'!BU64/3.28084</f>
        <v>0</v>
      </c>
      <c r="AA32" s="41">
        <f ca="1">'REF - ASWING STRUCT-Imperial'!BV64/3.28084</f>
        <v>0</v>
      </c>
      <c r="AB32" s="41">
        <f ca="1">'REF - ASWING STRUCT-Imperial'!BW64/3.28084</f>
        <v>0</v>
      </c>
      <c r="AC32" s="41">
        <f ca="1">'REF - ASWING STRUCT-Imperial'!BX64</f>
        <v>2E-3</v>
      </c>
      <c r="AD32" s="41">
        <f ca="1">'REF - ASWING STRUCT-Imperial'!BY64</f>
        <v>2E-3</v>
      </c>
      <c r="AE32" s="41">
        <f ca="1">'REF - ASWING STRUCT-Imperial'!BZ64/3.28084</f>
        <v>0</v>
      </c>
      <c r="AF32" s="41">
        <f ca="1">'REF - ASWING STRUCT-Imperial'!CA64/3.28084</f>
        <v>4.0680000000000001E-2</v>
      </c>
      <c r="AG32" s="41">
        <f ca="1">'REF - ASWING STRUCT-Imperial'!CB64/(3.28084^3)</f>
        <v>1.6246573100553335E-5</v>
      </c>
      <c r="AH32" s="41">
        <f ca="1">'REF - ASWING STRUCT-Imperial'!CC64/3.28084</f>
        <v>0</v>
      </c>
      <c r="AI32" s="41">
        <f>'REF - ASWING STRUCT-Imperial'!CD64</f>
        <v>5.4999999999999997E-3</v>
      </c>
      <c r="AJ32" s="41">
        <f>'REF - ASWING STRUCT-Imperial'!CE64</f>
        <v>5.4999999999999997E-3</v>
      </c>
      <c r="AK32" s="41">
        <f ca="1">'REF - ASWING STRUCT-Imperial'!CF64/3.28084</f>
        <v>0.45199999999999996</v>
      </c>
      <c r="AL32" s="41">
        <f ca="1">'REF - ASWING STRUCT-Imperial'!CG64</f>
        <v>0.25</v>
      </c>
      <c r="AM32" s="41">
        <f ca="1">'REF - ASWING STRUCT-Imperial'!CH64</f>
        <v>5.9</v>
      </c>
      <c r="AN32" s="41">
        <f ca="1">'REF - ASWING STRUCT-Imperial'!CI64</f>
        <v>-0.15</v>
      </c>
      <c r="AO32" s="41">
        <f ca="1">'REF - ASWING STRUCT-Imperial'!CJ64</f>
        <v>2.25</v>
      </c>
      <c r="AP32" s="41">
        <f ca="1">'REF - ASWING STRUCT-Imperial'!CK64</f>
        <v>-1.65</v>
      </c>
      <c r="AQ32" s="737">
        <f ca="1">'REF - ASWING STRUCT-Imperial'!CL64</f>
        <v>5.9690260418206069</v>
      </c>
    </row>
    <row r="33" spans="1:43" x14ac:dyDescent="0.25">
      <c r="A33" s="575">
        <f ca="1">'REF - ASWING STRUCT-Imperial'!AV65</f>
        <v>70.999999999999986</v>
      </c>
      <c r="B33" s="735">
        <f ca="1">'REF - ASWING STRUCT-Imperial'!AW65/3.28084</f>
        <v>3.2261134</v>
      </c>
      <c r="C33" s="659">
        <f ca="1">'REF - ASWING STRUCT-Imperial'!AX65/3.28084</f>
        <v>2.13</v>
      </c>
      <c r="D33" s="659">
        <f ca="1">'REF - ASWING STRUCT-Imperial'!AY65/3.28084</f>
        <v>3.9167552000000003</v>
      </c>
      <c r="E33" s="41">
        <f ca="1">'REF - ASWING STRUCT-Imperial'!AZ65</f>
        <v>0</v>
      </c>
      <c r="F33" s="41">
        <f ca="1">'REF - ASWING STRUCT-Imperial'!BA65*0.413253134140599</f>
        <v>4629.0806410981677</v>
      </c>
      <c r="G33" s="41">
        <f ca="1">'REF - ASWING STRUCT-Imperial'!BB65*0.413253134140599</f>
        <v>4209.7207173119823</v>
      </c>
      <c r="H33" s="41">
        <f ca="1">'REF - ASWING STRUCT-Imperial'!BC65*0.413253134140599</f>
        <v>0</v>
      </c>
      <c r="I33" s="41">
        <f ca="1">'REF - ASWING STRUCT-Imperial'!BD65*0.413253134140599</f>
        <v>0</v>
      </c>
      <c r="J33" s="41">
        <f ca="1">'REF - ASWING STRUCT-Imperial'!BE65*0.413253134140599</f>
        <v>0</v>
      </c>
      <c r="K33" s="41">
        <f ca="1">'REF - ASWING STRUCT-Imperial'!BF65*0.413253134140599</f>
        <v>487429.7698685801</v>
      </c>
      <c r="L33" s="41">
        <f ca="1">'REF - ASWING STRUCT-Imperial'!BG65</f>
        <v>0</v>
      </c>
      <c r="M33" s="41">
        <f ca="1">'REF - ASWING STRUCT-Imperial'!BH65*4.44822</f>
        <v>0</v>
      </c>
      <c r="N33" s="41">
        <f ca="1">'REF - ASWING STRUCT-Imperial'!BI65*4.44822</f>
        <v>0</v>
      </c>
      <c r="O33" s="41">
        <f ca="1">'REF - ASWING STRUCT-Imperial'!BJ65/(2.20462*3.28084)</f>
        <v>0</v>
      </c>
      <c r="P33" s="41">
        <f ca="1">'REF - ASWING STRUCT-Imperial'!BK65/(2.20462*3.28084)</f>
        <v>0</v>
      </c>
      <c r="Q33" s="41">
        <f ca="1">'REF - ASWING STRUCT-Imperial'!BL65/(2.20462)*3.28084</f>
        <v>2.8440087930557194</v>
      </c>
      <c r="R33" s="41">
        <f ca="1">'REF - ASWING STRUCT-Imperial'!BM65/3.28084</f>
        <v>9.8160005368760989E-2</v>
      </c>
      <c r="S33" s="41">
        <f ca="1">'REF - ASWING STRUCT-Imperial'!BN65/3.28084</f>
        <v>0</v>
      </c>
      <c r="T33" s="41">
        <f ca="1">'REF - ASWING STRUCT-Imperial'!BO65/(2.20462*3.28084)</f>
        <v>0</v>
      </c>
      <c r="U33" s="41">
        <f ca="1">'REF - ASWING STRUCT-Imperial'!BP65/(2.20462*3.28084)</f>
        <v>0</v>
      </c>
      <c r="V33" s="41">
        <f ca="1">'REF - ASWING STRUCT-Imperial'!BQ65/(2.20462)*3.28084</f>
        <v>0</v>
      </c>
      <c r="W33" s="41">
        <f ca="1">'REF - ASWING STRUCT-Imperial'!BR65/3.28084</f>
        <v>0</v>
      </c>
      <c r="X33" s="41">
        <f ca="1">'REF - ASWING STRUCT-Imperial'!BS65/3.28084</f>
        <v>0</v>
      </c>
      <c r="Y33" s="41">
        <f ca="1">'REF - ASWING STRUCT-Imperial'!BT65/3.28084</f>
        <v>4.1847404588286195E-2</v>
      </c>
      <c r="Z33" s="41">
        <f ca="1">'REF - ASWING STRUCT-Imperial'!BU65/3.28084</f>
        <v>0</v>
      </c>
      <c r="AA33" s="41">
        <f ca="1">'REF - ASWING STRUCT-Imperial'!BV65/3.28084</f>
        <v>0</v>
      </c>
      <c r="AB33" s="41">
        <f ca="1">'REF - ASWING STRUCT-Imperial'!BW65/3.28084</f>
        <v>0</v>
      </c>
      <c r="AC33" s="41">
        <f ca="1">'REF - ASWING STRUCT-Imperial'!BX65</f>
        <v>2E-3</v>
      </c>
      <c r="AD33" s="41">
        <f ca="1">'REF - ASWING STRUCT-Imperial'!BY65</f>
        <v>2E-3</v>
      </c>
      <c r="AE33" s="41">
        <f ca="1">'REF - ASWING STRUCT-Imperial'!BZ65/3.28084</f>
        <v>0</v>
      </c>
      <c r="AF33" s="41">
        <f ca="1">'REF - ASWING STRUCT-Imperial'!CA65/3.28084</f>
        <v>3.9329999999999997E-2</v>
      </c>
      <c r="AG33" s="41">
        <f ca="1">'REF - ASWING STRUCT-Imperial'!CB65/(3.28084^3)</f>
        <v>1.5186153077960144E-5</v>
      </c>
      <c r="AH33" s="41">
        <f ca="1">'REF - ASWING STRUCT-Imperial'!CC65/3.28084</f>
        <v>0</v>
      </c>
      <c r="AI33" s="41">
        <f>'REF - ASWING STRUCT-Imperial'!CD65</f>
        <v>5.4999999999999997E-3</v>
      </c>
      <c r="AJ33" s="41">
        <f>'REF - ASWING STRUCT-Imperial'!CE65</f>
        <v>5.4999999999999997E-3</v>
      </c>
      <c r="AK33" s="41">
        <f ca="1">'REF - ASWING STRUCT-Imperial'!CF65/3.28084</f>
        <v>0.437</v>
      </c>
      <c r="AL33" s="41">
        <f ca="1">'REF - ASWING STRUCT-Imperial'!CG65</f>
        <v>0.25</v>
      </c>
      <c r="AM33" s="41">
        <f ca="1">'REF - ASWING STRUCT-Imperial'!CH65</f>
        <v>5.9</v>
      </c>
      <c r="AN33" s="41">
        <f ca="1">'REF - ASWING STRUCT-Imperial'!CI65</f>
        <v>-0.15</v>
      </c>
      <c r="AO33" s="41">
        <f ca="1">'REF - ASWING STRUCT-Imperial'!CJ65</f>
        <v>2.25</v>
      </c>
      <c r="AP33" s="41">
        <f ca="1">'REF - ASWING STRUCT-Imperial'!CK65</f>
        <v>-1.65</v>
      </c>
      <c r="AQ33" s="737">
        <f ca="1">'REF - ASWING STRUCT-Imperial'!CL65</f>
        <v>5.9690260418206069</v>
      </c>
    </row>
    <row r="34" spans="1:43" x14ac:dyDescent="0.25">
      <c r="A34" s="575">
        <f ca="1">'REF - ASWING STRUCT-Imperial'!AV66</f>
        <v>76.000000000000014</v>
      </c>
      <c r="B34" s="735">
        <f ca="1">'REF - ASWING STRUCT-Imperial'!AW66/3.28084</f>
        <v>3.2298633999999997</v>
      </c>
      <c r="C34" s="659">
        <f ca="1">'REF - ASWING STRUCT-Imperial'!AX66/3.28084</f>
        <v>2.2800000000000002</v>
      </c>
      <c r="D34" s="659">
        <f ca="1">'REF - ASWING STRUCT-Imperial'!AY66/3.28084</f>
        <v>3.9167552000000003</v>
      </c>
      <c r="E34" s="41">
        <f ca="1">'REF - ASWING STRUCT-Imperial'!AZ66</f>
        <v>0</v>
      </c>
      <c r="F34" s="41">
        <f ca="1">'REF - ASWING STRUCT-Imperial'!BA66*0.413253134140599</f>
        <v>4215.416447468242</v>
      </c>
      <c r="G34" s="41">
        <f ca="1">'REF - ASWING STRUCT-Imperial'!BB66*0.413253134140599</f>
        <v>3925.6837718257239</v>
      </c>
      <c r="H34" s="41">
        <f ca="1">'REF - ASWING STRUCT-Imperial'!BC66*0.413253134140599</f>
        <v>0</v>
      </c>
      <c r="I34" s="41">
        <f ca="1">'REF - ASWING STRUCT-Imperial'!BD66*0.413253134140599</f>
        <v>0</v>
      </c>
      <c r="J34" s="41">
        <f ca="1">'REF - ASWING STRUCT-Imperial'!BE66*0.413253134140599</f>
        <v>0</v>
      </c>
      <c r="K34" s="41">
        <f ca="1">'REF - ASWING STRUCT-Imperial'!BF66*0.413253134140599</f>
        <v>438939.93222701724</v>
      </c>
      <c r="L34" s="41">
        <f ca="1">'REF - ASWING STRUCT-Imperial'!BG66</f>
        <v>0</v>
      </c>
      <c r="M34" s="41">
        <f ca="1">'REF - ASWING STRUCT-Imperial'!BH66*4.44822</f>
        <v>0</v>
      </c>
      <c r="N34" s="41">
        <f ca="1">'REF - ASWING STRUCT-Imperial'!BI66*4.44822</f>
        <v>0</v>
      </c>
      <c r="O34" s="41">
        <f ca="1">'REF - ASWING STRUCT-Imperial'!BJ66/(2.20462*3.28084)</f>
        <v>0</v>
      </c>
      <c r="P34" s="41">
        <f ca="1">'REF - ASWING STRUCT-Imperial'!BK66/(2.20462*3.28084)</f>
        <v>0</v>
      </c>
      <c r="Q34" s="41">
        <f ca="1">'REF - ASWING STRUCT-Imperial'!BL66/(2.20462)*3.28084</f>
        <v>2.7497200792281578</v>
      </c>
      <c r="R34" s="41">
        <f ca="1">'REF - ASWING STRUCT-Imperial'!BM66/3.28084</f>
        <v>9.4662702800370743E-2</v>
      </c>
      <c r="S34" s="41">
        <f ca="1">'REF - ASWING STRUCT-Imperial'!BN66/3.28084</f>
        <v>0</v>
      </c>
      <c r="T34" s="41">
        <f ca="1">'REF - ASWING STRUCT-Imperial'!BO66/(2.20462*3.28084)</f>
        <v>0</v>
      </c>
      <c r="U34" s="41">
        <f ca="1">'REF - ASWING STRUCT-Imperial'!BP66/(2.20462*3.28084)</f>
        <v>0</v>
      </c>
      <c r="V34" s="41">
        <f ca="1">'REF - ASWING STRUCT-Imperial'!BQ66/(2.20462)*3.28084</f>
        <v>0</v>
      </c>
      <c r="W34" s="41">
        <f ca="1">'REF - ASWING STRUCT-Imperial'!BR66/3.28084</f>
        <v>0</v>
      </c>
      <c r="X34" s="41">
        <f ca="1">'REF - ASWING STRUCT-Imperial'!BS66/3.28084</f>
        <v>0</v>
      </c>
      <c r="Y34" s="41">
        <f ca="1">'REF - ASWING STRUCT-Imperial'!BT66/3.28084</f>
        <v>4.0765459587338487E-2</v>
      </c>
      <c r="Z34" s="41">
        <f ca="1">'REF - ASWING STRUCT-Imperial'!BU66/3.28084</f>
        <v>0</v>
      </c>
      <c r="AA34" s="41">
        <f ca="1">'REF - ASWING STRUCT-Imperial'!BV66/3.28084</f>
        <v>0</v>
      </c>
      <c r="AB34" s="41">
        <f ca="1">'REF - ASWING STRUCT-Imperial'!BW66/3.28084</f>
        <v>0</v>
      </c>
      <c r="AC34" s="41">
        <f ca="1">'REF - ASWING STRUCT-Imperial'!BX66</f>
        <v>2E-3</v>
      </c>
      <c r="AD34" s="41">
        <f ca="1">'REF - ASWING STRUCT-Imperial'!BY66</f>
        <v>2E-3</v>
      </c>
      <c r="AE34" s="41">
        <f ca="1">'REF - ASWING STRUCT-Imperial'!BZ66/3.28084</f>
        <v>0</v>
      </c>
      <c r="AF34" s="41">
        <f ca="1">'REF - ASWING STRUCT-Imperial'!CA66/3.28084</f>
        <v>3.798E-2</v>
      </c>
      <c r="AG34" s="41">
        <f ca="1">'REF - ASWING STRUCT-Imperial'!CB66/(3.28084^3)</f>
        <v>1.4161517758041641E-5</v>
      </c>
      <c r="AH34" s="41">
        <f ca="1">'REF - ASWING STRUCT-Imperial'!CC66/3.28084</f>
        <v>0</v>
      </c>
      <c r="AI34" s="41">
        <f>'REF - ASWING STRUCT-Imperial'!CD66</f>
        <v>5.4999999999999997E-3</v>
      </c>
      <c r="AJ34" s="41">
        <f>'REF - ASWING STRUCT-Imperial'!CE66</f>
        <v>5.4999999999999997E-3</v>
      </c>
      <c r="AK34" s="41">
        <f ca="1">'REF - ASWING STRUCT-Imperial'!CF66/3.28084</f>
        <v>0.42199999999999999</v>
      </c>
      <c r="AL34" s="41">
        <f ca="1">'REF - ASWING STRUCT-Imperial'!CG66</f>
        <v>0.25</v>
      </c>
      <c r="AM34" s="41">
        <f ca="1">'REF - ASWING STRUCT-Imperial'!CH66</f>
        <v>5.9</v>
      </c>
      <c r="AN34" s="41">
        <f ca="1">'REF - ASWING STRUCT-Imperial'!CI66</f>
        <v>-0.15</v>
      </c>
      <c r="AO34" s="41">
        <f ca="1">'REF - ASWING STRUCT-Imperial'!CJ66</f>
        <v>2.25</v>
      </c>
      <c r="AP34" s="41">
        <f ca="1">'REF - ASWING STRUCT-Imperial'!CK66</f>
        <v>-1.65</v>
      </c>
      <c r="AQ34" s="737">
        <f ca="1">'REF - ASWING STRUCT-Imperial'!CL66</f>
        <v>5.9690260418206069</v>
      </c>
    </row>
    <row r="35" spans="1:43" x14ac:dyDescent="0.25">
      <c r="A35" s="575">
        <f ca="1">'REF - ASWING STRUCT-Imperial'!AV67</f>
        <v>80.000000000000014</v>
      </c>
      <c r="B35" s="735">
        <f ca="1">'REF - ASWING STRUCT-Imperial'!AW67/3.28084</f>
        <v>3.2328634000000003</v>
      </c>
      <c r="C35" s="659">
        <f ca="1">'REF - ASWING STRUCT-Imperial'!AX67/3.28084</f>
        <v>2.4000000000000004</v>
      </c>
      <c r="D35" s="659">
        <f ca="1">'REF - ASWING STRUCT-Imperial'!AY67/3.28084</f>
        <v>3.9167552000000003</v>
      </c>
      <c r="E35" s="41">
        <f ca="1">'REF - ASWING STRUCT-Imperial'!AZ67</f>
        <v>0</v>
      </c>
      <c r="F35" s="41">
        <f ca="1">'REF - ASWING STRUCT-Imperial'!BA67*0.413253134140599</f>
        <v>1801.666452730228</v>
      </c>
      <c r="G35" s="41">
        <f ca="1">'REF - ASWING STRUCT-Imperial'!BB67*0.413253134140599</f>
        <v>1642.121017381372</v>
      </c>
      <c r="H35" s="41">
        <f ca="1">'REF - ASWING STRUCT-Imperial'!BC67*0.413253134140599</f>
        <v>0</v>
      </c>
      <c r="I35" s="41">
        <f ca="1">'REF - ASWING STRUCT-Imperial'!BD67*0.413253134140599</f>
        <v>0</v>
      </c>
      <c r="J35" s="41">
        <f ca="1">'REF - ASWING STRUCT-Imperial'!BE67*0.413253134140599</f>
        <v>0</v>
      </c>
      <c r="K35" s="41">
        <f ca="1">'REF - ASWING STRUCT-Imperial'!BF67*0.413253134140599</f>
        <v>402549.5166642465</v>
      </c>
      <c r="L35" s="41">
        <f ca="1">'REF - ASWING STRUCT-Imperial'!BG67</f>
        <v>0</v>
      </c>
      <c r="M35" s="41">
        <f ca="1">'REF - ASWING STRUCT-Imperial'!BH67*4.44822</f>
        <v>0</v>
      </c>
      <c r="N35" s="41">
        <f ca="1">'REF - ASWING STRUCT-Imperial'!BI67*4.44822</f>
        <v>0</v>
      </c>
      <c r="O35" s="41">
        <f ca="1">'REF - ASWING STRUCT-Imperial'!BJ67/(2.20462*3.28084)</f>
        <v>0</v>
      </c>
      <c r="P35" s="41">
        <f ca="1">'REF - ASWING STRUCT-Imperial'!BK67/(2.20462*3.28084)</f>
        <v>0</v>
      </c>
      <c r="Q35" s="41">
        <f ca="1">'REF - ASWING STRUCT-Imperial'!BL67/(2.20462)*3.28084</f>
        <v>2.6247769481628036</v>
      </c>
      <c r="R35" s="41">
        <f ca="1">'REF - ASWING STRUCT-Imperial'!BM67/3.28084</f>
        <v>9.3580451216675797E-2</v>
      </c>
      <c r="S35" s="41">
        <f ca="1">'REF - ASWING STRUCT-Imperial'!BN67/3.28084</f>
        <v>0</v>
      </c>
      <c r="T35" s="41">
        <f ca="1">'REF - ASWING STRUCT-Imperial'!BO67/(2.20462*3.28084)</f>
        <v>0</v>
      </c>
      <c r="U35" s="41">
        <f ca="1">'REF - ASWING STRUCT-Imperial'!BP67/(2.20462*3.28084)</f>
        <v>0</v>
      </c>
      <c r="V35" s="41">
        <f ca="1">'REF - ASWING STRUCT-Imperial'!BQ67/(2.20462)*3.28084</f>
        <v>0</v>
      </c>
      <c r="W35" s="41">
        <f ca="1">'REF - ASWING STRUCT-Imperial'!BR67/3.28084</f>
        <v>0</v>
      </c>
      <c r="X35" s="41">
        <f ca="1">'REF - ASWING STRUCT-Imperial'!BS67/3.28084</f>
        <v>0</v>
      </c>
      <c r="Y35" s="41">
        <f ca="1">'REF - ASWING STRUCT-Imperial'!BT67/3.28084</f>
        <v>3.990828739323353E-2</v>
      </c>
      <c r="Z35" s="41">
        <f ca="1">'REF - ASWING STRUCT-Imperial'!BU67/3.28084</f>
        <v>0</v>
      </c>
      <c r="AA35" s="41">
        <f ca="1">'REF - ASWING STRUCT-Imperial'!BV67/3.28084</f>
        <v>0</v>
      </c>
      <c r="AB35" s="41">
        <f ca="1">'REF - ASWING STRUCT-Imperial'!BW67/3.28084</f>
        <v>0</v>
      </c>
      <c r="AC35" s="41">
        <f ca="1">'REF - ASWING STRUCT-Imperial'!BX67</f>
        <v>2E-3</v>
      </c>
      <c r="AD35" s="41">
        <f ca="1">'REF - ASWING STRUCT-Imperial'!BY67</f>
        <v>2E-3</v>
      </c>
      <c r="AE35" s="41">
        <f ca="1">'REF - ASWING STRUCT-Imperial'!BZ67/3.28084</f>
        <v>0</v>
      </c>
      <c r="AF35" s="41">
        <f ca="1">'REF - ASWING STRUCT-Imperial'!CA67/3.28084</f>
        <v>3.6899999999999995E-2</v>
      </c>
      <c r="AG35" s="41">
        <f ca="1">'REF - ASWING STRUCT-Imperial'!CB67/(3.28084^3)</f>
        <v>1.3367574488032613E-5</v>
      </c>
      <c r="AH35" s="41">
        <f ca="1">'REF - ASWING STRUCT-Imperial'!CC67/3.28084</f>
        <v>0</v>
      </c>
      <c r="AI35" s="41">
        <f>'REF - ASWING STRUCT-Imperial'!CD67</f>
        <v>5.4999999999999997E-3</v>
      </c>
      <c r="AJ35" s="41">
        <f>'REF - ASWING STRUCT-Imperial'!CE67</f>
        <v>5.4999999999999997E-3</v>
      </c>
      <c r="AK35" s="41">
        <f ca="1">'REF - ASWING STRUCT-Imperial'!CF67/3.28084</f>
        <v>0.41</v>
      </c>
      <c r="AL35" s="41">
        <f ca="1">'REF - ASWING STRUCT-Imperial'!CG67</f>
        <v>0.25</v>
      </c>
      <c r="AM35" s="41">
        <f ca="1">'REF - ASWING STRUCT-Imperial'!CH67</f>
        <v>5.9</v>
      </c>
      <c r="AN35" s="41">
        <f ca="1">'REF - ASWING STRUCT-Imperial'!CI67</f>
        <v>-0.15</v>
      </c>
      <c r="AO35" s="41">
        <f ca="1">'REF - ASWING STRUCT-Imperial'!CJ67</f>
        <v>2.25</v>
      </c>
      <c r="AP35" s="41">
        <f ca="1">'REF - ASWING STRUCT-Imperial'!CK67</f>
        <v>-1.65</v>
      </c>
      <c r="AQ35" s="737">
        <f ca="1">'REF - ASWING STRUCT-Imperial'!CL67</f>
        <v>5.9690260418206069</v>
      </c>
    </row>
    <row r="36" spans="1:43" x14ac:dyDescent="0.25">
      <c r="A36" s="575">
        <f ca="1">'REF - ASWING STRUCT-Imperial'!AV68</f>
        <v>85</v>
      </c>
      <c r="B36" s="735">
        <f ca="1">'REF - ASWING STRUCT-Imperial'!AW68/3.28084</f>
        <v>3.2366134</v>
      </c>
      <c r="C36" s="659">
        <f ca="1">'REF - ASWING STRUCT-Imperial'!AX68/3.28084</f>
        <v>2.5499999999999998</v>
      </c>
      <c r="D36" s="659">
        <f ca="1">'REF - ASWING STRUCT-Imperial'!AY68/3.28084</f>
        <v>3.9167552000000003</v>
      </c>
      <c r="E36" s="41">
        <f ca="1">'REF - ASWING STRUCT-Imperial'!AZ68</f>
        <v>0</v>
      </c>
      <c r="F36" s="41">
        <f ca="1">'REF - ASWING STRUCT-Imperial'!BA68*0.413253134140599</f>
        <v>1631.7078927616783</v>
      </c>
      <c r="G36" s="41">
        <f ca="1">'REF - ASWING STRUCT-Imperial'!BB68*0.413253134140599</f>
        <v>1524.1637818972549</v>
      </c>
      <c r="H36" s="41">
        <f ca="1">'REF - ASWING STRUCT-Imperial'!BC68*0.413253134140599</f>
        <v>0</v>
      </c>
      <c r="I36" s="41">
        <f ca="1">'REF - ASWING STRUCT-Imperial'!BD68*0.413253134140599</f>
        <v>0</v>
      </c>
      <c r="J36" s="41">
        <f ca="1">'REF - ASWING STRUCT-Imperial'!BE68*0.413253134140599</f>
        <v>0</v>
      </c>
      <c r="K36" s="41">
        <f ca="1">'REF - ASWING STRUCT-Imperial'!BF68*0.413253134140599</f>
        <v>359963.96444230247</v>
      </c>
      <c r="L36" s="41">
        <f ca="1">'REF - ASWING STRUCT-Imperial'!BG68</f>
        <v>0</v>
      </c>
      <c r="M36" s="41">
        <f ca="1">'REF - ASWING STRUCT-Imperial'!BH68*4.44822</f>
        <v>0</v>
      </c>
      <c r="N36" s="41">
        <f ca="1">'REF - ASWING STRUCT-Imperial'!BI68*4.44822</f>
        <v>0</v>
      </c>
      <c r="O36" s="41">
        <f ca="1">'REF - ASWING STRUCT-Imperial'!BJ68/(2.20462*3.28084)</f>
        <v>0</v>
      </c>
      <c r="P36" s="41">
        <f ca="1">'REF - ASWING STRUCT-Imperial'!BK68/(2.20462*3.28084)</f>
        <v>0</v>
      </c>
      <c r="Q36" s="41">
        <f ca="1">'REF - ASWING STRUCT-Imperial'!BL68/(2.20462)*3.28084</f>
        <v>2.5304882343352424</v>
      </c>
      <c r="R36" s="41">
        <f ca="1">'REF - ASWING STRUCT-Imperial'!BM68/3.28084</f>
        <v>9.0080346444813886E-2</v>
      </c>
      <c r="S36" s="41">
        <f ca="1">'REF - ASWING STRUCT-Imperial'!BN68/3.28084</f>
        <v>0</v>
      </c>
      <c r="T36" s="41">
        <f ca="1">'REF - ASWING STRUCT-Imperial'!BO68/(2.20462*3.28084)</f>
        <v>0</v>
      </c>
      <c r="U36" s="41">
        <f ca="1">'REF - ASWING STRUCT-Imperial'!BP68/(2.20462*3.28084)</f>
        <v>0</v>
      </c>
      <c r="V36" s="41">
        <f ca="1">'REF - ASWING STRUCT-Imperial'!BQ68/(2.20462)*3.28084</f>
        <v>0</v>
      </c>
      <c r="W36" s="41">
        <f ca="1">'REF - ASWING STRUCT-Imperial'!BR68/3.28084</f>
        <v>0</v>
      </c>
      <c r="X36" s="41">
        <f ca="1">'REF - ASWING STRUCT-Imperial'!BS68/3.28084</f>
        <v>0</v>
      </c>
      <c r="Y36" s="41">
        <f ca="1">'REF - ASWING STRUCT-Imperial'!BT68/3.28084</f>
        <v>3.8846836190996888E-2</v>
      </c>
      <c r="Z36" s="41">
        <f ca="1">'REF - ASWING STRUCT-Imperial'!BU68/3.28084</f>
        <v>0</v>
      </c>
      <c r="AA36" s="41">
        <f ca="1">'REF - ASWING STRUCT-Imperial'!BV68/3.28084</f>
        <v>0</v>
      </c>
      <c r="AB36" s="41">
        <f ca="1">'REF - ASWING STRUCT-Imperial'!BW68/3.28084</f>
        <v>0</v>
      </c>
      <c r="AC36" s="41">
        <f ca="1">'REF - ASWING STRUCT-Imperial'!BX68</f>
        <v>2E-3</v>
      </c>
      <c r="AD36" s="41">
        <f ca="1">'REF - ASWING STRUCT-Imperial'!BY68</f>
        <v>2E-3</v>
      </c>
      <c r="AE36" s="41">
        <f ca="1">'REF - ASWING STRUCT-Imperial'!BZ68/3.28084</f>
        <v>0</v>
      </c>
      <c r="AF36" s="41">
        <f ca="1">'REF - ASWING STRUCT-Imperial'!CA68/3.28084</f>
        <v>3.5549999999999998E-2</v>
      </c>
      <c r="AG36" s="41">
        <f ca="1">'REF - ASWING STRUCT-Imperial'!CB68/(3.28084^3)</f>
        <v>1.2407351632928544E-5</v>
      </c>
      <c r="AH36" s="41">
        <f ca="1">'REF - ASWING STRUCT-Imperial'!CC68/3.28084</f>
        <v>0</v>
      </c>
      <c r="AI36" s="41">
        <f>'REF - ASWING STRUCT-Imperial'!CD68</f>
        <v>5.4999999999999997E-3</v>
      </c>
      <c r="AJ36" s="41">
        <f>'REF - ASWING STRUCT-Imperial'!CE68</f>
        <v>5.4999999999999997E-3</v>
      </c>
      <c r="AK36" s="41">
        <f ca="1">'REF - ASWING STRUCT-Imperial'!CF68/3.28084</f>
        <v>0.39500000000000002</v>
      </c>
      <c r="AL36" s="41">
        <f ca="1">'REF - ASWING STRUCT-Imperial'!CG68</f>
        <v>0.25</v>
      </c>
      <c r="AM36" s="41">
        <f ca="1">'REF - ASWING STRUCT-Imperial'!CH68</f>
        <v>5.9</v>
      </c>
      <c r="AN36" s="41">
        <f ca="1">'REF - ASWING STRUCT-Imperial'!CI68</f>
        <v>-0.15</v>
      </c>
      <c r="AO36" s="41">
        <f ca="1">'REF - ASWING STRUCT-Imperial'!CJ68</f>
        <v>2.25</v>
      </c>
      <c r="AP36" s="41">
        <f ca="1">'REF - ASWING STRUCT-Imperial'!CK68</f>
        <v>-1.65</v>
      </c>
      <c r="AQ36" s="737">
        <f ca="1">'REF - ASWING STRUCT-Imperial'!CL68</f>
        <v>5.9690260418206069</v>
      </c>
    </row>
    <row r="37" spans="1:43" x14ac:dyDescent="0.25">
      <c r="A37" s="575">
        <f ca="1">'REF - ASWING STRUCT-Imperial'!AV69</f>
        <v>90</v>
      </c>
      <c r="B37" s="735">
        <f ca="1">'REF - ASWING STRUCT-Imperial'!AW69/3.28084</f>
        <v>3.2403633999999997</v>
      </c>
      <c r="C37" s="659">
        <f ca="1">'REF - ASWING STRUCT-Imperial'!AX69/3.28084</f>
        <v>2.7</v>
      </c>
      <c r="D37" s="659">
        <f ca="1">'REF - ASWING STRUCT-Imperial'!AY69/3.28084</f>
        <v>3.9167552000000003</v>
      </c>
      <c r="E37" s="41">
        <f ca="1">'REF - ASWING STRUCT-Imperial'!AZ69</f>
        <v>0</v>
      </c>
      <c r="F37" s="41">
        <f ca="1">'REF - ASWING STRUCT-Imperial'!BA69*0.413253134140599</f>
        <v>381.33965201845706</v>
      </c>
      <c r="G37" s="41">
        <f ca="1">'REF - ASWING STRUCT-Imperial'!BB69*0.413253134140599</f>
        <v>350.43669572913103</v>
      </c>
      <c r="H37" s="41">
        <f ca="1">'REF - ASWING STRUCT-Imperial'!BC69*0.413253134140599</f>
        <v>0</v>
      </c>
      <c r="I37" s="41">
        <f ca="1">'REF - ASWING STRUCT-Imperial'!BD69*0.413253134140599</f>
        <v>0</v>
      </c>
      <c r="J37" s="41">
        <f ca="1">'REF - ASWING STRUCT-Imperial'!BE69*0.413253134140599</f>
        <v>0</v>
      </c>
      <c r="K37" s="41">
        <f ca="1">'REF - ASWING STRUCT-Imperial'!BF69*0.413253134140599</f>
        <v>320492.98585917975</v>
      </c>
      <c r="L37" s="41">
        <f ca="1">'REF - ASWING STRUCT-Imperial'!BG69</f>
        <v>0</v>
      </c>
      <c r="M37" s="41">
        <f ca="1">'REF - ASWING STRUCT-Imperial'!BH69*4.44822</f>
        <v>0</v>
      </c>
      <c r="N37" s="41">
        <f ca="1">'REF - ASWING STRUCT-Imperial'!BI69*4.44822</f>
        <v>0</v>
      </c>
      <c r="O37" s="41">
        <f ca="1">'REF - ASWING STRUCT-Imperial'!BJ69/(2.20462*3.28084)</f>
        <v>0</v>
      </c>
      <c r="P37" s="41">
        <f ca="1">'REF - ASWING STRUCT-Imperial'!BK69/(2.20462*3.28084)</f>
        <v>0</v>
      </c>
      <c r="Q37" s="41">
        <f ca="1">'REF - ASWING STRUCT-Imperial'!BL69/(2.20462)*3.28084</f>
        <v>2.4073548300015428</v>
      </c>
      <c r="R37" s="41">
        <f ca="1">'REF - ASWING STRUCT-Imperial'!BM69/3.28084</f>
        <v>8.7607570286932029E-2</v>
      </c>
      <c r="S37" s="41">
        <f ca="1">'REF - ASWING STRUCT-Imperial'!BN69/3.28084</f>
        <v>0</v>
      </c>
      <c r="T37" s="41">
        <f ca="1">'REF - ASWING STRUCT-Imperial'!BO69/(2.20462*3.28084)</f>
        <v>0</v>
      </c>
      <c r="U37" s="41">
        <f ca="1">'REF - ASWING STRUCT-Imperial'!BP69/(2.20462*3.28084)</f>
        <v>0</v>
      </c>
      <c r="V37" s="41">
        <f ca="1">'REF - ASWING STRUCT-Imperial'!BQ69/(2.20462)*3.28084</f>
        <v>0</v>
      </c>
      <c r="W37" s="41">
        <f ca="1">'REF - ASWING STRUCT-Imperial'!BR69/3.28084</f>
        <v>0</v>
      </c>
      <c r="X37" s="41">
        <f ca="1">'REF - ASWING STRUCT-Imperial'!BS69/3.28084</f>
        <v>0</v>
      </c>
      <c r="Y37" s="41">
        <f ca="1">'REF - ASWING STRUCT-Imperial'!BT69/3.28084</f>
        <v>3.779583630831955E-2</v>
      </c>
      <c r="Z37" s="41">
        <f ca="1">'REF - ASWING STRUCT-Imperial'!BU69/3.28084</f>
        <v>0</v>
      </c>
      <c r="AA37" s="41">
        <f ca="1">'REF - ASWING STRUCT-Imperial'!BV69/3.28084</f>
        <v>0</v>
      </c>
      <c r="AB37" s="41">
        <f ca="1">'REF - ASWING STRUCT-Imperial'!BW69/3.28084</f>
        <v>0</v>
      </c>
      <c r="AC37" s="41">
        <f ca="1">'REF - ASWING STRUCT-Imperial'!BX69</f>
        <v>2E-3</v>
      </c>
      <c r="AD37" s="41">
        <f ca="1">'REF - ASWING STRUCT-Imperial'!BY69</f>
        <v>2E-3</v>
      </c>
      <c r="AE37" s="41">
        <f ca="1">'REF - ASWING STRUCT-Imperial'!BZ69/3.28084</f>
        <v>0</v>
      </c>
      <c r="AF37" s="41">
        <f ca="1">'REF - ASWING STRUCT-Imperial'!CA69/3.28084</f>
        <v>3.4200000000000001E-2</v>
      </c>
      <c r="AG37" s="41">
        <f ca="1">'REF - ASWING STRUCT-Imperial'!CB69/(3.28084^3)</f>
        <v>1.1482913480499162E-5</v>
      </c>
      <c r="AH37" s="41">
        <f ca="1">'REF - ASWING STRUCT-Imperial'!CC69/3.28084</f>
        <v>0</v>
      </c>
      <c r="AI37" s="41">
        <f>'REF - ASWING STRUCT-Imperial'!CD69</f>
        <v>5.4999999999999997E-3</v>
      </c>
      <c r="AJ37" s="41">
        <f>'REF - ASWING STRUCT-Imperial'!CE69</f>
        <v>5.4999999999999997E-3</v>
      </c>
      <c r="AK37" s="41">
        <f ca="1">'REF - ASWING STRUCT-Imperial'!CF69/3.28084</f>
        <v>0.38</v>
      </c>
      <c r="AL37" s="41">
        <f ca="1">'REF - ASWING STRUCT-Imperial'!CG69</f>
        <v>0.25</v>
      </c>
      <c r="AM37" s="41">
        <f ca="1">'REF - ASWING STRUCT-Imperial'!CH69</f>
        <v>5.9</v>
      </c>
      <c r="AN37" s="41">
        <f ca="1">'REF - ASWING STRUCT-Imperial'!CI69</f>
        <v>-0.15</v>
      </c>
      <c r="AO37" s="41">
        <f ca="1">'REF - ASWING STRUCT-Imperial'!CJ69</f>
        <v>2.25</v>
      </c>
      <c r="AP37" s="41">
        <f ca="1">'REF - ASWING STRUCT-Imperial'!CK69</f>
        <v>-1.65</v>
      </c>
      <c r="AQ37" s="737">
        <f ca="1">'REF - ASWING STRUCT-Imperial'!CL69</f>
        <v>5.9690260418206069</v>
      </c>
    </row>
    <row r="38" spans="1:43" x14ac:dyDescent="0.25">
      <c r="A38" s="575">
        <f ca="1">'REF - ASWING STRUCT-Imperial'!AV70</f>
        <v>95</v>
      </c>
      <c r="B38" s="735">
        <f ca="1">'REF - ASWING STRUCT-Imperial'!AW70/3.28084</f>
        <v>3.2441133999999998</v>
      </c>
      <c r="C38" s="659">
        <f ca="1">'REF - ASWING STRUCT-Imperial'!AX70/3.28084</f>
        <v>2.85</v>
      </c>
      <c r="D38" s="659">
        <f ca="1">'REF - ASWING STRUCT-Imperial'!AY70/3.28084</f>
        <v>3.9167552000000003</v>
      </c>
      <c r="E38" s="41">
        <f ca="1">'REF - ASWING STRUCT-Imperial'!AZ70</f>
        <v>0</v>
      </c>
      <c r="F38" s="41">
        <f ca="1">'REF - ASWING STRUCT-Imperial'!BA70*0.413253134140599</f>
        <v>342.84047704506742</v>
      </c>
      <c r="G38" s="41">
        <f ca="1">'REF - ASWING STRUCT-Imperial'!BB70*0.413253134140599</f>
        <v>323.31668136089667</v>
      </c>
      <c r="H38" s="41">
        <f ca="1">'REF - ASWING STRUCT-Imperial'!BC70*0.413253134140599</f>
        <v>0</v>
      </c>
      <c r="I38" s="41">
        <f ca="1">'REF - ASWING STRUCT-Imperial'!BD70*0.413253134140599</f>
        <v>0</v>
      </c>
      <c r="J38" s="41">
        <f ca="1">'REF - ASWING STRUCT-Imperial'!BE70*0.413253134140599</f>
        <v>0</v>
      </c>
      <c r="K38" s="41">
        <f ca="1">'REF - ASWING STRUCT-Imperial'!BF70*0.413253134140599</f>
        <v>284018.30596656894</v>
      </c>
      <c r="L38" s="41">
        <f ca="1">'REF - ASWING STRUCT-Imperial'!BG70</f>
        <v>0</v>
      </c>
      <c r="M38" s="41">
        <f ca="1">'REF - ASWING STRUCT-Imperial'!BH70*4.44822</f>
        <v>0</v>
      </c>
      <c r="N38" s="41">
        <f ca="1">'REF - ASWING STRUCT-Imperial'!BI70*4.44822</f>
        <v>0</v>
      </c>
      <c r="O38" s="41">
        <f ca="1">'REF - ASWING STRUCT-Imperial'!BJ70/(2.20462*3.28084)</f>
        <v>0</v>
      </c>
      <c r="P38" s="41">
        <f ca="1">'REF - ASWING STRUCT-Imperial'!BK70/(2.20462*3.28084)</f>
        <v>0</v>
      </c>
      <c r="Q38" s="41">
        <f ca="1">'REF - ASWING STRUCT-Imperial'!BL70/(2.20462)*3.28084</f>
        <v>2.3130661161739825</v>
      </c>
      <c r="R38" s="41">
        <f ca="1">'REF - ASWING STRUCT-Imperial'!BM70/3.28084</f>
        <v>8.4106634381841544E-2</v>
      </c>
      <c r="S38" s="41">
        <f ca="1">'REF - ASWING STRUCT-Imperial'!BN70/3.28084</f>
        <v>0</v>
      </c>
      <c r="T38" s="41">
        <f ca="1">'REF - ASWING STRUCT-Imperial'!BO70/(2.20462*3.28084)</f>
        <v>0</v>
      </c>
      <c r="U38" s="41">
        <f ca="1">'REF - ASWING STRUCT-Imperial'!BP70/(2.20462*3.28084)</f>
        <v>0</v>
      </c>
      <c r="V38" s="41">
        <f ca="1">'REF - ASWING STRUCT-Imperial'!BQ70/(2.20462)*3.28084</f>
        <v>0</v>
      </c>
      <c r="W38" s="41">
        <f ca="1">'REF - ASWING STRUCT-Imperial'!BR70/3.28084</f>
        <v>0</v>
      </c>
      <c r="X38" s="41">
        <f ca="1">'REF - ASWING STRUCT-Imperial'!BS70/3.28084</f>
        <v>0</v>
      </c>
      <c r="Y38" s="41">
        <f ca="1">'REF - ASWING STRUCT-Imperial'!BT70/3.28084</f>
        <v>3.6754373501045004E-2</v>
      </c>
      <c r="Z38" s="41">
        <f ca="1">'REF - ASWING STRUCT-Imperial'!BU70/3.28084</f>
        <v>0</v>
      </c>
      <c r="AA38" s="41">
        <f ca="1">'REF - ASWING STRUCT-Imperial'!BV70/3.28084</f>
        <v>0</v>
      </c>
      <c r="AB38" s="41">
        <f ca="1">'REF - ASWING STRUCT-Imperial'!BW70/3.28084</f>
        <v>0</v>
      </c>
      <c r="AC38" s="41">
        <f ca="1">'REF - ASWING STRUCT-Imperial'!BX70</f>
        <v>2E-3</v>
      </c>
      <c r="AD38" s="41">
        <f ca="1">'REF - ASWING STRUCT-Imperial'!BY70</f>
        <v>2E-3</v>
      </c>
      <c r="AE38" s="41">
        <f ca="1">'REF - ASWING STRUCT-Imperial'!BZ70/3.28084</f>
        <v>0</v>
      </c>
      <c r="AF38" s="41">
        <f ca="1">'REF - ASWING STRUCT-Imperial'!CA70/3.28084</f>
        <v>3.2849999999999997E-2</v>
      </c>
      <c r="AG38" s="41">
        <f ca="1">'REF - ASWING STRUCT-Imperial'!CB70/(3.28084^3)</f>
        <v>1.0594260030744467E-5</v>
      </c>
      <c r="AH38" s="41">
        <f ca="1">'REF - ASWING STRUCT-Imperial'!CC70/3.28084</f>
        <v>0</v>
      </c>
      <c r="AI38" s="41">
        <f>'REF - ASWING STRUCT-Imperial'!CD70</f>
        <v>5.4999999999999997E-3</v>
      </c>
      <c r="AJ38" s="41">
        <f>'REF - ASWING STRUCT-Imperial'!CE70</f>
        <v>5.4999999999999997E-3</v>
      </c>
      <c r="AK38" s="41">
        <f ca="1">'REF - ASWING STRUCT-Imperial'!CF70/3.28084</f>
        <v>0.36499999999999994</v>
      </c>
      <c r="AL38" s="41">
        <f ca="1">'REF - ASWING STRUCT-Imperial'!CG70</f>
        <v>0.25</v>
      </c>
      <c r="AM38" s="41">
        <f ca="1">'REF - ASWING STRUCT-Imperial'!CH70</f>
        <v>5.9</v>
      </c>
      <c r="AN38" s="41">
        <f ca="1">'REF - ASWING STRUCT-Imperial'!CI70</f>
        <v>-0.15</v>
      </c>
      <c r="AO38" s="41">
        <f ca="1">'REF - ASWING STRUCT-Imperial'!CJ70</f>
        <v>2.25</v>
      </c>
      <c r="AP38" s="41">
        <f ca="1">'REF - ASWING STRUCT-Imperial'!CK70</f>
        <v>-1.65</v>
      </c>
      <c r="AQ38" s="737">
        <f ca="1">'REF - ASWING STRUCT-Imperial'!CL70</f>
        <v>5.9690260418206069</v>
      </c>
    </row>
    <row r="39" spans="1:43" ht="15.75" thickBot="1" x14ac:dyDescent="0.3">
      <c r="A39" s="575">
        <f ca="1">'REF - ASWING STRUCT-Imperial'!AV71</f>
        <v>100</v>
      </c>
      <c r="B39" s="738">
        <f ca="1">'REF - ASWING STRUCT-Imperial'!AW71/3.28084</f>
        <v>3.2478633999999995</v>
      </c>
      <c r="C39" s="739">
        <f ca="1">'REF - ASWING STRUCT-Imperial'!AX71/3.28084</f>
        <v>3</v>
      </c>
      <c r="D39" s="739">
        <f ca="1">'REF - ASWING STRUCT-Imperial'!AY71/3.28084</f>
        <v>3.9167552000000003</v>
      </c>
      <c r="E39" s="740">
        <f ca="1">'REF - ASWING STRUCT-Imperial'!AZ71</f>
        <v>0</v>
      </c>
      <c r="F39" s="740">
        <f ca="1">'REF - ASWING STRUCT-Imperial'!BA71*0.413253134140599</f>
        <v>306.38945991493068</v>
      </c>
      <c r="G39" s="740">
        <f ca="1">'REF - ASWING STRUCT-Imperial'!BB71*0.413253134140599</f>
        <v>297.28874810816171</v>
      </c>
      <c r="H39" s="740">
        <f ca="1">'REF - ASWING STRUCT-Imperial'!BC71*0.413253134140599</f>
        <v>0</v>
      </c>
      <c r="I39" s="740">
        <f ca="1">'REF - ASWING STRUCT-Imperial'!BD71*0.413253134140599</f>
        <v>0</v>
      </c>
      <c r="J39" s="740">
        <f ca="1">'REF - ASWING STRUCT-Imperial'!BE71*0.413253134140599</f>
        <v>0</v>
      </c>
      <c r="K39" s="740">
        <f ca="1">'REF - ASWING STRUCT-Imperial'!BF71*0.413253134140599</f>
        <v>250421.64981616006</v>
      </c>
      <c r="L39" s="740">
        <f ca="1">'REF - ASWING STRUCT-Imperial'!BG71</f>
        <v>0</v>
      </c>
      <c r="M39" s="740">
        <f ca="1">'REF - ASWING STRUCT-Imperial'!BH71*4.44822</f>
        <v>0</v>
      </c>
      <c r="N39" s="740">
        <f ca="1">'REF - ASWING STRUCT-Imperial'!BI71*4.44822</f>
        <v>0</v>
      </c>
      <c r="O39" s="740">
        <f ca="1">'REF - ASWING STRUCT-Imperial'!BJ71/(2.20462*3.28084)</f>
        <v>0</v>
      </c>
      <c r="P39" s="740">
        <f ca="1">'REF - ASWING STRUCT-Imperial'!BK71/(2.20462*3.28084)</f>
        <v>0</v>
      </c>
      <c r="Q39" s="740">
        <f ca="1">'REF - ASWING STRUCT-Imperial'!BL71/(2.20462)*3.28084</f>
        <v>2.2187774023464217</v>
      </c>
      <c r="R39" s="740">
        <f ca="1">'REF - ASWING STRUCT-Imperial'!BM71/3.28084</f>
        <v>8.060570758064467E-2</v>
      </c>
      <c r="S39" s="740">
        <f ca="1">'REF - ASWING STRUCT-Imperial'!BN71/3.28084</f>
        <v>0</v>
      </c>
      <c r="T39" s="740">
        <f ca="1">'REF - ASWING STRUCT-Imperial'!BO71/(2.20462*3.28084)</f>
        <v>0</v>
      </c>
      <c r="U39" s="740">
        <f ca="1">'REF - ASWING STRUCT-Imperial'!BP71/(2.20462*3.28084)</f>
        <v>0</v>
      </c>
      <c r="V39" s="740">
        <f ca="1">'REF - ASWING STRUCT-Imperial'!BQ71/(2.20462)*3.28084</f>
        <v>0</v>
      </c>
      <c r="W39" s="740">
        <f ca="1">'REF - ASWING STRUCT-Imperial'!BR71/3.28084</f>
        <v>0</v>
      </c>
      <c r="X39" s="740">
        <f ca="1">'REF - ASWING STRUCT-Imperial'!BS71/3.28084</f>
        <v>0</v>
      </c>
      <c r="Y39" s="740">
        <f ca="1">'REF - ASWING STRUCT-Imperial'!BT71/3.28084</f>
        <v>3.5721307422871551E-2</v>
      </c>
      <c r="Z39" s="740">
        <f ca="1">'REF - ASWING STRUCT-Imperial'!BU71/3.28084</f>
        <v>0</v>
      </c>
      <c r="AA39" s="740">
        <f ca="1">'REF - ASWING STRUCT-Imperial'!BV71/3.28084</f>
        <v>0</v>
      </c>
      <c r="AB39" s="740">
        <f ca="1">'REF - ASWING STRUCT-Imperial'!BW71/3.28084</f>
        <v>0</v>
      </c>
      <c r="AC39" s="740">
        <f ca="1">'REF - ASWING STRUCT-Imperial'!BX71</f>
        <v>2E-3</v>
      </c>
      <c r="AD39" s="740">
        <f ca="1">'REF - ASWING STRUCT-Imperial'!BY71</f>
        <v>2E-3</v>
      </c>
      <c r="AE39" s="740">
        <f ca="1">'REF - ASWING STRUCT-Imperial'!BZ71/3.28084</f>
        <v>0</v>
      </c>
      <c r="AF39" s="740">
        <f ca="1">'REF - ASWING STRUCT-Imperial'!CA71/3.28084</f>
        <v>3.1499999999999993E-2</v>
      </c>
      <c r="AG39" s="740">
        <f ca="1">'REF - ASWING STRUCT-Imperial'!CB71/(3.28084^3)</f>
        <v>9.7413912836644561E-6</v>
      </c>
      <c r="AH39" s="740">
        <f ca="1">'REF - ASWING STRUCT-Imperial'!CC71/3.28084</f>
        <v>0</v>
      </c>
      <c r="AI39" s="740">
        <f>'REF - ASWING STRUCT-Imperial'!CD71</f>
        <v>5.4999999999999997E-3</v>
      </c>
      <c r="AJ39" s="740">
        <f>'REF - ASWING STRUCT-Imperial'!CE71</f>
        <v>5.4999999999999997E-3</v>
      </c>
      <c r="AK39" s="740">
        <f ca="1">'REF - ASWING STRUCT-Imperial'!CF71/3.28084</f>
        <v>0.35</v>
      </c>
      <c r="AL39" s="740">
        <f ca="1">'REF - ASWING STRUCT-Imperial'!CG71</f>
        <v>0.25</v>
      </c>
      <c r="AM39" s="740">
        <f ca="1">'REF - ASWING STRUCT-Imperial'!CH71</f>
        <v>5.9</v>
      </c>
      <c r="AN39" s="740">
        <f ca="1">'REF - ASWING STRUCT-Imperial'!CI71</f>
        <v>-0.15</v>
      </c>
      <c r="AO39" s="740">
        <f ca="1">'REF - ASWING STRUCT-Imperial'!CJ71</f>
        <v>2.25</v>
      </c>
      <c r="AP39" s="740">
        <f ca="1">'REF - ASWING STRUCT-Imperial'!CK71</f>
        <v>-1.65</v>
      </c>
      <c r="AQ39" s="741">
        <f ca="1">'REF - ASWING STRUCT-Imperial'!CL71</f>
        <v>5.9690260418206069</v>
      </c>
    </row>
    <row r="40" spans="1:43" ht="15.75" customHeight="1" x14ac:dyDescent="0.25">
      <c r="B40" s="207"/>
      <c r="C40" s="207"/>
    </row>
    <row r="41" spans="1:43" x14ac:dyDescent="0.25">
      <c r="B41" s="207"/>
      <c r="C41" s="207"/>
    </row>
    <row r="42" spans="1:43" x14ac:dyDescent="0.25">
      <c r="B42" s="207"/>
      <c r="C42" s="207"/>
    </row>
    <row r="43" spans="1:43" x14ac:dyDescent="0.25">
      <c r="B43" s="207"/>
      <c r="C43" s="207"/>
    </row>
    <row r="44" spans="1:43" ht="15" customHeight="1" x14ac:dyDescent="0.25">
      <c r="B44" s="207"/>
      <c r="C44" s="207"/>
    </row>
    <row r="45" spans="1:43" x14ac:dyDescent="0.25">
      <c r="B45" s="207"/>
      <c r="C45" s="207"/>
    </row>
    <row r="46" spans="1:43" x14ac:dyDescent="0.25">
      <c r="B46" s="207"/>
      <c r="C46" s="207"/>
    </row>
    <row r="47" spans="1:43" x14ac:dyDescent="0.25">
      <c r="B47" s="207"/>
      <c r="C47" s="207"/>
    </row>
    <row r="48" spans="1:43" ht="31.5" customHeight="1" x14ac:dyDescent="0.25">
      <c r="B48" s="207"/>
    </row>
    <row r="49" spans="2:2" x14ac:dyDescent="0.25">
      <c r="B49" s="207"/>
    </row>
    <row r="50" spans="2:2" x14ac:dyDescent="0.25">
      <c r="B50" s="207"/>
    </row>
    <row r="51" spans="2:2" x14ac:dyDescent="0.25">
      <c r="B51" s="207"/>
    </row>
    <row r="52" spans="2:2" x14ac:dyDescent="0.25">
      <c r="B52" s="207"/>
    </row>
    <row r="53" spans="2:2" x14ac:dyDescent="0.25">
      <c r="B53" s="207"/>
    </row>
    <row r="69" spans="25:40" x14ac:dyDescent="0.25">
      <c r="Y69" s="580"/>
      <c r="AN69" s="594"/>
    </row>
    <row r="70" spans="25:40" x14ac:dyDescent="0.25">
      <c r="Y70" s="580"/>
      <c r="AN70" s="594"/>
    </row>
    <row r="88" spans="7:7" x14ac:dyDescent="0.25">
      <c r="G88" s="207"/>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E2DB-67B7-4035-BF49-8901AD71CB71}">
  <sheetPr>
    <tabColor rgb="FFFF66FF"/>
  </sheetPr>
  <dimension ref="A1:BD34"/>
  <sheetViews>
    <sheetView topLeftCell="G1" zoomScaleNormal="100" workbookViewId="0">
      <selection activeCell="AB37" sqref="AB37"/>
    </sheetView>
  </sheetViews>
  <sheetFormatPr defaultRowHeight="15" x14ac:dyDescent="0.25"/>
  <cols>
    <col min="24" max="24" width="9.28515625" customWidth="1"/>
    <col min="25" max="27" width="9.85546875" customWidth="1"/>
    <col min="28" max="28" width="9.28515625" customWidth="1"/>
  </cols>
  <sheetData>
    <row r="1" spans="1:46" x14ac:dyDescent="0.25">
      <c r="A1" t="s">
        <v>938</v>
      </c>
      <c r="Q1" s="4" t="s">
        <v>970</v>
      </c>
      <c r="T1" s="4" t="s">
        <v>971</v>
      </c>
      <c r="X1" s="4" t="s">
        <v>1001</v>
      </c>
      <c r="AP1" s="4" t="s">
        <v>977</v>
      </c>
    </row>
    <row r="2" spans="1:46" x14ac:dyDescent="0.25">
      <c r="A2" s="562" t="str">
        <f>'Inputs-Imperial'!C12</f>
        <v>Spar_x/c</v>
      </c>
      <c r="B2" s="639">
        <f>'Inputs-Imperial'!E12</f>
        <v>0.25</v>
      </c>
    </row>
    <row r="3" spans="1:46" x14ac:dyDescent="0.25">
      <c r="Q3" t="s">
        <v>968</v>
      </c>
      <c r="R3" s="606">
        <f>'CANARD AERO'!E4</f>
        <v>1.85</v>
      </c>
      <c r="T3" t="s">
        <v>968</v>
      </c>
      <c r="U3" s="606">
        <f>'CANARD AERO'!H4</f>
        <v>2.25</v>
      </c>
      <c r="X3" t="s">
        <v>951</v>
      </c>
      <c r="Y3" s="606">
        <f>'CANARD AERO'!H13</f>
        <v>9.0000000000000024E-2</v>
      </c>
      <c r="AP3" t="s">
        <v>979</v>
      </c>
      <c r="AR3" s="606" t="e">
        <f>'CANARD AERO'!#REF!</f>
        <v>#REF!</v>
      </c>
      <c r="AT3" s="41" t="s">
        <v>980</v>
      </c>
    </row>
    <row r="4" spans="1:46" x14ac:dyDescent="0.25">
      <c r="Q4" t="s">
        <v>969</v>
      </c>
      <c r="R4" s="606">
        <f>'CANARD AERO'!E5</f>
        <v>-1.55</v>
      </c>
      <c r="T4" t="s">
        <v>969</v>
      </c>
      <c r="U4" s="606">
        <f>'CANARD AERO'!H5</f>
        <v>-1.65</v>
      </c>
      <c r="X4" t="s">
        <v>739</v>
      </c>
      <c r="Y4" s="606">
        <f>'CANARD AERO'!H14</f>
        <v>8.0285145591739146E-2</v>
      </c>
      <c r="Z4" t="s">
        <v>952</v>
      </c>
    </row>
    <row r="5" spans="1:46" x14ac:dyDescent="0.25">
      <c r="Q5" t="s">
        <v>718</v>
      </c>
      <c r="R5" s="606">
        <f>'CANARD AERO'!E6</f>
        <v>5.4999999999999997E-3</v>
      </c>
      <c r="T5" t="s">
        <v>718</v>
      </c>
      <c r="U5" s="606">
        <f>'CANARD AERO'!H6</f>
        <v>5.4999999999999997E-3</v>
      </c>
      <c r="X5" t="s">
        <v>742</v>
      </c>
      <c r="Y5" s="606">
        <f>'CANARD AERO'!H15</f>
        <v>-7.2256631032565251E-3</v>
      </c>
      <c r="AP5" t="s">
        <v>978</v>
      </c>
    </row>
    <row r="6" spans="1:46" x14ac:dyDescent="0.25">
      <c r="Q6" t="s">
        <v>720</v>
      </c>
      <c r="R6" s="606">
        <f>'CANARD AERO'!E7</f>
        <v>5.4999999999999997E-3</v>
      </c>
      <c r="T6" t="s">
        <v>720</v>
      </c>
      <c r="U6" s="606">
        <f>'CANARD AERO'!H7</f>
        <v>5.4999999999999997E-3</v>
      </c>
      <c r="AP6" t="e">
        <f>AE24+AI24</f>
        <v>#REF!</v>
      </c>
    </row>
    <row r="7" spans="1:46" x14ac:dyDescent="0.25">
      <c r="Q7" t="s">
        <v>804</v>
      </c>
      <c r="R7" s="606">
        <f>'CANARD AERO'!E8</f>
        <v>0</v>
      </c>
      <c r="T7" t="s">
        <v>804</v>
      </c>
      <c r="U7" s="606">
        <f>'CANARD AERO'!H8</f>
        <v>0</v>
      </c>
      <c r="AP7" t="e">
        <f>AE25+AI25</f>
        <v>#REF!</v>
      </c>
    </row>
    <row r="9" spans="1:46" x14ac:dyDescent="0.25">
      <c r="Q9" s="4" t="s">
        <v>972</v>
      </c>
    </row>
    <row r="11" spans="1:46" x14ac:dyDescent="0.25">
      <c r="Q11" t="s">
        <v>968</v>
      </c>
      <c r="R11" s="606">
        <f>'CANARD AERO'!K4</f>
        <v>1.4</v>
      </c>
    </row>
    <row r="12" spans="1:46" x14ac:dyDescent="0.25">
      <c r="Q12" t="s">
        <v>969</v>
      </c>
      <c r="R12" s="606">
        <f>'CANARD AERO'!K5</f>
        <v>-1.4</v>
      </c>
    </row>
    <row r="13" spans="1:46" x14ac:dyDescent="0.25">
      <c r="Q13" t="s">
        <v>718</v>
      </c>
      <c r="R13" s="606">
        <f>'CANARD AERO'!K6</f>
        <v>5.4999999999999997E-3</v>
      </c>
    </row>
    <row r="14" spans="1:46" x14ac:dyDescent="0.25">
      <c r="Q14" t="s">
        <v>720</v>
      </c>
      <c r="R14" s="606">
        <f>'CANARD AERO'!K7</f>
        <v>5.4999999999999997E-3</v>
      </c>
    </row>
    <row r="15" spans="1:46" x14ac:dyDescent="0.25">
      <c r="Q15" t="s">
        <v>804</v>
      </c>
      <c r="R15" s="606">
        <f>'CANARD AERO'!K8</f>
        <v>0</v>
      </c>
    </row>
    <row r="20" spans="1:56" x14ac:dyDescent="0.25">
      <c r="A20" s="627" t="s">
        <v>871</v>
      </c>
      <c r="B20" s="628"/>
      <c r="C20" s="628"/>
      <c r="D20" s="610" t="s">
        <v>913</v>
      </c>
      <c r="E20" s="610"/>
      <c r="F20" s="610"/>
      <c r="G20" s="610"/>
      <c r="H20" s="610"/>
      <c r="I20" s="610"/>
      <c r="J20" s="610"/>
      <c r="K20" s="610"/>
      <c r="L20" s="610"/>
      <c r="M20" s="610"/>
      <c r="N20" s="611"/>
      <c r="O20" s="586" t="s">
        <v>880</v>
      </c>
      <c r="P20" s="619"/>
      <c r="Q20" s="619"/>
      <c r="R20" s="587"/>
      <c r="S20" s="587"/>
      <c r="T20" s="587"/>
      <c r="U20" s="587"/>
      <c r="V20" s="587"/>
      <c r="W20" s="587"/>
      <c r="X20" s="587"/>
      <c r="Y20" s="587"/>
      <c r="Z20" s="587"/>
      <c r="AA20" s="587"/>
      <c r="AB20" s="587"/>
      <c r="AC20" s="587"/>
      <c r="AD20" s="588"/>
      <c r="AE20" s="586" t="s">
        <v>944</v>
      </c>
      <c r="AF20" s="619"/>
      <c r="AG20" s="587"/>
      <c r="AH20" s="587"/>
      <c r="AI20" s="587"/>
      <c r="AJ20" s="587"/>
      <c r="AK20" s="587"/>
      <c r="AL20" s="587"/>
      <c r="AM20" s="587"/>
      <c r="AN20" s="587"/>
      <c r="AO20" s="587"/>
      <c r="AP20" s="587"/>
      <c r="AQ20" s="588"/>
      <c r="AR20" s="586" t="s">
        <v>945</v>
      </c>
      <c r="AS20" s="619"/>
      <c r="AT20" s="587"/>
      <c r="AU20" s="587"/>
      <c r="AV20" s="587"/>
      <c r="AW20" s="587"/>
      <c r="AX20" s="587"/>
      <c r="AY20" s="587"/>
      <c r="AZ20" s="587"/>
      <c r="BA20" s="587"/>
      <c r="BB20" s="587"/>
      <c r="BC20" s="587"/>
      <c r="BD20" s="588"/>
    </row>
    <row r="21" spans="1:56" x14ac:dyDescent="0.25">
      <c r="A21" s="629" t="s">
        <v>872</v>
      </c>
      <c r="B21" s="630"/>
      <c r="C21" s="630"/>
      <c r="D21" s="631"/>
      <c r="E21" s="631"/>
      <c r="F21" s="631"/>
      <c r="G21" s="631"/>
      <c r="H21" s="631"/>
      <c r="I21" s="631"/>
      <c r="J21" s="631"/>
      <c r="K21" s="631"/>
      <c r="L21" s="631"/>
      <c r="M21" s="631"/>
      <c r="N21" s="632"/>
      <c r="O21" s="589" t="s">
        <v>872</v>
      </c>
      <c r="P21" s="593"/>
      <c r="Q21" s="593"/>
      <c r="R21" s="590"/>
      <c r="S21" s="590"/>
      <c r="T21" s="590"/>
      <c r="U21" s="590"/>
      <c r="V21" s="590"/>
      <c r="W21" s="590"/>
      <c r="X21" s="590"/>
      <c r="Y21" s="590"/>
      <c r="Z21" s="590"/>
      <c r="AA21" s="590"/>
      <c r="AB21" s="590"/>
      <c r="AC21" s="590"/>
      <c r="AD21" s="591"/>
      <c r="AE21" s="589" t="s">
        <v>882</v>
      </c>
      <c r="AF21" s="593"/>
      <c r="AG21" s="590"/>
      <c r="AH21" s="590"/>
      <c r="AI21" s="590"/>
      <c r="AJ21" s="590"/>
      <c r="AK21" s="590"/>
      <c r="AL21" s="590"/>
      <c r="AM21" s="590"/>
      <c r="AN21" s="590"/>
      <c r="AO21" s="590"/>
      <c r="AP21" s="590"/>
      <c r="AQ21" s="591"/>
      <c r="AR21" s="589" t="s">
        <v>882</v>
      </c>
      <c r="AS21" s="593"/>
      <c r="AT21" s="590"/>
      <c r="AU21" s="590"/>
      <c r="AV21" s="590"/>
      <c r="AW21" s="590"/>
      <c r="AX21" s="590"/>
      <c r="AY21" s="590"/>
      <c r="AZ21" s="590"/>
      <c r="BA21" s="590"/>
      <c r="BB21" s="590"/>
      <c r="BC21" s="590"/>
      <c r="BD21" s="591"/>
    </row>
    <row r="22" spans="1:56" x14ac:dyDescent="0.25">
      <c r="A22" s="629">
        <f>'CANARD AERO'!A22</f>
        <v>5.9</v>
      </c>
      <c r="B22" s="630"/>
      <c r="C22" s="630"/>
      <c r="D22" s="631" t="s">
        <v>653</v>
      </c>
      <c r="E22" s="631"/>
      <c r="F22" s="631"/>
      <c r="G22" s="631"/>
      <c r="H22" s="631"/>
      <c r="I22" s="631"/>
      <c r="J22" s="631"/>
      <c r="K22" s="631"/>
      <c r="L22" s="631"/>
      <c r="M22" s="631"/>
      <c r="N22" s="632"/>
      <c r="O22" s="592" t="e">
        <f>'CANARD AERO'!#REF!</f>
        <v>#REF!</v>
      </c>
      <c r="P22" s="590"/>
      <c r="Q22" s="590"/>
      <c r="R22" s="590" t="s">
        <v>653</v>
      </c>
      <c r="S22" s="593"/>
      <c r="T22" s="590"/>
      <c r="U22" s="590"/>
      <c r="V22" s="590"/>
      <c r="W22" s="590"/>
      <c r="X22" s="590"/>
      <c r="Y22" s="590"/>
      <c r="Z22" s="590"/>
      <c r="AA22" s="590"/>
      <c r="AB22" s="590"/>
      <c r="AC22" s="590" t="s">
        <v>950</v>
      </c>
      <c r="AD22" s="591"/>
      <c r="AE22" s="592" t="e">
        <f>'CANARD AERO'!#REF!</f>
        <v>#REF!</v>
      </c>
      <c r="AF22" s="590"/>
      <c r="AG22" s="590" t="s">
        <v>653</v>
      </c>
      <c r="AH22" s="590"/>
      <c r="AI22" s="590"/>
      <c r="AJ22" s="590"/>
      <c r="AK22" s="590"/>
      <c r="AL22" s="590"/>
      <c r="AM22" s="590"/>
      <c r="AN22" s="590"/>
      <c r="AO22" s="590"/>
      <c r="AP22" s="590"/>
      <c r="AQ22" s="591"/>
      <c r="AR22" s="592" t="e">
        <f>'CANARD AERO'!#REF!</f>
        <v>#REF!</v>
      </c>
      <c r="AS22" s="590"/>
      <c r="AT22" s="590" t="s">
        <v>653</v>
      </c>
      <c r="AU22" s="590"/>
      <c r="AV22" s="590"/>
      <c r="AW22" s="590"/>
      <c r="AX22" s="590"/>
      <c r="AY22" s="590"/>
      <c r="AZ22" s="590"/>
      <c r="BA22" s="590"/>
      <c r="BB22" s="590"/>
      <c r="BC22" s="590"/>
      <c r="BD22" s="591"/>
    </row>
    <row r="23" spans="1:56" x14ac:dyDescent="0.25">
      <c r="A23" s="581" t="s">
        <v>873</v>
      </c>
      <c r="B23" s="571" t="s">
        <v>976</v>
      </c>
      <c r="C23" s="571" t="s">
        <v>939</v>
      </c>
      <c r="D23" s="571" t="s">
        <v>874</v>
      </c>
      <c r="E23" s="571" t="s">
        <v>875</v>
      </c>
      <c r="F23" s="571" t="s">
        <v>613</v>
      </c>
      <c r="G23" s="571" t="s">
        <v>876</v>
      </c>
      <c r="H23" s="571" t="s">
        <v>930</v>
      </c>
      <c r="I23" s="571" t="s">
        <v>565</v>
      </c>
      <c r="J23" s="571" t="s">
        <v>804</v>
      </c>
      <c r="K23" s="571" t="s">
        <v>968</v>
      </c>
      <c r="L23" s="571" t="s">
        <v>969</v>
      </c>
      <c r="M23" s="571" t="s">
        <v>718</v>
      </c>
      <c r="N23" s="582" t="s">
        <v>720</v>
      </c>
      <c r="O23" s="581" t="s">
        <v>873</v>
      </c>
      <c r="P23" s="571" t="s">
        <v>976</v>
      </c>
      <c r="Q23" s="571" t="s">
        <v>939</v>
      </c>
      <c r="R23" s="571" t="s">
        <v>874</v>
      </c>
      <c r="S23" s="571" t="s">
        <v>875</v>
      </c>
      <c r="T23" s="571" t="s">
        <v>613</v>
      </c>
      <c r="U23" s="571" t="s">
        <v>876</v>
      </c>
      <c r="V23" s="571" t="s">
        <v>930</v>
      </c>
      <c r="W23" s="571" t="s">
        <v>565</v>
      </c>
      <c r="X23" s="571" t="s">
        <v>804</v>
      </c>
      <c r="Y23" s="571" t="s">
        <v>968</v>
      </c>
      <c r="Z23" s="571" t="s">
        <v>969</v>
      </c>
      <c r="AA23" s="571" t="s">
        <v>718</v>
      </c>
      <c r="AB23" s="582" t="s">
        <v>720</v>
      </c>
      <c r="AC23" s="615" t="s">
        <v>954</v>
      </c>
      <c r="AD23" s="582" t="s">
        <v>955</v>
      </c>
      <c r="AE23" s="680" t="s">
        <v>873</v>
      </c>
      <c r="AF23" s="615" t="s">
        <v>976</v>
      </c>
      <c r="AG23" s="615" t="s">
        <v>874</v>
      </c>
      <c r="AH23" s="615" t="s">
        <v>875</v>
      </c>
      <c r="AI23" s="615" t="s">
        <v>613</v>
      </c>
      <c r="AJ23" s="615" t="s">
        <v>876</v>
      </c>
      <c r="AK23" s="615" t="s">
        <v>930</v>
      </c>
      <c r="AL23" s="615" t="s">
        <v>565</v>
      </c>
      <c r="AM23" s="615" t="s">
        <v>804</v>
      </c>
      <c r="AN23" s="615" t="s">
        <v>968</v>
      </c>
      <c r="AO23" s="615" t="s">
        <v>969</v>
      </c>
      <c r="AP23" s="615" t="s">
        <v>718</v>
      </c>
      <c r="AQ23" s="681" t="s">
        <v>720</v>
      </c>
      <c r="AR23" s="581" t="s">
        <v>873</v>
      </c>
      <c r="AS23" s="571" t="s">
        <v>976</v>
      </c>
      <c r="AT23" s="571" t="s">
        <v>874</v>
      </c>
      <c r="AU23" s="571" t="s">
        <v>875</v>
      </c>
      <c r="AV23" s="571" t="s">
        <v>613</v>
      </c>
      <c r="AW23" s="571" t="s">
        <v>876</v>
      </c>
      <c r="AX23" s="571" t="s">
        <v>930</v>
      </c>
      <c r="AY23" s="571" t="s">
        <v>565</v>
      </c>
      <c r="AZ23" s="571" t="s">
        <v>804</v>
      </c>
      <c r="BA23" s="571" t="s">
        <v>968</v>
      </c>
      <c r="BB23" s="571" t="s">
        <v>969</v>
      </c>
      <c r="BC23" s="571" t="s">
        <v>718</v>
      </c>
      <c r="BD23" s="582" t="s">
        <v>720</v>
      </c>
    </row>
    <row r="24" spans="1:56" x14ac:dyDescent="0.25">
      <c r="A24" s="606">
        <f>'CANARD AERO'!A24*3.28084</f>
        <v>10.409657157255999</v>
      </c>
      <c r="B24" s="606">
        <f>'CANARD AERO'!G24*3.28084</f>
        <v>10.942793657255999</v>
      </c>
      <c r="C24" s="606">
        <f>'CANARD AERO'!E24*3.28084</f>
        <v>12.542203157255999</v>
      </c>
      <c r="D24" s="606">
        <f>'CANARD AERO'!B24*3.28084</f>
        <v>0</v>
      </c>
      <c r="E24" s="606">
        <f>'CANARD AERO'!C24*3.28084</f>
        <v>12.850247130368</v>
      </c>
      <c r="F24" s="606">
        <f>'CANARD AERO'!D24*3.28084</f>
        <v>2.1325460000000001</v>
      </c>
      <c r="G24" s="606">
        <v>5</v>
      </c>
      <c r="H24" s="606">
        <f>$A$22+G24</f>
        <v>10.9</v>
      </c>
      <c r="I24" s="606" t="s">
        <v>877</v>
      </c>
      <c r="J24" s="606">
        <f>$R$7</f>
        <v>0</v>
      </c>
      <c r="K24" s="606">
        <f>$R$3</f>
        <v>1.85</v>
      </c>
      <c r="L24" s="606">
        <f>$R$4</f>
        <v>-1.55</v>
      </c>
      <c r="M24" s="606">
        <f>$R$5</f>
        <v>5.4999999999999997E-3</v>
      </c>
      <c r="N24" s="607">
        <f>$R$6</f>
        <v>5.4999999999999997E-3</v>
      </c>
      <c r="O24" s="606" t="e">
        <f>('CANARD AERO'!#REF!)*3.28084</f>
        <v>#REF!</v>
      </c>
      <c r="P24" s="606" t="e">
        <f>'CANARD AERO'!#REF!</f>
        <v>#REF!</v>
      </c>
      <c r="Q24" s="606" t="e">
        <f>('CANARD AERO'!#REF!)*3.28084</f>
        <v>#REF!</v>
      </c>
      <c r="R24" s="606" t="e">
        <f>('CANARD AERO'!#REF!)*3.28084</f>
        <v>#REF!</v>
      </c>
      <c r="S24" s="606" t="e">
        <f>('CANARD AERO'!#REF!)*3.28084</f>
        <v>#REF!</v>
      </c>
      <c r="T24" s="606" t="e">
        <f>('CANARD AERO'!#REF!)*3.28084</f>
        <v>#REF!</v>
      </c>
      <c r="U24" s="606" t="e">
        <f>'CANARD AERO'!#REF!</f>
        <v>#REF!</v>
      </c>
      <c r="V24" s="606" t="e">
        <f>'CANARD AERO'!#REF!</f>
        <v>#REF!</v>
      </c>
      <c r="W24" s="606" t="e">
        <f>'CANARD AERO'!#REF!</f>
        <v>#REF!</v>
      </c>
      <c r="X24" s="606" t="e">
        <f>'CANARD AERO'!#REF!</f>
        <v>#REF!</v>
      </c>
      <c r="Y24" s="606" t="e">
        <f>'CANARD AERO'!#REF!</f>
        <v>#REF!</v>
      </c>
      <c r="Z24" s="606" t="e">
        <f>'CANARD AERO'!#REF!</f>
        <v>#REF!</v>
      </c>
      <c r="AA24" s="606" t="e">
        <f>'CANARD AERO'!#REF!</f>
        <v>#REF!</v>
      </c>
      <c r="AB24" s="606" t="e">
        <f>'CANARD AERO'!#REF!</f>
        <v>#REF!</v>
      </c>
      <c r="AC24" s="606" t="e">
        <f>'CANARD AERO'!#REF!</f>
        <v>#REF!</v>
      </c>
      <c r="AD24" s="606" t="e">
        <f>'CANARD AERO'!#REF!</f>
        <v>#REF!</v>
      </c>
      <c r="AE24" s="605" t="e">
        <f>('CANARD AERO'!#REF!)*3.28084</f>
        <v>#REF!</v>
      </c>
      <c r="AF24" s="584" t="e">
        <f>'CANARD AERO'!#REF!</f>
        <v>#REF!</v>
      </c>
      <c r="AG24" s="606" t="e">
        <f>('CANARD AERO'!#REF!)*3.28084</f>
        <v>#REF!</v>
      </c>
      <c r="AH24" s="606" t="e">
        <f>('CANARD AERO'!#REF!)*3.28084</f>
        <v>#REF!</v>
      </c>
      <c r="AI24" s="606" t="e">
        <f>('CANARD AERO'!#REF!)*3.28084</f>
        <v>#REF!</v>
      </c>
      <c r="AJ24" s="584" t="e">
        <f>'CANARD AERO'!#REF!</f>
        <v>#REF!</v>
      </c>
      <c r="AK24" s="584" t="e">
        <f>'CANARD AERO'!#REF!</f>
        <v>#REF!</v>
      </c>
      <c r="AL24" s="584" t="e">
        <f>'CANARD AERO'!#REF!</f>
        <v>#REF!</v>
      </c>
      <c r="AM24" s="584" t="e">
        <f>'CANARD AERO'!#REF!</f>
        <v>#REF!</v>
      </c>
      <c r="AN24" s="584" t="e">
        <f>'CANARD AERO'!#REF!</f>
        <v>#REF!</v>
      </c>
      <c r="AO24" s="584" t="e">
        <f>'CANARD AERO'!#REF!</f>
        <v>#REF!</v>
      </c>
      <c r="AP24" s="584" t="e">
        <f>'CANARD AERO'!#REF!</f>
        <v>#REF!</v>
      </c>
      <c r="AQ24" s="585" t="e">
        <f>'CANARD AERO'!#REF!</f>
        <v>#REF!</v>
      </c>
      <c r="AR24" s="606" t="e">
        <f>('CANARD AERO'!#REF!)*3.28084</f>
        <v>#REF!</v>
      </c>
      <c r="AS24" s="584" t="e">
        <f>'CANARD AERO'!#REF!</f>
        <v>#REF!</v>
      </c>
      <c r="AT24" s="606" t="e">
        <f>('CANARD AERO'!#REF!)*3.28084</f>
        <v>#REF!</v>
      </c>
      <c r="AU24" s="606" t="e">
        <f>('CANARD AERO'!#REF!)*3.28084</f>
        <v>#REF!</v>
      </c>
      <c r="AV24" s="606" t="e">
        <f>('CANARD AERO'!#REF!)*3.28084</f>
        <v>#REF!</v>
      </c>
      <c r="AW24" s="584" t="e">
        <f>'CANARD AERO'!#REF!</f>
        <v>#REF!</v>
      </c>
      <c r="AX24" s="584" t="e">
        <f>'CANARD AERO'!#REF!</f>
        <v>#REF!</v>
      </c>
      <c r="AY24" s="584" t="e">
        <f>'CANARD AERO'!#REF!</f>
        <v>#REF!</v>
      </c>
      <c r="AZ24" s="584" t="e">
        <f>'CANARD AERO'!#REF!</f>
        <v>#REF!</v>
      </c>
      <c r="BA24" s="584" t="e">
        <f>'CANARD AERO'!#REF!</f>
        <v>#REF!</v>
      </c>
      <c r="BB24" s="584" t="e">
        <f>'CANARD AERO'!#REF!</f>
        <v>#REF!</v>
      </c>
      <c r="BC24" s="584" t="e">
        <f>'CANARD AERO'!#REF!</f>
        <v>#REF!</v>
      </c>
      <c r="BD24" s="585" t="e">
        <f>'CANARD AERO'!#REF!</f>
        <v>#REF!</v>
      </c>
    </row>
    <row r="25" spans="1:56" x14ac:dyDescent="0.25">
      <c r="A25" s="606">
        <f>'CANARD AERO'!A25*3.28084</f>
        <v>10.961182109288</v>
      </c>
      <c r="B25" s="606">
        <f>'CANARD AERO'!G25*3.28084</f>
        <v>11.439364539288</v>
      </c>
      <c r="C25" s="606">
        <f>'CANARD AERO'!E25*3.28084</f>
        <v>12.873911829288</v>
      </c>
      <c r="D25" s="606">
        <f>'CANARD AERO'!B25*3.28084</f>
        <v>2.2145670000000002</v>
      </c>
      <c r="E25" s="606">
        <f>'CANARD AERO'!C25*3.28084</f>
        <v>12.793252377887999</v>
      </c>
      <c r="F25" s="606">
        <f>'CANARD AERO'!D25*3.28084</f>
        <v>1.91272972</v>
      </c>
      <c r="G25" s="606">
        <v>5</v>
      </c>
      <c r="H25" s="606">
        <f t="shared" ref="H25:H32" si="0">$A$22+G25</f>
        <v>10.9</v>
      </c>
      <c r="I25" s="606" t="s">
        <v>877</v>
      </c>
      <c r="J25" s="606">
        <f t="shared" ref="J25:J34" si="1">$R$7</f>
        <v>0</v>
      </c>
      <c r="K25" s="606">
        <f t="shared" ref="K25:K34" si="2">$R$3</f>
        <v>1.85</v>
      </c>
      <c r="L25" s="606">
        <f t="shared" ref="L25:L34" si="3">$R$4</f>
        <v>-1.55</v>
      </c>
      <c r="M25" s="606">
        <f t="shared" ref="M25:M34" si="4">$R$5</f>
        <v>5.4999999999999997E-3</v>
      </c>
      <c r="N25" s="607">
        <f t="shared" ref="N25:N34" si="5">$R$6</f>
        <v>5.4999999999999997E-3</v>
      </c>
      <c r="O25" s="606" t="e">
        <f>('CANARD AERO'!#REF!)*3.28084</f>
        <v>#REF!</v>
      </c>
      <c r="P25" s="606" t="e">
        <f>'CANARD AERO'!#REF!</f>
        <v>#REF!</v>
      </c>
      <c r="Q25" s="606" t="e">
        <f>('CANARD AERO'!#REF!)*3.28084</f>
        <v>#REF!</v>
      </c>
      <c r="R25" s="606" t="e">
        <f>('CANARD AERO'!#REF!)*3.28084</f>
        <v>#REF!</v>
      </c>
      <c r="S25" s="606" t="e">
        <f>('CANARD AERO'!#REF!)*3.28084</f>
        <v>#REF!</v>
      </c>
      <c r="T25" s="606" t="e">
        <f>('CANARD AERO'!#REF!)*3.28084</f>
        <v>#REF!</v>
      </c>
      <c r="U25" s="606" t="e">
        <f>'CANARD AERO'!#REF!</f>
        <v>#REF!</v>
      </c>
      <c r="V25" s="606" t="e">
        <f>'CANARD AERO'!#REF!</f>
        <v>#REF!</v>
      </c>
      <c r="W25" s="606" t="e">
        <f>'CANARD AERO'!#REF!</f>
        <v>#REF!</v>
      </c>
      <c r="X25" s="606" t="e">
        <f>'CANARD AERO'!#REF!</f>
        <v>#REF!</v>
      </c>
      <c r="Y25" s="606" t="e">
        <f>'CANARD AERO'!#REF!</f>
        <v>#REF!</v>
      </c>
      <c r="Z25" s="606" t="e">
        <f>'CANARD AERO'!#REF!</f>
        <v>#REF!</v>
      </c>
      <c r="AA25" s="606" t="e">
        <f>'CANARD AERO'!#REF!</f>
        <v>#REF!</v>
      </c>
      <c r="AB25" s="606" t="e">
        <f>'CANARD AERO'!#REF!</f>
        <v>#REF!</v>
      </c>
      <c r="AC25" s="606" t="e">
        <f>'CANARD AERO'!#REF!</f>
        <v>#REF!</v>
      </c>
      <c r="AD25" s="606" t="e">
        <f>'CANARD AERO'!#REF!</f>
        <v>#REF!</v>
      </c>
      <c r="AE25" s="605" t="e">
        <f>('CANARD AERO'!#REF!)*3.28084</f>
        <v>#REF!</v>
      </c>
      <c r="AF25" s="606" t="e">
        <f>'CANARD AERO'!#REF!</f>
        <v>#REF!</v>
      </c>
      <c r="AG25" s="606" t="e">
        <f>('CANARD AERO'!#REF!)*3.28084</f>
        <v>#REF!</v>
      </c>
      <c r="AH25" s="606" t="e">
        <f>('CANARD AERO'!#REF!)*3.28084</f>
        <v>#REF!</v>
      </c>
      <c r="AI25" s="606" t="e">
        <f>('CANARD AERO'!#REF!)*3.28084</f>
        <v>#REF!</v>
      </c>
      <c r="AJ25" s="606" t="e">
        <f>'CANARD AERO'!#REF!</f>
        <v>#REF!</v>
      </c>
      <c r="AK25" s="606" t="e">
        <f>'CANARD AERO'!#REF!</f>
        <v>#REF!</v>
      </c>
      <c r="AL25" s="606" t="e">
        <f>'CANARD AERO'!#REF!</f>
        <v>#REF!</v>
      </c>
      <c r="AM25" s="606" t="e">
        <f>'CANARD AERO'!#REF!</f>
        <v>#REF!</v>
      </c>
      <c r="AN25" s="606" t="e">
        <f>'CANARD AERO'!#REF!</f>
        <v>#REF!</v>
      </c>
      <c r="AO25" s="606" t="e">
        <f>'CANARD AERO'!#REF!</f>
        <v>#REF!</v>
      </c>
      <c r="AP25" s="606" t="e">
        <f>'CANARD AERO'!#REF!</f>
        <v>#REF!</v>
      </c>
      <c r="AQ25" s="607" t="e">
        <f>'CANARD AERO'!#REF!</f>
        <v>#REF!</v>
      </c>
      <c r="AR25" s="606" t="e">
        <f>('CANARD AERO'!#REF!)*3.28084</f>
        <v>#REF!</v>
      </c>
      <c r="AS25" s="606" t="e">
        <f>'CANARD AERO'!#REF!</f>
        <v>#REF!</v>
      </c>
      <c r="AT25" s="606" t="e">
        <f>('CANARD AERO'!#REF!)*3.28084</f>
        <v>#REF!</v>
      </c>
      <c r="AU25" s="606" t="e">
        <f>('CANARD AERO'!#REF!)*3.28084</f>
        <v>#REF!</v>
      </c>
      <c r="AV25" s="606" t="e">
        <f>('CANARD AERO'!#REF!)*3.28084</f>
        <v>#REF!</v>
      </c>
      <c r="AW25" s="606" t="e">
        <f>'CANARD AERO'!#REF!</f>
        <v>#REF!</v>
      </c>
      <c r="AX25" s="606" t="e">
        <f>'CANARD AERO'!#REF!</f>
        <v>#REF!</v>
      </c>
      <c r="AY25" s="606" t="e">
        <f>'CANARD AERO'!#REF!</f>
        <v>#REF!</v>
      </c>
      <c r="AZ25" s="606" t="e">
        <f>'CANARD AERO'!#REF!</f>
        <v>#REF!</v>
      </c>
      <c r="BA25" s="606" t="e">
        <f>'CANARD AERO'!#REF!</f>
        <v>#REF!</v>
      </c>
      <c r="BB25" s="606" t="e">
        <f>'CANARD AERO'!#REF!</f>
        <v>#REF!</v>
      </c>
      <c r="BC25" s="606" t="e">
        <f>'CANARD AERO'!#REF!</f>
        <v>#REF!</v>
      </c>
      <c r="BD25" s="607" t="e">
        <f>'CANARD AERO'!#REF!</f>
        <v>#REF!</v>
      </c>
    </row>
    <row r="26" spans="1:56" x14ac:dyDescent="0.25">
      <c r="A26" s="606">
        <f>'CANARD AERO'!A26*3.28084</f>
        <v>11.522497415963999</v>
      </c>
      <c r="B26" s="606">
        <f>'CANARD AERO'!G26*3.28084</f>
        <v>11.944085355963999</v>
      </c>
      <c r="C26" s="606">
        <f>'CANARD AERO'!E26*3.28084</f>
        <v>13.208849175964</v>
      </c>
      <c r="D26" s="606">
        <f>'CANARD AERO'!B26*3.28084</f>
        <v>4.4619423999999999</v>
      </c>
      <c r="E26" s="606">
        <f>'CANARD AERO'!C26*3.28084</f>
        <v>12.735246142436001</v>
      </c>
      <c r="F26" s="606">
        <f>'CANARD AERO'!D26*3.28084</f>
        <v>1.68635176</v>
      </c>
      <c r="G26" s="606">
        <v>4</v>
      </c>
      <c r="H26" s="606">
        <f t="shared" si="0"/>
        <v>9.9</v>
      </c>
      <c r="I26" s="606" t="s">
        <v>877</v>
      </c>
      <c r="J26" s="606">
        <f t="shared" si="1"/>
        <v>0</v>
      </c>
      <c r="K26" s="606">
        <f t="shared" si="2"/>
        <v>1.85</v>
      </c>
      <c r="L26" s="606">
        <f t="shared" si="3"/>
        <v>-1.55</v>
      </c>
      <c r="M26" s="606">
        <f t="shared" si="4"/>
        <v>5.4999999999999997E-3</v>
      </c>
      <c r="N26" s="607">
        <f t="shared" si="5"/>
        <v>5.4999999999999997E-3</v>
      </c>
      <c r="O26" s="606" t="e">
        <f>('CANARD AERO'!#REF!)*3.28084</f>
        <v>#REF!</v>
      </c>
      <c r="P26" s="606" t="e">
        <f>'CANARD AERO'!#REF!</f>
        <v>#REF!</v>
      </c>
      <c r="Q26" s="606" t="e">
        <f>('CANARD AERO'!#REF!)*3.28084</f>
        <v>#REF!</v>
      </c>
      <c r="R26" s="606" t="e">
        <f>('CANARD AERO'!#REF!)*3.28084</f>
        <v>#REF!</v>
      </c>
      <c r="S26" s="606" t="e">
        <f>('CANARD AERO'!#REF!)*3.28084</f>
        <v>#REF!</v>
      </c>
      <c r="T26" s="606" t="e">
        <f>('CANARD AERO'!#REF!)*3.28084</f>
        <v>#REF!</v>
      </c>
      <c r="U26" s="606" t="e">
        <f>'CANARD AERO'!#REF!</f>
        <v>#REF!</v>
      </c>
      <c r="V26" s="606" t="e">
        <f>'CANARD AERO'!#REF!</f>
        <v>#REF!</v>
      </c>
      <c r="W26" s="606" t="e">
        <f>'CANARD AERO'!#REF!</f>
        <v>#REF!</v>
      </c>
      <c r="X26" s="606" t="e">
        <f>'CANARD AERO'!#REF!</f>
        <v>#REF!</v>
      </c>
      <c r="Y26" s="606" t="e">
        <f>'CANARD AERO'!#REF!</f>
        <v>#REF!</v>
      </c>
      <c r="Z26" s="606" t="e">
        <f>'CANARD AERO'!#REF!</f>
        <v>#REF!</v>
      </c>
      <c r="AA26" s="606" t="e">
        <f>'CANARD AERO'!#REF!</f>
        <v>#REF!</v>
      </c>
      <c r="AB26" s="606" t="e">
        <f>'CANARD AERO'!#REF!</f>
        <v>#REF!</v>
      </c>
      <c r="AC26" s="606" t="e">
        <f>'CANARD AERO'!#REF!</f>
        <v>#REF!</v>
      </c>
      <c r="AD26" s="606" t="e">
        <f>'CANARD AERO'!#REF!</f>
        <v>#REF!</v>
      </c>
      <c r="AE26" s="605" t="e">
        <f>('CANARD AERO'!#REF!)*3.28084</f>
        <v>#REF!</v>
      </c>
      <c r="AF26" s="606" t="e">
        <f>'CANARD AERO'!#REF!</f>
        <v>#REF!</v>
      </c>
      <c r="AG26" s="606" t="e">
        <f>('CANARD AERO'!#REF!)*3.28084</f>
        <v>#REF!</v>
      </c>
      <c r="AH26" s="606" t="e">
        <f>('CANARD AERO'!#REF!)*3.28084</f>
        <v>#REF!</v>
      </c>
      <c r="AI26" s="606" t="e">
        <f>('CANARD AERO'!#REF!)*3.28084</f>
        <v>#REF!</v>
      </c>
      <c r="AJ26" s="606" t="e">
        <f>'CANARD AERO'!#REF!</f>
        <v>#REF!</v>
      </c>
      <c r="AK26" s="606" t="e">
        <f>'CANARD AERO'!#REF!</f>
        <v>#REF!</v>
      </c>
      <c r="AL26" s="606" t="e">
        <f>'CANARD AERO'!#REF!</f>
        <v>#REF!</v>
      </c>
      <c r="AM26" s="606" t="e">
        <f>'CANARD AERO'!#REF!</f>
        <v>#REF!</v>
      </c>
      <c r="AN26" s="606" t="e">
        <f>'CANARD AERO'!#REF!</f>
        <v>#REF!</v>
      </c>
      <c r="AO26" s="606" t="e">
        <f>'CANARD AERO'!#REF!</f>
        <v>#REF!</v>
      </c>
      <c r="AP26" s="606" t="e">
        <f>'CANARD AERO'!#REF!</f>
        <v>#REF!</v>
      </c>
      <c r="AQ26" s="607" t="e">
        <f>'CANARD AERO'!#REF!</f>
        <v>#REF!</v>
      </c>
      <c r="AR26" s="606" t="e">
        <f>('CANARD AERO'!#REF!)*3.28084</f>
        <v>#REF!</v>
      </c>
      <c r="AS26" s="606" t="e">
        <f>'CANARD AERO'!#REF!</f>
        <v>#REF!</v>
      </c>
      <c r="AT26" s="606" t="e">
        <f>('CANARD AERO'!#REF!)*3.28084</f>
        <v>#REF!</v>
      </c>
      <c r="AU26" s="606" t="e">
        <f>('CANARD AERO'!#REF!)*3.28084</f>
        <v>#REF!</v>
      </c>
      <c r="AV26" s="606" t="e">
        <f>('CANARD AERO'!#REF!)*3.28084</f>
        <v>#REF!</v>
      </c>
      <c r="AW26" s="606" t="e">
        <f>'CANARD AERO'!#REF!</f>
        <v>#REF!</v>
      </c>
      <c r="AX26" s="606" t="e">
        <f>'CANARD AERO'!#REF!</f>
        <v>#REF!</v>
      </c>
      <c r="AY26" s="606" t="e">
        <f>'CANARD AERO'!#REF!</f>
        <v>#REF!</v>
      </c>
      <c r="AZ26" s="606" t="e">
        <f>'CANARD AERO'!#REF!</f>
        <v>#REF!</v>
      </c>
      <c r="BA26" s="606" t="e">
        <f>'CANARD AERO'!#REF!</f>
        <v>#REF!</v>
      </c>
      <c r="BB26" s="606" t="e">
        <f>'CANARD AERO'!#REF!</f>
        <v>#REF!</v>
      </c>
      <c r="BC26" s="606" t="e">
        <f>'CANARD AERO'!#REF!</f>
        <v>#REF!</v>
      </c>
      <c r="BD26" s="607" t="e">
        <f>'CANARD AERO'!#REF!</f>
        <v>#REF!</v>
      </c>
    </row>
    <row r="27" spans="1:56" x14ac:dyDescent="0.25">
      <c r="A27" s="606">
        <f>'CANARD AERO'!A27*3.28084</f>
        <v>11.682406869899999</v>
      </c>
      <c r="B27" s="606">
        <f>'CANARD AERO'!G27*3.28084</f>
        <v>12.087590609899999</v>
      </c>
      <c r="C27" s="606">
        <f>'CANARD AERO'!E27*3.28084</f>
        <v>13.303141829900001</v>
      </c>
      <c r="D27" s="606">
        <f>'CANARD AERO'!B27*3.28084</f>
        <v>5.1181103999999999</v>
      </c>
      <c r="E27" s="606">
        <f>'CANARD AERO'!C27*3.28084</f>
        <v>12.718721207524</v>
      </c>
      <c r="F27" s="606">
        <f>'CANARD AERO'!D27*3.28084</f>
        <v>1.6207349600000001</v>
      </c>
      <c r="G27" s="606">
        <v>3</v>
      </c>
      <c r="H27" s="606">
        <f t="shared" si="0"/>
        <v>8.9</v>
      </c>
      <c r="I27" s="606" t="s">
        <v>877</v>
      </c>
      <c r="J27" s="606">
        <f t="shared" si="1"/>
        <v>0</v>
      </c>
      <c r="K27" s="606">
        <f t="shared" si="2"/>
        <v>1.85</v>
      </c>
      <c r="L27" s="606">
        <f t="shared" si="3"/>
        <v>-1.55</v>
      </c>
      <c r="M27" s="606">
        <f t="shared" si="4"/>
        <v>5.4999999999999997E-3</v>
      </c>
      <c r="N27" s="607">
        <f t="shared" si="5"/>
        <v>5.4999999999999997E-3</v>
      </c>
      <c r="O27" s="606" t="e">
        <f>('CANARD AERO'!#REF!)*3.28084</f>
        <v>#REF!</v>
      </c>
      <c r="P27" s="606" t="e">
        <f>'CANARD AERO'!#REF!</f>
        <v>#REF!</v>
      </c>
      <c r="Q27" s="606" t="e">
        <f>('CANARD AERO'!#REF!)*3.28084</f>
        <v>#REF!</v>
      </c>
      <c r="R27" s="606" t="e">
        <f>('CANARD AERO'!#REF!)*3.28084</f>
        <v>#REF!</v>
      </c>
      <c r="S27" s="606" t="e">
        <f>('CANARD AERO'!#REF!)*3.28084</f>
        <v>#REF!</v>
      </c>
      <c r="T27" s="606" t="e">
        <f>('CANARD AERO'!#REF!)*3.28084</f>
        <v>#REF!</v>
      </c>
      <c r="U27" s="606" t="e">
        <f>'CANARD AERO'!#REF!</f>
        <v>#REF!</v>
      </c>
      <c r="V27" s="606" t="e">
        <f>'CANARD AERO'!#REF!</f>
        <v>#REF!</v>
      </c>
      <c r="W27" s="606" t="e">
        <f>'CANARD AERO'!#REF!</f>
        <v>#REF!</v>
      </c>
      <c r="X27" s="606" t="e">
        <f>'CANARD AERO'!#REF!</f>
        <v>#REF!</v>
      </c>
      <c r="Y27" s="606" t="e">
        <f>'CANARD AERO'!#REF!</f>
        <v>#REF!</v>
      </c>
      <c r="Z27" s="606" t="e">
        <f>'CANARD AERO'!#REF!</f>
        <v>#REF!</v>
      </c>
      <c r="AA27" s="606" t="e">
        <f>'CANARD AERO'!#REF!</f>
        <v>#REF!</v>
      </c>
      <c r="AB27" s="606" t="e">
        <f>'CANARD AERO'!#REF!</f>
        <v>#REF!</v>
      </c>
      <c r="AC27" s="606" t="e">
        <f>'CANARD AERO'!#REF!</f>
        <v>#REF!</v>
      </c>
      <c r="AD27" s="606" t="e">
        <f>'CANARD AERO'!#REF!</f>
        <v>#REF!</v>
      </c>
      <c r="AE27" s="605" t="e">
        <f>('CANARD AERO'!#REF!)*3.28084</f>
        <v>#REF!</v>
      </c>
      <c r="AF27" s="606" t="e">
        <f>'CANARD AERO'!#REF!</f>
        <v>#REF!</v>
      </c>
      <c r="AG27" s="606" t="e">
        <f>('CANARD AERO'!#REF!)*3.28084</f>
        <v>#REF!</v>
      </c>
      <c r="AH27" s="606" t="e">
        <f>('CANARD AERO'!#REF!)*3.28084</f>
        <v>#REF!</v>
      </c>
      <c r="AI27" s="606" t="e">
        <f>('CANARD AERO'!#REF!)*3.28084</f>
        <v>#REF!</v>
      </c>
      <c r="AJ27" s="606" t="e">
        <f>'CANARD AERO'!#REF!</f>
        <v>#REF!</v>
      </c>
      <c r="AK27" s="606" t="e">
        <f>'CANARD AERO'!#REF!</f>
        <v>#REF!</v>
      </c>
      <c r="AL27" s="606" t="e">
        <f>'CANARD AERO'!#REF!</f>
        <v>#REF!</v>
      </c>
      <c r="AM27" s="606" t="e">
        <f>'CANARD AERO'!#REF!</f>
        <v>#REF!</v>
      </c>
      <c r="AN27" s="606" t="e">
        <f>'CANARD AERO'!#REF!</f>
        <v>#REF!</v>
      </c>
      <c r="AO27" s="606" t="e">
        <f>'CANARD AERO'!#REF!</f>
        <v>#REF!</v>
      </c>
      <c r="AP27" s="606" t="e">
        <f>'CANARD AERO'!#REF!</f>
        <v>#REF!</v>
      </c>
      <c r="AQ27" s="607" t="e">
        <f>'CANARD AERO'!#REF!</f>
        <v>#REF!</v>
      </c>
      <c r="AR27" s="606" t="e">
        <f>('CANARD AERO'!#REF!)*3.28084</f>
        <v>#REF!</v>
      </c>
      <c r="AS27" s="606" t="e">
        <f>'CANARD AERO'!#REF!</f>
        <v>#REF!</v>
      </c>
      <c r="AT27" s="606" t="e">
        <f>('CANARD AERO'!#REF!)*3.28084</f>
        <v>#REF!</v>
      </c>
      <c r="AU27" s="606" t="e">
        <f>('CANARD AERO'!#REF!)*3.28084</f>
        <v>#REF!</v>
      </c>
      <c r="AV27" s="606" t="e">
        <f>('CANARD AERO'!#REF!)*3.28084</f>
        <v>#REF!</v>
      </c>
      <c r="AW27" s="606" t="e">
        <f>'CANARD AERO'!#REF!</f>
        <v>#REF!</v>
      </c>
      <c r="AX27" s="606" t="e">
        <f>'CANARD AERO'!#REF!</f>
        <v>#REF!</v>
      </c>
      <c r="AY27" s="606" t="e">
        <f>'CANARD AERO'!#REF!</f>
        <v>#REF!</v>
      </c>
      <c r="AZ27" s="606" t="e">
        <f>'CANARD AERO'!#REF!</f>
        <v>#REF!</v>
      </c>
      <c r="BA27" s="606" t="e">
        <f>'CANARD AERO'!#REF!</f>
        <v>#REF!</v>
      </c>
      <c r="BB27" s="606" t="e">
        <f>'CANARD AERO'!#REF!</f>
        <v>#REF!</v>
      </c>
      <c r="BC27" s="606" t="e">
        <f>'CANARD AERO'!#REF!</f>
        <v>#REF!</v>
      </c>
      <c r="BD27" s="607" t="e">
        <f>'CANARD AERO'!#REF!</f>
        <v>#REF!</v>
      </c>
    </row>
    <row r="28" spans="1:56" x14ac:dyDescent="0.25">
      <c r="A28" s="606">
        <f>'CANARD AERO'!A28*3.28084</f>
        <v>11.845580103467999</v>
      </c>
      <c r="B28" s="606">
        <f>'CANARD AERO'!G28*3.28084</f>
        <v>12.234359643468</v>
      </c>
      <c r="C28" s="606">
        <f>'CANARD AERO'!E28*3.28084</f>
        <v>13.400698263467998</v>
      </c>
      <c r="D28" s="606">
        <f>'CANARD AERO'!B28*3.28084</f>
        <v>5.7742784</v>
      </c>
      <c r="E28" s="606">
        <f>'CANARD AERO'!C28*3.28084</f>
        <v>12.701859002259999</v>
      </c>
      <c r="F28" s="606">
        <f>'CANARD AERO'!D28*3.28084</f>
        <v>1.5551181599999999</v>
      </c>
      <c r="G28" s="606">
        <v>3</v>
      </c>
      <c r="H28" s="606">
        <f t="shared" si="0"/>
        <v>8.9</v>
      </c>
      <c r="I28" s="606" t="s">
        <v>877</v>
      </c>
      <c r="J28" s="606">
        <f t="shared" si="1"/>
        <v>0</v>
      </c>
      <c r="K28" s="606">
        <f t="shared" si="2"/>
        <v>1.85</v>
      </c>
      <c r="L28" s="606">
        <f t="shared" si="3"/>
        <v>-1.55</v>
      </c>
      <c r="M28" s="606">
        <f t="shared" si="4"/>
        <v>5.4999999999999997E-3</v>
      </c>
      <c r="N28" s="607">
        <f t="shared" si="5"/>
        <v>5.4999999999999997E-3</v>
      </c>
      <c r="O28" s="606" t="e">
        <f>('CANARD AERO'!#REF!)*3.28084</f>
        <v>#REF!</v>
      </c>
      <c r="P28" s="606" t="e">
        <f>'CANARD AERO'!#REF!</f>
        <v>#REF!</v>
      </c>
      <c r="Q28" s="606" t="e">
        <f>('CANARD AERO'!#REF!)*3.28084</f>
        <v>#REF!</v>
      </c>
      <c r="R28" s="606" t="e">
        <f>('CANARD AERO'!#REF!)*3.28084</f>
        <v>#REF!</v>
      </c>
      <c r="S28" s="606" t="e">
        <f>('CANARD AERO'!#REF!)*3.28084</f>
        <v>#REF!</v>
      </c>
      <c r="T28" s="606" t="e">
        <f>('CANARD AERO'!#REF!)*3.28084</f>
        <v>#REF!</v>
      </c>
      <c r="U28" s="606" t="e">
        <f>'CANARD AERO'!#REF!</f>
        <v>#REF!</v>
      </c>
      <c r="V28" s="606" t="e">
        <f>'CANARD AERO'!#REF!</f>
        <v>#REF!</v>
      </c>
      <c r="W28" s="606" t="e">
        <f>'CANARD AERO'!#REF!</f>
        <v>#REF!</v>
      </c>
      <c r="X28" s="606" t="e">
        <f>'CANARD AERO'!#REF!</f>
        <v>#REF!</v>
      </c>
      <c r="Y28" s="606" t="e">
        <f>'CANARD AERO'!#REF!</f>
        <v>#REF!</v>
      </c>
      <c r="Z28" s="606" t="e">
        <f>'CANARD AERO'!#REF!</f>
        <v>#REF!</v>
      </c>
      <c r="AA28" s="606" t="e">
        <f>'CANARD AERO'!#REF!</f>
        <v>#REF!</v>
      </c>
      <c r="AB28" s="606" t="e">
        <f>'CANARD AERO'!#REF!</f>
        <v>#REF!</v>
      </c>
      <c r="AC28" s="606" t="e">
        <f>'CANARD AERO'!#REF!</f>
        <v>#REF!</v>
      </c>
      <c r="AD28" s="606" t="e">
        <f>'CANARD AERO'!#REF!</f>
        <v>#REF!</v>
      </c>
      <c r="AE28" s="605" t="e">
        <f>('CANARD AERO'!#REF!)*3.28084</f>
        <v>#REF!</v>
      </c>
      <c r="AF28" s="606" t="e">
        <f>'CANARD AERO'!#REF!</f>
        <v>#REF!</v>
      </c>
      <c r="AG28" s="606" t="e">
        <f>('CANARD AERO'!#REF!)*3.28084</f>
        <v>#REF!</v>
      </c>
      <c r="AH28" s="606" t="e">
        <f>('CANARD AERO'!#REF!)*3.28084</f>
        <v>#REF!</v>
      </c>
      <c r="AI28" s="606" t="e">
        <f>('CANARD AERO'!#REF!)*3.28084</f>
        <v>#REF!</v>
      </c>
      <c r="AJ28" s="606" t="e">
        <f>'CANARD AERO'!#REF!</f>
        <v>#REF!</v>
      </c>
      <c r="AK28" s="606" t="e">
        <f>'CANARD AERO'!#REF!</f>
        <v>#REF!</v>
      </c>
      <c r="AL28" s="606" t="e">
        <f>'CANARD AERO'!#REF!</f>
        <v>#REF!</v>
      </c>
      <c r="AM28" s="606" t="e">
        <f>'CANARD AERO'!#REF!</f>
        <v>#REF!</v>
      </c>
      <c r="AN28" s="606" t="e">
        <f>'CANARD AERO'!#REF!</f>
        <v>#REF!</v>
      </c>
      <c r="AO28" s="606" t="e">
        <f>'CANARD AERO'!#REF!</f>
        <v>#REF!</v>
      </c>
      <c r="AP28" s="606" t="e">
        <f>'CANARD AERO'!#REF!</f>
        <v>#REF!</v>
      </c>
      <c r="AQ28" s="607" t="e">
        <f>'CANARD AERO'!#REF!</f>
        <v>#REF!</v>
      </c>
      <c r="AR28" s="606" t="e">
        <f>('CANARD AERO'!#REF!)*3.28084</f>
        <v>#REF!</v>
      </c>
      <c r="AS28" s="606" t="e">
        <f>'CANARD AERO'!#REF!</f>
        <v>#REF!</v>
      </c>
      <c r="AT28" s="606" t="e">
        <f>('CANARD AERO'!#REF!)*3.28084</f>
        <v>#REF!</v>
      </c>
      <c r="AU28" s="606" t="e">
        <f>('CANARD AERO'!#REF!)*3.28084</f>
        <v>#REF!</v>
      </c>
      <c r="AV28" s="606" t="e">
        <f>('CANARD AERO'!#REF!)*3.28084</f>
        <v>#REF!</v>
      </c>
      <c r="AW28" s="606" t="e">
        <f>'CANARD AERO'!#REF!</f>
        <v>#REF!</v>
      </c>
      <c r="AX28" s="606" t="e">
        <f>'CANARD AERO'!#REF!</f>
        <v>#REF!</v>
      </c>
      <c r="AY28" s="606" t="e">
        <f>'CANARD AERO'!#REF!</f>
        <v>#REF!</v>
      </c>
      <c r="AZ28" s="606" t="e">
        <f>'CANARD AERO'!#REF!</f>
        <v>#REF!</v>
      </c>
      <c r="BA28" s="606" t="e">
        <f>'CANARD AERO'!#REF!</f>
        <v>#REF!</v>
      </c>
      <c r="BB28" s="606" t="e">
        <f>'CANARD AERO'!#REF!</f>
        <v>#REF!</v>
      </c>
      <c r="BC28" s="606" t="e">
        <f>'CANARD AERO'!#REF!</f>
        <v>#REF!</v>
      </c>
      <c r="BD28" s="607" t="e">
        <f>'CANARD AERO'!#REF!</f>
        <v>#REF!</v>
      </c>
    </row>
    <row r="29" spans="1:56" x14ac:dyDescent="0.25">
      <c r="A29" s="606">
        <f>'CANARD AERO'!A29*3.28084</f>
        <v>12.351416405744001</v>
      </c>
      <c r="B29" s="606">
        <f>'CANARD AERO'!G29*3.28084</f>
        <v>12.689342925743999</v>
      </c>
      <c r="C29" s="606">
        <f>'CANARD AERO'!E29*3.28084</f>
        <v>13.703122485744</v>
      </c>
      <c r="D29" s="606">
        <f>'CANARD AERO'!B29*3.28084</f>
        <v>7.8083991999999993</v>
      </c>
      <c r="E29" s="606">
        <f>'CANARD AERO'!C29*3.28084</f>
        <v>12.649585706624</v>
      </c>
      <c r="F29" s="606">
        <f>'CANARD AERO'!D29*3.28084</f>
        <v>1.3517060799999998</v>
      </c>
      <c r="G29" s="606">
        <v>3</v>
      </c>
      <c r="H29" s="606">
        <f t="shared" si="0"/>
        <v>8.9</v>
      </c>
      <c r="I29" s="606" t="s">
        <v>877</v>
      </c>
      <c r="J29" s="606">
        <f t="shared" si="1"/>
        <v>0</v>
      </c>
      <c r="K29" s="606">
        <f t="shared" si="2"/>
        <v>1.85</v>
      </c>
      <c r="L29" s="606">
        <f t="shared" si="3"/>
        <v>-1.55</v>
      </c>
      <c r="M29" s="606">
        <f t="shared" si="4"/>
        <v>5.4999999999999997E-3</v>
      </c>
      <c r="N29" s="607">
        <f t="shared" si="5"/>
        <v>5.4999999999999997E-3</v>
      </c>
      <c r="O29" s="606" t="e">
        <f>('CANARD AERO'!#REF!)*3.28084</f>
        <v>#REF!</v>
      </c>
      <c r="P29" s="606" t="e">
        <f>'CANARD AERO'!#REF!</f>
        <v>#REF!</v>
      </c>
      <c r="Q29" s="606" t="e">
        <f>('CANARD AERO'!#REF!)*3.28084</f>
        <v>#REF!</v>
      </c>
      <c r="R29" s="606" t="e">
        <f>('CANARD AERO'!#REF!)*3.28084</f>
        <v>#REF!</v>
      </c>
      <c r="S29" s="606" t="e">
        <f>('CANARD AERO'!#REF!)*3.28084</f>
        <v>#REF!</v>
      </c>
      <c r="T29" s="606" t="e">
        <f>('CANARD AERO'!#REF!)*3.28084</f>
        <v>#REF!</v>
      </c>
      <c r="U29" s="606" t="e">
        <f>'CANARD AERO'!#REF!</f>
        <v>#REF!</v>
      </c>
      <c r="V29" s="606" t="e">
        <f>'CANARD AERO'!#REF!</f>
        <v>#REF!</v>
      </c>
      <c r="W29" s="606" t="e">
        <f>'CANARD AERO'!#REF!</f>
        <v>#REF!</v>
      </c>
      <c r="X29" s="606" t="e">
        <f>'CANARD AERO'!#REF!</f>
        <v>#REF!</v>
      </c>
      <c r="Y29" s="606" t="e">
        <f>'CANARD AERO'!#REF!</f>
        <v>#REF!</v>
      </c>
      <c r="Z29" s="606" t="e">
        <f>'CANARD AERO'!#REF!</f>
        <v>#REF!</v>
      </c>
      <c r="AA29" s="606" t="e">
        <f>'CANARD AERO'!#REF!</f>
        <v>#REF!</v>
      </c>
      <c r="AB29" s="606" t="e">
        <f>'CANARD AERO'!#REF!</f>
        <v>#REF!</v>
      </c>
      <c r="AC29" s="606" t="e">
        <f>'CANARD AERO'!#REF!</f>
        <v>#REF!</v>
      </c>
      <c r="AD29" s="606" t="e">
        <f>'CANARD AERO'!#REF!</f>
        <v>#REF!</v>
      </c>
      <c r="AE29" s="605" t="e">
        <f>('CANARD AERO'!#REF!)*3.28084</f>
        <v>#REF!</v>
      </c>
      <c r="AF29" s="606" t="e">
        <f>'CANARD AERO'!#REF!</f>
        <v>#REF!</v>
      </c>
      <c r="AG29" s="606" t="e">
        <f>('CANARD AERO'!#REF!)*3.28084</f>
        <v>#REF!</v>
      </c>
      <c r="AH29" s="606" t="e">
        <f>('CANARD AERO'!#REF!)*3.28084</f>
        <v>#REF!</v>
      </c>
      <c r="AI29" s="606" t="e">
        <f>('CANARD AERO'!#REF!)*3.28084</f>
        <v>#REF!</v>
      </c>
      <c r="AJ29" s="606" t="e">
        <f>'CANARD AERO'!#REF!</f>
        <v>#REF!</v>
      </c>
      <c r="AK29" s="606" t="e">
        <f>'CANARD AERO'!#REF!</f>
        <v>#REF!</v>
      </c>
      <c r="AL29" s="606" t="e">
        <f>'CANARD AERO'!#REF!</f>
        <v>#REF!</v>
      </c>
      <c r="AM29" s="606" t="e">
        <f>'CANARD AERO'!#REF!</f>
        <v>#REF!</v>
      </c>
      <c r="AN29" s="606" t="e">
        <f>'CANARD AERO'!#REF!</f>
        <v>#REF!</v>
      </c>
      <c r="AO29" s="606" t="e">
        <f>'CANARD AERO'!#REF!</f>
        <v>#REF!</v>
      </c>
      <c r="AP29" s="606" t="e">
        <f>'CANARD AERO'!#REF!</f>
        <v>#REF!</v>
      </c>
      <c r="AQ29" s="607" t="e">
        <f>'CANARD AERO'!#REF!</f>
        <v>#REF!</v>
      </c>
      <c r="AR29" s="606" t="e">
        <f>('CANARD AERO'!#REF!)*3.28084</f>
        <v>#REF!</v>
      </c>
      <c r="AS29" s="606" t="e">
        <f>'CANARD AERO'!#REF!</f>
        <v>#REF!</v>
      </c>
      <c r="AT29" s="606" t="e">
        <f>('CANARD AERO'!#REF!)*3.28084</f>
        <v>#REF!</v>
      </c>
      <c r="AU29" s="606" t="e">
        <f>('CANARD AERO'!#REF!)*3.28084</f>
        <v>#REF!</v>
      </c>
      <c r="AV29" s="606" t="e">
        <f>('CANARD AERO'!#REF!)*3.28084</f>
        <v>#REF!</v>
      </c>
      <c r="AW29" s="606" t="e">
        <f>'CANARD AERO'!#REF!</f>
        <v>#REF!</v>
      </c>
      <c r="AX29" s="606" t="e">
        <f>'CANARD AERO'!#REF!</f>
        <v>#REF!</v>
      </c>
      <c r="AY29" s="606" t="e">
        <f>'CANARD AERO'!#REF!</f>
        <v>#REF!</v>
      </c>
      <c r="AZ29" s="606" t="e">
        <f>'CANARD AERO'!#REF!</f>
        <v>#REF!</v>
      </c>
      <c r="BA29" s="606" t="e">
        <f>'CANARD AERO'!#REF!</f>
        <v>#REF!</v>
      </c>
      <c r="BB29" s="606" t="e">
        <f>'CANARD AERO'!#REF!</f>
        <v>#REF!</v>
      </c>
      <c r="BC29" s="606" t="e">
        <f>'CANARD AERO'!#REF!</f>
        <v>#REF!</v>
      </c>
      <c r="BD29" s="607" t="e">
        <f>'CANARD AERO'!#REF!</f>
        <v>#REF!</v>
      </c>
    </row>
    <row r="30" spans="1:56" x14ac:dyDescent="0.25">
      <c r="A30" s="606">
        <f>'CANARD AERO'!A30*3.28084</f>
        <v>12.857253036104</v>
      </c>
      <c r="B30" s="606">
        <f>'CANARD AERO'!G30*3.28084</f>
        <v>13.144326536104002</v>
      </c>
      <c r="C30" s="606">
        <f>'CANARD AERO'!E30*3.28084</f>
        <v>14.005547036104</v>
      </c>
      <c r="D30" s="606">
        <f>'CANARD AERO'!B30*3.28084</f>
        <v>9.8425200000000004</v>
      </c>
      <c r="E30" s="606">
        <f>'CANARD AERO'!C30*3.28084</f>
        <v>12.784147390719999</v>
      </c>
      <c r="F30" s="606">
        <f>'CANARD AERO'!D30*3.28084</f>
        <v>1.1482939999999999</v>
      </c>
      <c r="G30" s="606">
        <v>2.5</v>
      </c>
      <c r="H30" s="606">
        <f t="shared" si="0"/>
        <v>8.4</v>
      </c>
      <c r="I30" s="606" t="s">
        <v>877</v>
      </c>
      <c r="J30" s="606">
        <f t="shared" si="1"/>
        <v>0</v>
      </c>
      <c r="K30" s="606">
        <f t="shared" si="2"/>
        <v>1.85</v>
      </c>
      <c r="L30" s="606">
        <f t="shared" si="3"/>
        <v>-1.55</v>
      </c>
      <c r="M30" s="606">
        <f t="shared" si="4"/>
        <v>5.4999999999999997E-3</v>
      </c>
      <c r="N30" s="607">
        <f t="shared" si="5"/>
        <v>5.4999999999999997E-3</v>
      </c>
      <c r="O30" s="606" t="e">
        <f>('CANARD AERO'!#REF!)*3.28084</f>
        <v>#REF!</v>
      </c>
      <c r="P30" s="606" t="e">
        <f>'CANARD AERO'!#REF!</f>
        <v>#REF!</v>
      </c>
      <c r="Q30" s="606" t="e">
        <f>('CANARD AERO'!#REF!)*3.28084</f>
        <v>#REF!</v>
      </c>
      <c r="R30" s="606" t="e">
        <f>('CANARD AERO'!#REF!)*3.28084</f>
        <v>#REF!</v>
      </c>
      <c r="S30" s="606" t="e">
        <f>('CANARD AERO'!#REF!)*3.28084</f>
        <v>#REF!</v>
      </c>
      <c r="T30" s="606" t="e">
        <f>('CANARD AERO'!#REF!)*3.28084</f>
        <v>#REF!</v>
      </c>
      <c r="U30" s="606" t="e">
        <f>'CANARD AERO'!#REF!</f>
        <v>#REF!</v>
      </c>
      <c r="V30" s="606" t="e">
        <f>'CANARD AERO'!#REF!</f>
        <v>#REF!</v>
      </c>
      <c r="W30" s="606" t="e">
        <f>'CANARD AERO'!#REF!</f>
        <v>#REF!</v>
      </c>
      <c r="X30" s="606" t="e">
        <f>'CANARD AERO'!#REF!</f>
        <v>#REF!</v>
      </c>
      <c r="Y30" s="606" t="e">
        <f>'CANARD AERO'!#REF!</f>
        <v>#REF!</v>
      </c>
      <c r="Z30" s="606" t="e">
        <f>'CANARD AERO'!#REF!</f>
        <v>#REF!</v>
      </c>
      <c r="AA30" s="606" t="e">
        <f>'CANARD AERO'!#REF!</f>
        <v>#REF!</v>
      </c>
      <c r="AB30" s="606" t="e">
        <f>'CANARD AERO'!#REF!</f>
        <v>#REF!</v>
      </c>
      <c r="AC30" s="606" t="e">
        <f>'CANARD AERO'!#REF!</f>
        <v>#REF!</v>
      </c>
      <c r="AD30" s="606" t="e">
        <f>'CANARD AERO'!#REF!</f>
        <v>#REF!</v>
      </c>
      <c r="AE30" s="605" t="e">
        <f>('CANARD AERO'!#REF!)*3.28084</f>
        <v>#REF!</v>
      </c>
      <c r="AF30" s="606" t="e">
        <f>'CANARD AERO'!#REF!</f>
        <v>#REF!</v>
      </c>
      <c r="AG30" s="606" t="e">
        <f>('CANARD AERO'!#REF!)*3.28084</f>
        <v>#REF!</v>
      </c>
      <c r="AH30" s="606" t="e">
        <f>('CANARD AERO'!#REF!)*3.28084</f>
        <v>#REF!</v>
      </c>
      <c r="AI30" s="606" t="e">
        <f>('CANARD AERO'!#REF!)*3.28084</f>
        <v>#REF!</v>
      </c>
      <c r="AJ30" s="606" t="e">
        <f>'CANARD AERO'!#REF!</f>
        <v>#REF!</v>
      </c>
      <c r="AK30" s="606" t="e">
        <f>'CANARD AERO'!#REF!</f>
        <v>#REF!</v>
      </c>
      <c r="AL30" s="606" t="e">
        <f>'CANARD AERO'!#REF!</f>
        <v>#REF!</v>
      </c>
      <c r="AM30" s="606" t="e">
        <f>'CANARD AERO'!#REF!</f>
        <v>#REF!</v>
      </c>
      <c r="AN30" s="606" t="e">
        <f>'CANARD AERO'!#REF!</f>
        <v>#REF!</v>
      </c>
      <c r="AO30" s="606" t="e">
        <f>'CANARD AERO'!#REF!</f>
        <v>#REF!</v>
      </c>
      <c r="AP30" s="606" t="e">
        <f>'CANARD AERO'!#REF!</f>
        <v>#REF!</v>
      </c>
      <c r="AQ30" s="607" t="e">
        <f>'CANARD AERO'!#REF!</f>
        <v>#REF!</v>
      </c>
      <c r="AR30" s="606" t="e">
        <f>('CANARD AERO'!#REF!)*3.28084</f>
        <v>#REF!</v>
      </c>
      <c r="AS30" s="606" t="e">
        <f>'CANARD AERO'!#REF!</f>
        <v>#REF!</v>
      </c>
      <c r="AT30" s="606" t="e">
        <f>('CANARD AERO'!#REF!)*3.28084</f>
        <v>#REF!</v>
      </c>
      <c r="AU30" s="606" t="e">
        <f>('CANARD AERO'!#REF!)*3.28084</f>
        <v>#REF!</v>
      </c>
      <c r="AV30" s="606" t="e">
        <f>('CANARD AERO'!#REF!)*3.28084</f>
        <v>#REF!</v>
      </c>
      <c r="AW30" s="606" t="e">
        <f>'CANARD AERO'!#REF!</f>
        <v>#REF!</v>
      </c>
      <c r="AX30" s="606" t="e">
        <f>'CANARD AERO'!#REF!</f>
        <v>#REF!</v>
      </c>
      <c r="AY30" s="606" t="e">
        <f>'CANARD AERO'!#REF!</f>
        <v>#REF!</v>
      </c>
      <c r="AZ30" s="606" t="e">
        <f>'CANARD AERO'!#REF!</f>
        <v>#REF!</v>
      </c>
      <c r="BA30" s="606" t="e">
        <f>'CANARD AERO'!#REF!</f>
        <v>#REF!</v>
      </c>
      <c r="BB30" s="606" t="e">
        <f>'CANARD AERO'!#REF!</f>
        <v>#REF!</v>
      </c>
      <c r="BC30" s="606" t="e">
        <f>'CANARD AERO'!#REF!</f>
        <v>#REF!</v>
      </c>
      <c r="BD30" s="607" t="e">
        <f>'CANARD AERO'!#REF!</f>
        <v>#REF!</v>
      </c>
    </row>
    <row r="31" spans="1:56" x14ac:dyDescent="0.25">
      <c r="A31" s="606" t="e">
        <f>'CANARD AERO'!#REF!*3.28084</f>
        <v>#REF!</v>
      </c>
      <c r="B31" s="606" t="e">
        <f>'CANARD AERO'!#REF!*3.28084</f>
        <v>#REF!</v>
      </c>
      <c r="C31" s="606" t="e">
        <f>'CANARD AERO'!#REF!*3.28084</f>
        <v>#REF!</v>
      </c>
      <c r="D31" s="606" t="e">
        <f>'CANARD AERO'!#REF!*3.28084</f>
        <v>#REF!</v>
      </c>
      <c r="E31" s="606" t="e">
        <f>'CANARD AERO'!#REF!*3.28084</f>
        <v>#REF!</v>
      </c>
      <c r="F31" s="606" t="e">
        <f>'CANARD AERO'!#REF!*3.28084</f>
        <v>#REF!</v>
      </c>
      <c r="G31" s="606">
        <v>2</v>
      </c>
      <c r="H31" s="606">
        <f t="shared" si="0"/>
        <v>7.9</v>
      </c>
      <c r="I31" s="606" t="s">
        <v>877</v>
      </c>
      <c r="J31" s="606">
        <f t="shared" si="1"/>
        <v>0</v>
      </c>
      <c r="K31" s="606">
        <f t="shared" si="2"/>
        <v>1.85</v>
      </c>
      <c r="L31" s="606">
        <f t="shared" si="3"/>
        <v>-1.55</v>
      </c>
      <c r="M31" s="606">
        <f t="shared" si="4"/>
        <v>5.4999999999999997E-3</v>
      </c>
      <c r="N31" s="607">
        <f t="shared" si="5"/>
        <v>5.4999999999999997E-3</v>
      </c>
      <c r="O31" s="606" t="e">
        <f>('CANARD AERO'!#REF!)*3.28084</f>
        <v>#REF!</v>
      </c>
      <c r="P31" s="606" t="e">
        <f>'CANARD AERO'!#REF!</f>
        <v>#REF!</v>
      </c>
      <c r="Q31" s="606" t="e">
        <f>('CANARD AERO'!#REF!)*3.28084</f>
        <v>#REF!</v>
      </c>
      <c r="R31" s="606" t="e">
        <f>('CANARD AERO'!#REF!)*3.28084</f>
        <v>#REF!</v>
      </c>
      <c r="S31" s="606" t="e">
        <f>('CANARD AERO'!#REF!)*3.28084</f>
        <v>#REF!</v>
      </c>
      <c r="T31" s="606" t="e">
        <f>('CANARD AERO'!#REF!)*3.28084</f>
        <v>#REF!</v>
      </c>
      <c r="U31" s="606" t="e">
        <f>'CANARD AERO'!#REF!</f>
        <v>#REF!</v>
      </c>
      <c r="V31" s="606" t="e">
        <f>'CANARD AERO'!#REF!</f>
        <v>#REF!</v>
      </c>
      <c r="W31" s="606" t="e">
        <f>'CANARD AERO'!#REF!</f>
        <v>#REF!</v>
      </c>
      <c r="X31" s="606" t="e">
        <f>'CANARD AERO'!#REF!</f>
        <v>#REF!</v>
      </c>
      <c r="Y31" s="606" t="e">
        <f>'CANARD AERO'!#REF!</f>
        <v>#REF!</v>
      </c>
      <c r="Z31" s="606" t="e">
        <f>'CANARD AERO'!#REF!</f>
        <v>#REF!</v>
      </c>
      <c r="AA31" s="606" t="e">
        <f>'CANARD AERO'!#REF!</f>
        <v>#REF!</v>
      </c>
      <c r="AB31" s="606" t="e">
        <f>'CANARD AERO'!#REF!</f>
        <v>#REF!</v>
      </c>
      <c r="AC31" s="606" t="e">
        <f>'CANARD AERO'!#REF!</f>
        <v>#REF!</v>
      </c>
      <c r="AD31" s="606" t="e">
        <f>'CANARD AERO'!#REF!</f>
        <v>#REF!</v>
      </c>
      <c r="AE31" s="605" t="e">
        <f>('CANARD AERO'!#REF!)*3.28084</f>
        <v>#REF!</v>
      </c>
      <c r="AF31" s="606" t="e">
        <f>'CANARD AERO'!#REF!</f>
        <v>#REF!</v>
      </c>
      <c r="AG31" s="606" t="e">
        <f>('CANARD AERO'!#REF!)*3.28084</f>
        <v>#REF!</v>
      </c>
      <c r="AH31" s="606" t="e">
        <f>('CANARD AERO'!#REF!)*3.28084</f>
        <v>#REF!</v>
      </c>
      <c r="AI31" s="606" t="e">
        <f>('CANARD AERO'!#REF!)*3.28084</f>
        <v>#REF!</v>
      </c>
      <c r="AJ31" s="606" t="e">
        <f>'CANARD AERO'!#REF!</f>
        <v>#REF!</v>
      </c>
      <c r="AK31" s="606" t="e">
        <f>'CANARD AERO'!#REF!</f>
        <v>#REF!</v>
      </c>
      <c r="AL31" s="606" t="e">
        <f>'CANARD AERO'!#REF!</f>
        <v>#REF!</v>
      </c>
      <c r="AM31" s="606" t="e">
        <f>'CANARD AERO'!#REF!</f>
        <v>#REF!</v>
      </c>
      <c r="AN31" s="606" t="e">
        <f>'CANARD AERO'!#REF!</f>
        <v>#REF!</v>
      </c>
      <c r="AO31" s="606" t="e">
        <f>'CANARD AERO'!#REF!</f>
        <v>#REF!</v>
      </c>
      <c r="AP31" s="606" t="e">
        <f>'CANARD AERO'!#REF!</f>
        <v>#REF!</v>
      </c>
      <c r="AQ31" s="607" t="e">
        <f>'CANARD AERO'!#REF!</f>
        <v>#REF!</v>
      </c>
      <c r="AR31" s="606" t="e">
        <f>('CANARD AERO'!#REF!)*3.28084</f>
        <v>#REF!</v>
      </c>
      <c r="AS31" s="606" t="e">
        <f>'CANARD AERO'!#REF!</f>
        <v>#REF!</v>
      </c>
      <c r="AT31" s="606" t="e">
        <f>('CANARD AERO'!#REF!)*3.28084</f>
        <v>#REF!</v>
      </c>
      <c r="AU31" s="606" t="e">
        <f>('CANARD AERO'!#REF!)*3.28084</f>
        <v>#REF!</v>
      </c>
      <c r="AV31" s="606" t="e">
        <f>('CANARD AERO'!#REF!)*3.28084</f>
        <v>#REF!</v>
      </c>
      <c r="AW31" s="606" t="e">
        <f>'CANARD AERO'!#REF!</f>
        <v>#REF!</v>
      </c>
      <c r="AX31" s="606" t="e">
        <f>'CANARD AERO'!#REF!</f>
        <v>#REF!</v>
      </c>
      <c r="AY31" s="606" t="e">
        <f>'CANARD AERO'!#REF!</f>
        <v>#REF!</v>
      </c>
      <c r="AZ31" s="606" t="e">
        <f>'CANARD AERO'!#REF!</f>
        <v>#REF!</v>
      </c>
      <c r="BA31" s="606" t="e">
        <f>'CANARD AERO'!#REF!</f>
        <v>#REF!</v>
      </c>
      <c r="BB31" s="606" t="e">
        <f>'CANARD AERO'!#REF!</f>
        <v>#REF!</v>
      </c>
      <c r="BC31" s="606" t="e">
        <f>'CANARD AERO'!#REF!</f>
        <v>#REF!</v>
      </c>
      <c r="BD31" s="607" t="e">
        <f>'CANARD AERO'!#REF!</f>
        <v>#REF!</v>
      </c>
    </row>
    <row r="32" spans="1:56" x14ac:dyDescent="0.25">
      <c r="A32" s="606" t="e">
        <f>'CANARD AERO'!#REF!*3.28084</f>
        <v>#REF!</v>
      </c>
      <c r="B32" s="606" t="e">
        <f>'CANARD AERO'!#REF!*3.28084</f>
        <v>#REF!</v>
      </c>
      <c r="C32" s="606" t="e">
        <f>'CANARD AERO'!#REF!*3.28084</f>
        <v>#REF!</v>
      </c>
      <c r="D32" s="606" t="e">
        <f>'CANARD AERO'!#REF!*3.28084</f>
        <v>#REF!</v>
      </c>
      <c r="E32" s="606" t="e">
        <f>'CANARD AERO'!#REF!*3.28084</f>
        <v>#REF!</v>
      </c>
      <c r="F32" s="606" t="e">
        <f>'CANARD AERO'!#REF!*3.28084</f>
        <v>#REF!</v>
      </c>
      <c r="G32" s="606">
        <v>1.6</v>
      </c>
      <c r="H32" s="606">
        <f t="shared" si="0"/>
        <v>7.5</v>
      </c>
      <c r="I32" s="606" t="s">
        <v>878</v>
      </c>
      <c r="J32" s="606">
        <f t="shared" si="1"/>
        <v>0</v>
      </c>
      <c r="K32" s="606">
        <f t="shared" si="2"/>
        <v>1.85</v>
      </c>
      <c r="L32" s="606">
        <f t="shared" si="3"/>
        <v>-1.55</v>
      </c>
      <c r="M32" s="606">
        <f t="shared" si="4"/>
        <v>5.4999999999999997E-3</v>
      </c>
      <c r="N32" s="607">
        <f t="shared" si="5"/>
        <v>5.4999999999999997E-3</v>
      </c>
      <c r="O32" s="606" t="e">
        <f>('CANARD AERO'!#REF!)*3.28084</f>
        <v>#REF!</v>
      </c>
      <c r="P32" s="606" t="e">
        <f>'CANARD AERO'!#REF!</f>
        <v>#REF!</v>
      </c>
      <c r="Q32" s="606" t="e">
        <f>('CANARD AERO'!#REF!)*3.28084</f>
        <v>#REF!</v>
      </c>
      <c r="R32" s="606" t="e">
        <f>('CANARD AERO'!#REF!)*3.28084</f>
        <v>#REF!</v>
      </c>
      <c r="S32" s="606" t="e">
        <f>('CANARD AERO'!#REF!)*3.28084</f>
        <v>#REF!</v>
      </c>
      <c r="T32" s="606" t="e">
        <f>('CANARD AERO'!#REF!)*3.28084</f>
        <v>#REF!</v>
      </c>
      <c r="U32" s="606" t="e">
        <f>'CANARD AERO'!#REF!</f>
        <v>#REF!</v>
      </c>
      <c r="V32" s="606" t="e">
        <f>'CANARD AERO'!#REF!</f>
        <v>#REF!</v>
      </c>
      <c r="W32" s="606" t="e">
        <f>'CANARD AERO'!#REF!</f>
        <v>#REF!</v>
      </c>
      <c r="X32" s="606" t="e">
        <f>'CANARD AERO'!#REF!</f>
        <v>#REF!</v>
      </c>
      <c r="Y32" s="606" t="e">
        <f>'CANARD AERO'!#REF!</f>
        <v>#REF!</v>
      </c>
      <c r="Z32" s="606" t="e">
        <f>'CANARD AERO'!#REF!</f>
        <v>#REF!</v>
      </c>
      <c r="AA32" s="606" t="e">
        <f>'CANARD AERO'!#REF!</f>
        <v>#REF!</v>
      </c>
      <c r="AB32" s="606" t="e">
        <f>'CANARD AERO'!#REF!</f>
        <v>#REF!</v>
      </c>
      <c r="AC32" s="606" t="e">
        <f>'CANARD AERO'!#REF!</f>
        <v>#REF!</v>
      </c>
      <c r="AD32" s="606" t="e">
        <f>'CANARD AERO'!#REF!</f>
        <v>#REF!</v>
      </c>
      <c r="AE32" s="605" t="e">
        <f>('CANARD AERO'!#REF!)*3.28084</f>
        <v>#REF!</v>
      </c>
      <c r="AF32" s="606" t="e">
        <f>'CANARD AERO'!#REF!</f>
        <v>#REF!</v>
      </c>
      <c r="AG32" s="606" t="e">
        <f>('CANARD AERO'!#REF!)*3.28084</f>
        <v>#REF!</v>
      </c>
      <c r="AH32" s="606" t="e">
        <f>('CANARD AERO'!#REF!)*3.28084</f>
        <v>#REF!</v>
      </c>
      <c r="AI32" s="606" t="e">
        <f>('CANARD AERO'!#REF!)*3.28084</f>
        <v>#REF!</v>
      </c>
      <c r="AJ32" s="606" t="e">
        <f>'CANARD AERO'!#REF!</f>
        <v>#REF!</v>
      </c>
      <c r="AK32" s="606" t="e">
        <f>'CANARD AERO'!#REF!</f>
        <v>#REF!</v>
      </c>
      <c r="AL32" s="606" t="e">
        <f>'CANARD AERO'!#REF!</f>
        <v>#REF!</v>
      </c>
      <c r="AM32" s="606" t="e">
        <f>'CANARD AERO'!#REF!</f>
        <v>#REF!</v>
      </c>
      <c r="AN32" s="606" t="e">
        <f>'CANARD AERO'!#REF!</f>
        <v>#REF!</v>
      </c>
      <c r="AO32" s="606" t="e">
        <f>'CANARD AERO'!#REF!</f>
        <v>#REF!</v>
      </c>
      <c r="AP32" s="606" t="e">
        <f>'CANARD AERO'!#REF!</f>
        <v>#REF!</v>
      </c>
      <c r="AQ32" s="607" t="e">
        <f>'CANARD AERO'!#REF!</f>
        <v>#REF!</v>
      </c>
      <c r="AR32" s="606" t="e">
        <f>('CANARD AERO'!#REF!)*3.28084</f>
        <v>#REF!</v>
      </c>
      <c r="AS32" s="606" t="e">
        <f>'CANARD AERO'!#REF!</f>
        <v>#REF!</v>
      </c>
      <c r="AT32" s="606" t="e">
        <f>('CANARD AERO'!#REF!)*3.28084</f>
        <v>#REF!</v>
      </c>
      <c r="AU32" s="606" t="e">
        <f>('CANARD AERO'!#REF!)*3.28084</f>
        <v>#REF!</v>
      </c>
      <c r="AV32" s="606" t="e">
        <f>('CANARD AERO'!#REF!)*3.28084</f>
        <v>#REF!</v>
      </c>
      <c r="AW32" s="606" t="e">
        <f>'CANARD AERO'!#REF!</f>
        <v>#REF!</v>
      </c>
      <c r="AX32" s="606" t="e">
        <f>'CANARD AERO'!#REF!</f>
        <v>#REF!</v>
      </c>
      <c r="AY32" s="606" t="e">
        <f>'CANARD AERO'!#REF!</f>
        <v>#REF!</v>
      </c>
      <c r="AZ32" s="606" t="e">
        <f>'CANARD AERO'!#REF!</f>
        <v>#REF!</v>
      </c>
      <c r="BA32" s="606" t="e">
        <f>'CANARD AERO'!#REF!</f>
        <v>#REF!</v>
      </c>
      <c r="BB32" s="606" t="e">
        <f>'CANARD AERO'!#REF!</f>
        <v>#REF!</v>
      </c>
      <c r="BC32" s="606" t="e">
        <f>'CANARD AERO'!#REF!</f>
        <v>#REF!</v>
      </c>
      <c r="BD32" s="607" t="e">
        <f>'CANARD AERO'!#REF!</f>
        <v>#REF!</v>
      </c>
    </row>
    <row r="33" spans="1:56" x14ac:dyDescent="0.25">
      <c r="A33" s="606" t="e">
        <f>'CANARD AERO'!#REF!*3.28084</f>
        <v>#REF!</v>
      </c>
      <c r="B33" s="606" t="e">
        <f>'CANARD AERO'!#REF!*3.28084</f>
        <v>#REF!</v>
      </c>
      <c r="C33" s="606" t="e">
        <f>'CANARD AERO'!#REF!*3.28084</f>
        <v>#REF!</v>
      </c>
      <c r="D33" s="606" t="e">
        <f>'CANARD AERO'!#REF!*3.28084</f>
        <v>#REF!</v>
      </c>
      <c r="E33" s="606" t="e">
        <f>'CANARD AERO'!#REF!*3.28084</f>
        <v>#REF!</v>
      </c>
      <c r="F33" s="606" t="e">
        <f>'CANARD AERO'!#REF!*3.28084</f>
        <v>#REF!</v>
      </c>
      <c r="G33" s="606">
        <v>1.6</v>
      </c>
      <c r="H33" s="606">
        <f t="shared" ref="H33" si="6">$A$22+G33</f>
        <v>7.5</v>
      </c>
      <c r="I33" s="606" t="s">
        <v>878</v>
      </c>
      <c r="J33" s="606">
        <f t="shared" si="1"/>
        <v>0</v>
      </c>
      <c r="K33" s="606">
        <f t="shared" si="2"/>
        <v>1.85</v>
      </c>
      <c r="L33" s="606">
        <f t="shared" si="3"/>
        <v>-1.55</v>
      </c>
      <c r="M33" s="606">
        <f t="shared" si="4"/>
        <v>5.4999999999999997E-3</v>
      </c>
      <c r="N33" s="607">
        <f t="shared" si="5"/>
        <v>5.4999999999999997E-3</v>
      </c>
      <c r="O33" s="606" t="e">
        <f>('CANARD AERO'!#REF!)*3.28084</f>
        <v>#REF!</v>
      </c>
      <c r="P33" s="606" t="e">
        <f>'CANARD AERO'!#REF!</f>
        <v>#REF!</v>
      </c>
      <c r="Q33" s="606" t="e">
        <f>('CANARD AERO'!#REF!)*3.28084</f>
        <v>#REF!</v>
      </c>
      <c r="R33" s="606" t="e">
        <f>('CANARD AERO'!#REF!)*3.28084</f>
        <v>#REF!</v>
      </c>
      <c r="S33" s="606" t="e">
        <f>('CANARD AERO'!#REF!)*3.28084</f>
        <v>#REF!</v>
      </c>
      <c r="T33" s="606" t="e">
        <f>('CANARD AERO'!#REF!)*3.28084</f>
        <v>#REF!</v>
      </c>
      <c r="U33" s="606" t="e">
        <f>'CANARD AERO'!#REF!</f>
        <v>#REF!</v>
      </c>
      <c r="V33" s="606" t="e">
        <f>'CANARD AERO'!#REF!</f>
        <v>#REF!</v>
      </c>
      <c r="W33" s="606" t="e">
        <f>'CANARD AERO'!#REF!</f>
        <v>#REF!</v>
      </c>
      <c r="X33" s="606" t="e">
        <f>'CANARD AERO'!#REF!</f>
        <v>#REF!</v>
      </c>
      <c r="Y33" s="606" t="e">
        <f>'CANARD AERO'!#REF!</f>
        <v>#REF!</v>
      </c>
      <c r="Z33" s="606" t="e">
        <f>'CANARD AERO'!#REF!</f>
        <v>#REF!</v>
      </c>
      <c r="AA33" s="606" t="e">
        <f>'CANARD AERO'!#REF!</f>
        <v>#REF!</v>
      </c>
      <c r="AB33" s="606" t="e">
        <f>'CANARD AERO'!#REF!</f>
        <v>#REF!</v>
      </c>
      <c r="AC33" s="606" t="e">
        <f>'CANARD AERO'!#REF!</f>
        <v>#REF!</v>
      </c>
      <c r="AD33" s="606" t="e">
        <f>'CANARD AERO'!#REF!</f>
        <v>#REF!</v>
      </c>
      <c r="AE33" s="605" t="e">
        <f>('CANARD AERO'!#REF!)*3.28084</f>
        <v>#REF!</v>
      </c>
      <c r="AF33" s="606" t="e">
        <f>'CANARD AERO'!#REF!</f>
        <v>#REF!</v>
      </c>
      <c r="AG33" s="606" t="e">
        <f>('CANARD AERO'!#REF!)*3.28084</f>
        <v>#REF!</v>
      </c>
      <c r="AH33" s="606" t="e">
        <f>('CANARD AERO'!#REF!)*3.28084</f>
        <v>#REF!</v>
      </c>
      <c r="AI33" s="606" t="e">
        <f>('CANARD AERO'!#REF!)*3.28084</f>
        <v>#REF!</v>
      </c>
      <c r="AJ33" s="606" t="e">
        <f>'CANARD AERO'!#REF!</f>
        <v>#REF!</v>
      </c>
      <c r="AK33" s="606" t="e">
        <f>'CANARD AERO'!#REF!</f>
        <v>#REF!</v>
      </c>
      <c r="AL33" s="606" t="e">
        <f>'CANARD AERO'!#REF!</f>
        <v>#REF!</v>
      </c>
      <c r="AM33" s="606" t="e">
        <f>'CANARD AERO'!#REF!</f>
        <v>#REF!</v>
      </c>
      <c r="AN33" s="606" t="e">
        <f>'CANARD AERO'!#REF!</f>
        <v>#REF!</v>
      </c>
      <c r="AO33" s="606" t="e">
        <f>'CANARD AERO'!#REF!</f>
        <v>#REF!</v>
      </c>
      <c r="AP33" s="606" t="e">
        <f>'CANARD AERO'!#REF!</f>
        <v>#REF!</v>
      </c>
      <c r="AQ33" s="607" t="e">
        <f>'CANARD AERO'!#REF!</f>
        <v>#REF!</v>
      </c>
      <c r="AR33" s="606" t="e">
        <f>('CANARD AERO'!#REF!)*3.28084</f>
        <v>#REF!</v>
      </c>
      <c r="AS33" s="606" t="e">
        <f>'CANARD AERO'!#REF!</f>
        <v>#REF!</v>
      </c>
      <c r="AT33" s="606" t="e">
        <f>('CANARD AERO'!#REF!)*3.28084</f>
        <v>#REF!</v>
      </c>
      <c r="AU33" s="606" t="e">
        <f>('CANARD AERO'!#REF!)*3.28084</f>
        <v>#REF!</v>
      </c>
      <c r="AV33" s="606" t="e">
        <f>('CANARD AERO'!#REF!)*3.28084</f>
        <v>#REF!</v>
      </c>
      <c r="AW33" s="606" t="e">
        <f>'CANARD AERO'!#REF!</f>
        <v>#REF!</v>
      </c>
      <c r="AX33" s="606" t="e">
        <f>'CANARD AERO'!#REF!</f>
        <v>#REF!</v>
      </c>
      <c r="AY33" s="606" t="e">
        <f>'CANARD AERO'!#REF!</f>
        <v>#REF!</v>
      </c>
      <c r="AZ33" s="606" t="e">
        <f>'CANARD AERO'!#REF!</f>
        <v>#REF!</v>
      </c>
      <c r="BA33" s="606" t="e">
        <f>'CANARD AERO'!#REF!</f>
        <v>#REF!</v>
      </c>
      <c r="BB33" s="606" t="e">
        <f>'CANARD AERO'!#REF!</f>
        <v>#REF!</v>
      </c>
      <c r="BC33" s="606" t="e">
        <f>'CANARD AERO'!#REF!</f>
        <v>#REF!</v>
      </c>
      <c r="BD33" s="607" t="e">
        <f>'CANARD AERO'!#REF!</f>
        <v>#REF!</v>
      </c>
    </row>
    <row r="34" spans="1:56" x14ac:dyDescent="0.25">
      <c r="A34" s="606" t="e">
        <f>'CANARD AERO'!#REF!*3.28084</f>
        <v>#REF!</v>
      </c>
      <c r="B34" s="606" t="e">
        <f>'CANARD AERO'!#REF!*3.28084</f>
        <v>#REF!</v>
      </c>
      <c r="C34" s="606" t="e">
        <f>'CANARD AERO'!#REF!*3.28084</f>
        <v>#REF!</v>
      </c>
      <c r="D34" s="606" t="e">
        <f>'CANARD AERO'!#REF!*3.28084</f>
        <v>#REF!</v>
      </c>
      <c r="E34" s="606" t="e">
        <f>'CANARD AERO'!#REF!*3.28084</f>
        <v>#REF!</v>
      </c>
      <c r="F34" s="606" t="e">
        <f>'CANARD AERO'!#REF!*3.28084</f>
        <v>#REF!</v>
      </c>
      <c r="G34" s="606">
        <v>0</v>
      </c>
      <c r="H34" s="606">
        <f>$A$22+G34</f>
        <v>5.9</v>
      </c>
      <c r="I34" s="606" t="s">
        <v>879</v>
      </c>
      <c r="J34" s="606">
        <f t="shared" si="1"/>
        <v>0</v>
      </c>
      <c r="K34" s="606">
        <f t="shared" si="2"/>
        <v>1.85</v>
      </c>
      <c r="L34" s="606">
        <f t="shared" si="3"/>
        <v>-1.55</v>
      </c>
      <c r="M34" s="606">
        <f t="shared" si="4"/>
        <v>5.4999999999999997E-3</v>
      </c>
      <c r="N34" s="607">
        <f t="shared" si="5"/>
        <v>5.4999999999999997E-3</v>
      </c>
      <c r="O34" s="606" t="e">
        <f>('CANARD AERO'!#REF!)*3.28084</f>
        <v>#REF!</v>
      </c>
      <c r="P34" s="606" t="e">
        <f>'CANARD AERO'!#REF!</f>
        <v>#REF!</v>
      </c>
      <c r="Q34" s="606" t="e">
        <f>('CANARD AERO'!#REF!)*3.28084</f>
        <v>#REF!</v>
      </c>
      <c r="R34" s="606" t="e">
        <f>('CANARD AERO'!#REF!)*3.28084</f>
        <v>#REF!</v>
      </c>
      <c r="S34" s="606" t="e">
        <f>('CANARD AERO'!#REF!)*3.28084</f>
        <v>#REF!</v>
      </c>
      <c r="T34" s="606" t="e">
        <f>('CANARD AERO'!#REF!)*3.28084</f>
        <v>#REF!</v>
      </c>
      <c r="U34" s="606" t="e">
        <f>'CANARD AERO'!#REF!</f>
        <v>#REF!</v>
      </c>
      <c r="V34" s="606" t="e">
        <f>'CANARD AERO'!#REF!</f>
        <v>#REF!</v>
      </c>
      <c r="W34" s="606" t="e">
        <f>'CANARD AERO'!#REF!</f>
        <v>#REF!</v>
      </c>
      <c r="X34" s="606" t="e">
        <f>'CANARD AERO'!#REF!</f>
        <v>#REF!</v>
      </c>
      <c r="Y34" s="606" t="e">
        <f>'CANARD AERO'!#REF!</f>
        <v>#REF!</v>
      </c>
      <c r="Z34" s="606" t="e">
        <f>'CANARD AERO'!#REF!</f>
        <v>#REF!</v>
      </c>
      <c r="AA34" s="606" t="e">
        <f>'CANARD AERO'!#REF!</f>
        <v>#REF!</v>
      </c>
      <c r="AB34" s="606" t="e">
        <f>'CANARD AERO'!#REF!</f>
        <v>#REF!</v>
      </c>
      <c r="AC34" s="606" t="e">
        <f>'CANARD AERO'!#REF!</f>
        <v>#REF!</v>
      </c>
      <c r="AD34" s="606" t="e">
        <f>'CANARD AERO'!#REF!</f>
        <v>#REF!</v>
      </c>
      <c r="AE34" s="605" t="e">
        <f>('CANARD AERO'!#REF!)*3.28084</f>
        <v>#REF!</v>
      </c>
      <c r="AF34" s="606" t="e">
        <f>'CANARD AERO'!#REF!</f>
        <v>#REF!</v>
      </c>
      <c r="AG34" s="606" t="e">
        <f>('CANARD AERO'!#REF!)*3.28084</f>
        <v>#REF!</v>
      </c>
      <c r="AH34" s="606" t="e">
        <f>('CANARD AERO'!#REF!)*3.28084</f>
        <v>#REF!</v>
      </c>
      <c r="AI34" s="606" t="e">
        <f>('CANARD AERO'!#REF!)*3.28084</f>
        <v>#REF!</v>
      </c>
      <c r="AJ34" s="606" t="e">
        <f>'CANARD AERO'!#REF!</f>
        <v>#REF!</v>
      </c>
      <c r="AK34" s="606" t="e">
        <f>'CANARD AERO'!#REF!</f>
        <v>#REF!</v>
      </c>
      <c r="AL34" s="606" t="e">
        <f>'CANARD AERO'!#REF!</f>
        <v>#REF!</v>
      </c>
      <c r="AM34" s="606" t="e">
        <f>'CANARD AERO'!#REF!</f>
        <v>#REF!</v>
      </c>
      <c r="AN34" s="606" t="e">
        <f>'CANARD AERO'!#REF!</f>
        <v>#REF!</v>
      </c>
      <c r="AO34" s="606" t="e">
        <f>'CANARD AERO'!#REF!</f>
        <v>#REF!</v>
      </c>
      <c r="AP34" s="606" t="e">
        <f>'CANARD AERO'!#REF!</f>
        <v>#REF!</v>
      </c>
      <c r="AQ34" s="607" t="e">
        <f>'CANARD AERO'!#REF!</f>
        <v>#REF!</v>
      </c>
      <c r="AR34" s="606" t="e">
        <f>('CANARD AERO'!#REF!)*3.28084</f>
        <v>#REF!</v>
      </c>
      <c r="AS34" s="606" t="e">
        <f>'CANARD AERO'!#REF!</f>
        <v>#REF!</v>
      </c>
      <c r="AT34" s="606" t="e">
        <f>('CANARD AERO'!#REF!)*3.28084</f>
        <v>#REF!</v>
      </c>
      <c r="AU34" s="606" t="e">
        <f>('CANARD AERO'!#REF!)*3.28084</f>
        <v>#REF!</v>
      </c>
      <c r="AV34" s="606" t="e">
        <f>('CANARD AERO'!#REF!)*3.28084</f>
        <v>#REF!</v>
      </c>
      <c r="AW34" s="606" t="e">
        <f>'CANARD AERO'!#REF!</f>
        <v>#REF!</v>
      </c>
      <c r="AX34" s="606" t="e">
        <f>'CANARD AERO'!#REF!</f>
        <v>#REF!</v>
      </c>
      <c r="AY34" s="606" t="e">
        <f>'CANARD AERO'!#REF!</f>
        <v>#REF!</v>
      </c>
      <c r="AZ34" s="606" t="e">
        <f>'CANARD AERO'!#REF!</f>
        <v>#REF!</v>
      </c>
      <c r="BA34" s="606" t="e">
        <f>'CANARD AERO'!#REF!</f>
        <v>#REF!</v>
      </c>
      <c r="BB34" s="606" t="e">
        <f>'CANARD AERO'!#REF!</f>
        <v>#REF!</v>
      </c>
      <c r="BC34" s="606" t="e">
        <f>'CANARD AERO'!#REF!</f>
        <v>#REF!</v>
      </c>
      <c r="BD34" s="607" t="e">
        <f>'CANARD AERO'!#REF!</f>
        <v>#REF!</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AFE1-37AF-4F84-93D9-05D98F7990E1}">
  <sheetPr>
    <tabColor rgb="FFFF66FF"/>
  </sheetPr>
  <dimension ref="A1:HK120"/>
  <sheetViews>
    <sheetView zoomScale="85" zoomScaleNormal="85" workbookViewId="0">
      <selection activeCell="F38" sqref="F38"/>
    </sheetView>
  </sheetViews>
  <sheetFormatPr defaultRowHeight="15" outlineLevelCol="1" x14ac:dyDescent="0.25"/>
  <cols>
    <col min="1" max="1" width="20.140625" customWidth="1"/>
    <col min="2" max="2" width="11.42578125" customWidth="1"/>
    <col min="3" max="3" width="15.42578125" bestFit="1" customWidth="1"/>
    <col min="4" max="4" width="20.5703125" customWidth="1"/>
    <col min="5" max="5" width="12.85546875" customWidth="1"/>
    <col min="6" max="6" width="19.140625" customWidth="1"/>
    <col min="7" max="7" width="17.140625" bestFit="1" customWidth="1"/>
    <col min="9" max="9" width="13.5703125" customWidth="1"/>
    <col min="15" max="15" width="12.140625" bestFit="1" customWidth="1"/>
    <col min="16" max="16" width="12" bestFit="1" customWidth="1"/>
    <col min="17" max="19" width="9.28515625" bestFit="1" customWidth="1"/>
    <col min="20" max="20" width="11" bestFit="1" customWidth="1"/>
    <col min="21" max="31" width="11" customWidth="1"/>
    <col min="32" max="32" width="11.7109375" customWidth="1"/>
    <col min="33" max="41" width="11" customWidth="1"/>
    <col min="42" max="68" width="9.28515625" customWidth="1"/>
    <col min="69" max="71" width="9.140625" customWidth="1"/>
    <col min="72" max="72" width="9.140625" style="580" customWidth="1"/>
    <col min="73" max="79" width="9.140625" customWidth="1"/>
    <col min="80" max="80" width="21.28515625" bestFit="1" customWidth="1"/>
    <col min="87" max="87" width="9.140625" style="594"/>
    <col min="88" max="88" width="10" customWidth="1"/>
    <col min="89" max="91" width="8.7109375" customWidth="1" outlineLevel="1"/>
    <col min="92" max="92" width="12.7109375" customWidth="1" outlineLevel="1"/>
    <col min="93" max="130" width="8.7109375" customWidth="1" outlineLevel="1"/>
    <col min="131" max="131" width="20.5703125" bestFit="1" customWidth="1"/>
    <col min="136" max="136" width="14.85546875" bestFit="1" customWidth="1"/>
    <col min="179" max="179" width="14.85546875" bestFit="1" customWidth="1"/>
  </cols>
  <sheetData>
    <row r="1" spans="1:87" ht="15.75" thickBot="1" x14ac:dyDescent="0.3">
      <c r="A1" s="567">
        <v>45008</v>
      </c>
      <c r="D1" s="4" t="s">
        <v>869</v>
      </c>
      <c r="F1" s="673" t="s">
        <v>988</v>
      </c>
      <c r="BT1"/>
      <c r="CI1"/>
    </row>
    <row r="2" spans="1:87" x14ac:dyDescent="0.25">
      <c r="A2" s="567"/>
      <c r="D2" s="672"/>
      <c r="E2" s="672"/>
      <c r="H2" s="80" t="s">
        <v>129</v>
      </c>
      <c r="BT2"/>
      <c r="CI2"/>
    </row>
    <row r="3" spans="1:87" x14ac:dyDescent="0.25">
      <c r="A3" s="567"/>
      <c r="D3" s="671" t="s">
        <v>64</v>
      </c>
      <c r="E3" s="672"/>
      <c r="F3" s="679" t="s">
        <v>989</v>
      </c>
      <c r="H3" s="41"/>
      <c r="BT3"/>
      <c r="CI3"/>
    </row>
    <row r="4" spans="1:87" x14ac:dyDescent="0.25">
      <c r="A4" s="567"/>
      <c r="D4" s="672"/>
      <c r="E4" s="672"/>
      <c r="F4" s="674"/>
      <c r="H4" s="41"/>
      <c r="BT4"/>
      <c r="CI4"/>
    </row>
    <row r="5" spans="1:87" x14ac:dyDescent="0.25">
      <c r="A5" s="567"/>
      <c r="C5" s="524" t="s">
        <v>508</v>
      </c>
      <c r="D5" s="562" t="s">
        <v>858</v>
      </c>
      <c r="F5" s="645" t="s">
        <v>7</v>
      </c>
      <c r="BT5"/>
      <c r="CI5"/>
    </row>
    <row r="6" spans="1:87" x14ac:dyDescent="0.25">
      <c r="A6" s="567"/>
      <c r="D6" s="562" t="s">
        <v>859</v>
      </c>
      <c r="F6" s="645" t="s">
        <v>17</v>
      </c>
      <c r="BT6"/>
      <c r="CI6"/>
    </row>
    <row r="7" spans="1:87" x14ac:dyDescent="0.25">
      <c r="A7" s="567"/>
      <c r="D7" s="562" t="s">
        <v>860</v>
      </c>
      <c r="F7" s="645" t="s">
        <v>764</v>
      </c>
      <c r="BT7"/>
      <c r="CI7"/>
    </row>
    <row r="8" spans="1:87" x14ac:dyDescent="0.25">
      <c r="A8" s="567"/>
      <c r="F8" s="603"/>
      <c r="BT8"/>
      <c r="CI8"/>
    </row>
    <row r="9" spans="1:87" x14ac:dyDescent="0.25">
      <c r="A9" s="567"/>
      <c r="C9" s="524" t="s">
        <v>861</v>
      </c>
      <c r="D9" s="562" t="s">
        <v>862</v>
      </c>
      <c r="F9" s="646" t="e">
        <f>'CANARD STRUCT'!#REF!*3.28084</f>
        <v>#REF!</v>
      </c>
      <c r="G9" s="2" t="s">
        <v>1010</v>
      </c>
      <c r="BT9"/>
      <c r="CI9"/>
    </row>
    <row r="10" spans="1:87" x14ac:dyDescent="0.25">
      <c r="A10" s="567"/>
      <c r="D10" s="562" t="s">
        <v>863</v>
      </c>
      <c r="F10" s="648">
        <v>2.3770000000000002E-3</v>
      </c>
      <c r="G10" s="2" t="s">
        <v>1008</v>
      </c>
      <c r="BT10"/>
      <c r="CI10"/>
    </row>
    <row r="11" spans="1:87" x14ac:dyDescent="0.25">
      <c r="A11" s="567"/>
      <c r="D11" s="562" t="s">
        <v>864</v>
      </c>
      <c r="F11" s="645" t="e">
        <f>'CANARD STRUCT'!#REF!*3.28084</f>
        <v>#REF!</v>
      </c>
      <c r="G11" s="2" t="s">
        <v>1009</v>
      </c>
      <c r="BT11"/>
      <c r="CI11"/>
    </row>
    <row r="12" spans="1:87" x14ac:dyDescent="0.25">
      <c r="A12" s="567"/>
      <c r="D12" s="562" t="s">
        <v>865</v>
      </c>
      <c r="F12" s="645" t="e">
        <f>'CANARD STRUCT'!#REF!*3.28084^2</f>
        <v>#REF!</v>
      </c>
      <c r="G12" s="2" t="s">
        <v>1007</v>
      </c>
      <c r="BT12"/>
      <c r="CI12"/>
    </row>
    <row r="13" spans="1:87" x14ac:dyDescent="0.25">
      <c r="A13" s="567"/>
      <c r="D13" s="562" t="s">
        <v>615</v>
      </c>
      <c r="F13" s="645" t="e">
        <f>'CANARD STRUCT'!#REF!*3.28084</f>
        <v>#REF!</v>
      </c>
      <c r="G13" s="2" t="s">
        <v>1006</v>
      </c>
      <c r="BT13"/>
      <c r="CI13"/>
    </row>
    <row r="14" spans="1:87" x14ac:dyDescent="0.25">
      <c r="A14" s="567"/>
      <c r="D14" s="562" t="s">
        <v>866</v>
      </c>
      <c r="F14" s="645" t="e">
        <f>'CANARD STRUCT'!#REF!*3.28084</f>
        <v>#REF!</v>
      </c>
      <c r="G14" s="2" t="s">
        <v>1006</v>
      </c>
      <c r="BT14"/>
      <c r="CI14"/>
    </row>
    <row r="15" spans="1:87" x14ac:dyDescent="0.25">
      <c r="A15" s="567"/>
      <c r="D15" s="562" t="s">
        <v>961</v>
      </c>
      <c r="F15" s="645">
        <f>'CANARD STRUCT'!F1*3.28084</f>
        <v>10.409657157255999</v>
      </c>
      <c r="G15" s="2" t="s">
        <v>1006</v>
      </c>
      <c r="H15" s="41" t="s">
        <v>953</v>
      </c>
      <c r="BT15"/>
      <c r="CI15"/>
    </row>
    <row r="16" spans="1:87" x14ac:dyDescent="0.25">
      <c r="A16" s="567"/>
      <c r="D16" s="562" t="s">
        <v>962</v>
      </c>
      <c r="F16" s="645">
        <f>'CANARD STRUCT'!F2*3.28084</f>
        <v>0</v>
      </c>
      <c r="G16" s="2" t="s">
        <v>1006</v>
      </c>
      <c r="BT16"/>
      <c r="CI16"/>
    </row>
    <row r="17" spans="1:87" x14ac:dyDescent="0.25">
      <c r="A17" s="567"/>
      <c r="D17" s="562" t="s">
        <v>963</v>
      </c>
      <c r="F17" s="645">
        <f>'CANARD STRUCT'!F3*3.28084</f>
        <v>12.850247130368</v>
      </c>
      <c r="G17" s="2" t="s">
        <v>1006</v>
      </c>
      <c r="BT17"/>
      <c r="CI17"/>
    </row>
    <row r="18" spans="1:87" x14ac:dyDescent="0.25">
      <c r="A18" s="567"/>
      <c r="D18" s="562" t="s">
        <v>867</v>
      </c>
      <c r="F18" s="645">
        <f>'Prosperity Reference'!E12</f>
        <v>0</v>
      </c>
      <c r="G18" s="2" t="s">
        <v>1006</v>
      </c>
      <c r="BT18"/>
      <c r="CI18"/>
    </row>
    <row r="19" spans="1:87" x14ac:dyDescent="0.25">
      <c r="A19" s="567"/>
      <c r="D19" s="562" t="s">
        <v>870</v>
      </c>
      <c r="F19" s="645">
        <f>F18</f>
        <v>0</v>
      </c>
      <c r="G19" s="2" t="s">
        <v>1006</v>
      </c>
      <c r="BT19"/>
      <c r="CI19"/>
    </row>
    <row r="20" spans="1:87" x14ac:dyDescent="0.25">
      <c r="A20" s="567"/>
      <c r="D20" s="562" t="s">
        <v>868</v>
      </c>
      <c r="F20" s="645">
        <f>F19</f>
        <v>0</v>
      </c>
      <c r="G20" s="2" t="s">
        <v>1006</v>
      </c>
      <c r="BT20"/>
      <c r="CI20"/>
    </row>
    <row r="21" spans="1:87" x14ac:dyDescent="0.25">
      <c r="A21" s="567"/>
      <c r="F21" s="5"/>
      <c r="G21" s="2"/>
      <c r="BT21"/>
      <c r="CI21"/>
    </row>
    <row r="22" spans="1:87" x14ac:dyDescent="0.25">
      <c r="A22" s="567"/>
      <c r="C22" s="4" t="s">
        <v>949</v>
      </c>
      <c r="F22" s="5"/>
      <c r="G22" s="2"/>
      <c r="BT22"/>
      <c r="CI22"/>
    </row>
    <row r="23" spans="1:87" x14ac:dyDescent="0.25">
      <c r="A23" s="567"/>
      <c r="D23" s="562" t="s">
        <v>912</v>
      </c>
      <c r="F23" s="647" t="e">
        <f>'CANARD STRUCT'!#REF!*3.28084</f>
        <v>#REF!</v>
      </c>
      <c r="G23" s="2" t="s">
        <v>1006</v>
      </c>
      <c r="BT23"/>
      <c r="CI23"/>
    </row>
    <row r="24" spans="1:87" x14ac:dyDescent="0.25">
      <c r="A24" s="567"/>
      <c r="D24" s="562" t="s">
        <v>659</v>
      </c>
      <c r="F24" s="649" t="e">
        <f>'CANARD STRUCT'!#REF!*2.20462*3.28084^2</f>
        <v>#REF!</v>
      </c>
      <c r="G24" s="2" t="s">
        <v>1015</v>
      </c>
      <c r="H24" s="41" t="s">
        <v>993</v>
      </c>
      <c r="BT24"/>
      <c r="CI24"/>
    </row>
    <row r="25" spans="1:87" x14ac:dyDescent="0.25">
      <c r="A25" s="567"/>
      <c r="D25" s="562" t="s">
        <v>655</v>
      </c>
      <c r="F25" s="649" t="e">
        <f>'CANARD STRUCT'!#REF!*2.20462*3.28084^2</f>
        <v>#REF!</v>
      </c>
      <c r="G25" s="2" t="s">
        <v>1015</v>
      </c>
      <c r="H25" s="41"/>
      <c r="BT25"/>
      <c r="CI25"/>
    </row>
    <row r="26" spans="1:87" x14ac:dyDescent="0.25">
      <c r="A26" s="567"/>
      <c r="D26" s="562" t="s">
        <v>667</v>
      </c>
      <c r="F26" s="649" t="e">
        <f>'CANARD STRUCT'!#REF!*2.20462*3.28084^2</f>
        <v>#REF!</v>
      </c>
      <c r="G26" s="2" t="s">
        <v>1015</v>
      </c>
      <c r="H26" s="41"/>
      <c r="BT26"/>
      <c r="CI26"/>
    </row>
    <row r="27" spans="1:87" x14ac:dyDescent="0.25">
      <c r="A27" s="567"/>
      <c r="D27" s="562" t="s">
        <v>990</v>
      </c>
      <c r="F27" s="646" t="e">
        <f>'CANARD STRUCT'!#REF!*3.28084/2.20462</f>
        <v>#REF!</v>
      </c>
      <c r="G27" s="2" t="s">
        <v>1013</v>
      </c>
      <c r="BT27"/>
      <c r="CI27"/>
    </row>
    <row r="28" spans="1:87" x14ac:dyDescent="0.25">
      <c r="A28" s="567"/>
      <c r="F28" s="5"/>
      <c r="AF28" t="s">
        <v>937</v>
      </c>
      <c r="BT28"/>
      <c r="CI28"/>
    </row>
    <row r="29" spans="1:87" x14ac:dyDescent="0.25">
      <c r="A29" s="567"/>
      <c r="F29" s="5"/>
      <c r="BT29"/>
      <c r="CI29"/>
    </row>
    <row r="30" spans="1:87" x14ac:dyDescent="0.25">
      <c r="A30" s="567"/>
      <c r="D30" s="4" t="s">
        <v>807</v>
      </c>
      <c r="F30" s="604" t="s">
        <v>152</v>
      </c>
      <c r="BT30"/>
      <c r="CI30"/>
    </row>
    <row r="31" spans="1:87" x14ac:dyDescent="0.25">
      <c r="A31" s="567"/>
      <c r="D31" s="562" t="s">
        <v>929</v>
      </c>
      <c r="F31" s="650">
        <f>'Inputs-Imperial'!E12</f>
        <v>0.25</v>
      </c>
      <c r="G31" s="562" t="s">
        <v>803</v>
      </c>
      <c r="BT31"/>
      <c r="CI31"/>
    </row>
    <row r="32" spans="1:87" x14ac:dyDescent="0.25">
      <c r="A32" s="567"/>
      <c r="D32" s="562" t="s">
        <v>809</v>
      </c>
      <c r="F32" s="650">
        <f>'Inputs-Imperial'!E11</f>
        <v>0.18</v>
      </c>
      <c r="G32" s="562" t="s">
        <v>803</v>
      </c>
      <c r="BT32"/>
      <c r="CI32"/>
    </row>
    <row r="33" spans="1:219" x14ac:dyDescent="0.25">
      <c r="A33" s="567"/>
      <c r="F33" s="5"/>
      <c r="BT33"/>
      <c r="CI33"/>
    </row>
    <row r="34" spans="1:219" x14ac:dyDescent="0.25">
      <c r="A34" s="567"/>
      <c r="D34" s="4" t="s">
        <v>974</v>
      </c>
      <c r="F34" s="5"/>
      <c r="BT34"/>
      <c r="CI34"/>
    </row>
    <row r="35" spans="1:219" x14ac:dyDescent="0.25">
      <c r="A35" s="567"/>
      <c r="D35" s="562" t="s">
        <v>973</v>
      </c>
      <c r="F35" s="645">
        <f>'CANARD STRUCT'!F7</f>
        <v>21</v>
      </c>
      <c r="G35" s="2"/>
      <c r="BS35" s="352"/>
      <c r="BT35"/>
      <c r="CI35"/>
    </row>
    <row r="36" spans="1:219" x14ac:dyDescent="0.25">
      <c r="F36" s="5"/>
      <c r="G36" s="2"/>
      <c r="BT36"/>
      <c r="CI36"/>
    </row>
    <row r="37" spans="1:219" x14ac:dyDescent="0.25">
      <c r="D37" s="562" t="s">
        <v>981</v>
      </c>
      <c r="F37" s="651" t="e">
        <f>'CANARD STRUCT'!#REF!*3.28084</f>
        <v>#REF!</v>
      </c>
      <c r="G37" s="2" t="s">
        <v>1006</v>
      </c>
      <c r="H37" s="41" t="s">
        <v>987</v>
      </c>
      <c r="BT37"/>
      <c r="CI37"/>
    </row>
    <row r="38" spans="1:219" x14ac:dyDescent="0.25">
      <c r="D38" s="562" t="s">
        <v>729</v>
      </c>
      <c r="F38" s="651" t="e">
        <f>'CANARD STRUCT'!#REF!*3.28084</f>
        <v>#REF!</v>
      </c>
      <c r="G38" s="2" t="s">
        <v>1006</v>
      </c>
      <c r="BT38"/>
      <c r="CI38"/>
    </row>
    <row r="39" spans="1:219" x14ac:dyDescent="0.25">
      <c r="F39" s="5"/>
      <c r="BT39"/>
      <c r="CI39"/>
    </row>
    <row r="40" spans="1:219" ht="14.25" customHeight="1" x14ac:dyDescent="0.25">
      <c r="F40" s="5" t="s">
        <v>991</v>
      </c>
      <c r="BT40"/>
      <c r="CI40"/>
    </row>
    <row r="41" spans="1:219" x14ac:dyDescent="0.25">
      <c r="D41" s="562" t="s">
        <v>811</v>
      </c>
      <c r="F41" s="652">
        <f>'CANARD STRUCT'!F10</f>
        <v>10</v>
      </c>
      <c r="G41" t="s">
        <v>857</v>
      </c>
      <c r="AY41" s="637"/>
      <c r="BT41"/>
      <c r="CI41"/>
    </row>
    <row r="42" spans="1:219" x14ac:dyDescent="0.25">
      <c r="D42" s="562" t="s">
        <v>992</v>
      </c>
      <c r="F42" s="652">
        <f>'CANARD STRUCT'!F11</f>
        <v>0.01</v>
      </c>
      <c r="G42" t="s">
        <v>856</v>
      </c>
      <c r="BT42"/>
      <c r="CI42"/>
    </row>
    <row r="43" spans="1:219" x14ac:dyDescent="0.25">
      <c r="D43" s="562" t="s">
        <v>703</v>
      </c>
      <c r="F43" s="652">
        <f>'CANARD STRUCT'!F12</f>
        <v>2E-3</v>
      </c>
      <c r="AY43" s="207"/>
      <c r="BT43"/>
      <c r="CI43"/>
    </row>
    <row r="44" spans="1:219" x14ac:dyDescent="0.25">
      <c r="D44" s="562" t="s">
        <v>706</v>
      </c>
      <c r="F44" s="652">
        <f>'CANARD STRUCT'!F13</f>
        <v>2E-3</v>
      </c>
      <c r="BT44"/>
      <c r="CI44"/>
    </row>
    <row r="45" spans="1:219" x14ac:dyDescent="0.25">
      <c r="BT45"/>
      <c r="CI45"/>
    </row>
    <row r="46" spans="1:219" x14ac:dyDescent="0.25">
      <c r="AP46" s="2"/>
      <c r="BT46"/>
      <c r="CI46"/>
    </row>
    <row r="47" spans="1:219" x14ac:dyDescent="0.25">
      <c r="Q47" t="s">
        <v>942</v>
      </c>
      <c r="V47" t="s">
        <v>956</v>
      </c>
      <c r="AA47" t="s">
        <v>957</v>
      </c>
      <c r="AF47" t="s">
        <v>958</v>
      </c>
      <c r="AK47" t="s">
        <v>959</v>
      </c>
      <c r="AP47" t="s">
        <v>960</v>
      </c>
      <c r="AW47" s="2" t="s">
        <v>1006</v>
      </c>
      <c r="AX47" s="2" t="s">
        <v>1006</v>
      </c>
      <c r="AY47" s="2" t="s">
        <v>1006</v>
      </c>
      <c r="AZ47" s="2" t="s">
        <v>1014</v>
      </c>
      <c r="BA47" s="2" t="s">
        <v>1024</v>
      </c>
      <c r="BB47" s="2" t="s">
        <v>1024</v>
      </c>
      <c r="BC47" s="2" t="s">
        <v>1024</v>
      </c>
      <c r="BD47" s="2" t="s">
        <v>1024</v>
      </c>
      <c r="BE47" s="2" t="s">
        <v>1024</v>
      </c>
      <c r="BF47" s="2" t="s">
        <v>1024</v>
      </c>
      <c r="BG47" s="2"/>
      <c r="BH47" s="2" t="s">
        <v>1025</v>
      </c>
      <c r="BI47" s="2" t="s">
        <v>1025</v>
      </c>
      <c r="BJ47" s="2" t="s">
        <v>1016</v>
      </c>
      <c r="BK47" s="2" t="s">
        <v>1016</v>
      </c>
      <c r="BL47" s="2" t="s">
        <v>1013</v>
      </c>
      <c r="BM47" s="2" t="s">
        <v>1006</v>
      </c>
      <c r="BN47" s="2" t="s">
        <v>1006</v>
      </c>
      <c r="BO47" s="2" t="s">
        <v>1016</v>
      </c>
      <c r="BP47" s="2" t="s">
        <v>1016</v>
      </c>
      <c r="BQ47" s="2" t="s">
        <v>1013</v>
      </c>
      <c r="BR47" s="2" t="s">
        <v>1006</v>
      </c>
      <c r="BS47" s="2" t="s">
        <v>1006</v>
      </c>
      <c r="BT47" s="2" t="s">
        <v>1006</v>
      </c>
      <c r="BU47" s="2" t="s">
        <v>1006</v>
      </c>
      <c r="BV47" s="2" t="s">
        <v>1006</v>
      </c>
      <c r="BW47" s="2" t="s">
        <v>1006</v>
      </c>
      <c r="BX47" s="2" t="s">
        <v>1017</v>
      </c>
      <c r="BY47" s="2" t="s">
        <v>1017</v>
      </c>
      <c r="BZ47" s="2" t="s">
        <v>1006</v>
      </c>
      <c r="CA47" s="2" t="s">
        <v>1006</v>
      </c>
      <c r="CB47" s="2" t="s">
        <v>1018</v>
      </c>
      <c r="CC47" s="2" t="s">
        <v>1006</v>
      </c>
      <c r="CF47" s="2" t="s">
        <v>1006</v>
      </c>
      <c r="CH47" s="2" t="s">
        <v>1014</v>
      </c>
      <c r="CI47"/>
      <c r="CL47" t="s">
        <v>1019</v>
      </c>
      <c r="CN47" s="2" t="s">
        <v>1006</v>
      </c>
      <c r="CO47" s="2" t="s">
        <v>1006</v>
      </c>
      <c r="CP47" s="2" t="s">
        <v>1006</v>
      </c>
      <c r="CQ47" s="2" t="s">
        <v>1014</v>
      </c>
      <c r="CR47" s="2" t="s">
        <v>1024</v>
      </c>
      <c r="CS47" s="2" t="s">
        <v>1024</v>
      </c>
      <c r="CT47" s="2" t="s">
        <v>1024</v>
      </c>
      <c r="CU47" s="2" t="s">
        <v>1024</v>
      </c>
      <c r="CV47" s="2" t="s">
        <v>1024</v>
      </c>
      <c r="CW47" s="2" t="s">
        <v>1024</v>
      </c>
      <c r="CX47" s="2"/>
      <c r="CY47" s="2" t="s">
        <v>1025</v>
      </c>
      <c r="CZ47" s="2" t="s">
        <v>1025</v>
      </c>
      <c r="DA47" s="2" t="s">
        <v>1016</v>
      </c>
      <c r="DB47" s="2" t="s">
        <v>1016</v>
      </c>
      <c r="DC47" s="2" t="s">
        <v>1013</v>
      </c>
      <c r="DD47" s="2" t="s">
        <v>1006</v>
      </c>
      <c r="DE47" s="2" t="s">
        <v>1006</v>
      </c>
      <c r="DF47" s="2" t="s">
        <v>1016</v>
      </c>
      <c r="DG47" s="2" t="s">
        <v>1016</v>
      </c>
      <c r="DH47" s="2" t="s">
        <v>1013</v>
      </c>
      <c r="DI47" s="2" t="s">
        <v>1006</v>
      </c>
      <c r="DJ47" s="2" t="s">
        <v>1006</v>
      </c>
      <c r="DK47" s="2" t="s">
        <v>1006</v>
      </c>
      <c r="DL47" s="2" t="s">
        <v>1006</v>
      </c>
      <c r="DM47" s="2" t="s">
        <v>1006</v>
      </c>
      <c r="DN47" s="2" t="s">
        <v>1006</v>
      </c>
      <c r="DO47" s="2" t="s">
        <v>1017</v>
      </c>
      <c r="DP47" s="2" t="s">
        <v>1017</v>
      </c>
      <c r="DQ47" s="2" t="s">
        <v>1006</v>
      </c>
      <c r="DR47" s="2" t="s">
        <v>1006</v>
      </c>
      <c r="DS47" s="2" t="s">
        <v>1018</v>
      </c>
      <c r="DT47" s="2" t="s">
        <v>1006</v>
      </c>
      <c r="DW47" s="2" t="s">
        <v>1006</v>
      </c>
      <c r="DY47" s="2" t="s">
        <v>1014</v>
      </c>
      <c r="EC47" t="s">
        <v>1019</v>
      </c>
      <c r="EE47" s="2" t="s">
        <v>1006</v>
      </c>
      <c r="EF47" s="2" t="s">
        <v>1006</v>
      </c>
      <c r="EG47" s="2" t="s">
        <v>1006</v>
      </c>
      <c r="EH47" s="2" t="s">
        <v>1014</v>
      </c>
      <c r="EI47" s="2" t="s">
        <v>1024</v>
      </c>
      <c r="EJ47" s="2" t="s">
        <v>1024</v>
      </c>
      <c r="EK47" s="2" t="s">
        <v>1024</v>
      </c>
      <c r="EL47" s="2" t="s">
        <v>1024</v>
      </c>
      <c r="EM47" s="2" t="s">
        <v>1024</v>
      </c>
      <c r="EN47" s="2" t="s">
        <v>1024</v>
      </c>
      <c r="EO47" s="2"/>
      <c r="EP47" s="2" t="s">
        <v>1025</v>
      </c>
      <c r="EQ47" s="2" t="s">
        <v>1025</v>
      </c>
      <c r="ER47" s="2" t="s">
        <v>1016</v>
      </c>
      <c r="ES47" s="2" t="s">
        <v>1016</v>
      </c>
      <c r="ET47" s="2" t="s">
        <v>1013</v>
      </c>
      <c r="EU47" s="2" t="s">
        <v>1006</v>
      </c>
      <c r="EV47" s="2" t="s">
        <v>1006</v>
      </c>
      <c r="EW47" s="2" t="s">
        <v>1016</v>
      </c>
      <c r="EX47" s="2" t="s">
        <v>1016</v>
      </c>
      <c r="EY47" s="2" t="s">
        <v>1013</v>
      </c>
      <c r="EZ47" s="2" t="s">
        <v>1006</v>
      </c>
      <c r="FA47" s="2" t="s">
        <v>1006</v>
      </c>
      <c r="FB47" s="2" t="s">
        <v>1006</v>
      </c>
      <c r="FC47" s="2" t="s">
        <v>1006</v>
      </c>
      <c r="FD47" s="2" t="s">
        <v>1006</v>
      </c>
      <c r="FE47" s="2" t="s">
        <v>1006</v>
      </c>
      <c r="FF47" s="2" t="s">
        <v>1017</v>
      </c>
      <c r="FG47" s="2" t="s">
        <v>1017</v>
      </c>
      <c r="FH47" s="2" t="s">
        <v>1006</v>
      </c>
      <c r="FI47" s="2" t="s">
        <v>1006</v>
      </c>
      <c r="FJ47" s="2" t="s">
        <v>1018</v>
      </c>
      <c r="FK47" s="2" t="s">
        <v>1006</v>
      </c>
      <c r="FN47" s="2" t="s">
        <v>1006</v>
      </c>
      <c r="FP47" s="2" t="s">
        <v>1014</v>
      </c>
      <c r="FT47" t="s">
        <v>1019</v>
      </c>
      <c r="FV47" s="2" t="s">
        <v>1006</v>
      </c>
      <c r="FW47" s="2" t="s">
        <v>1006</v>
      </c>
      <c r="FX47" s="2" t="s">
        <v>1006</v>
      </c>
      <c r="FY47" s="2" t="s">
        <v>1014</v>
      </c>
      <c r="FZ47" s="2" t="s">
        <v>1024</v>
      </c>
      <c r="GA47" s="2" t="s">
        <v>1024</v>
      </c>
      <c r="GB47" s="2" t="s">
        <v>1024</v>
      </c>
      <c r="GC47" s="2" t="s">
        <v>1024</v>
      </c>
      <c r="GD47" s="2" t="s">
        <v>1024</v>
      </c>
      <c r="GE47" s="2" t="s">
        <v>1024</v>
      </c>
      <c r="GF47" s="2"/>
      <c r="GG47" s="2" t="s">
        <v>1025</v>
      </c>
      <c r="GH47" s="2" t="s">
        <v>1025</v>
      </c>
      <c r="GI47" s="2" t="s">
        <v>1016</v>
      </c>
      <c r="GJ47" s="2" t="s">
        <v>1016</v>
      </c>
      <c r="GK47" s="2" t="s">
        <v>1013</v>
      </c>
      <c r="GL47" s="2" t="s">
        <v>1006</v>
      </c>
      <c r="GM47" s="2" t="s">
        <v>1006</v>
      </c>
      <c r="GN47" s="2" t="s">
        <v>1016</v>
      </c>
      <c r="GO47" s="2" t="s">
        <v>1016</v>
      </c>
      <c r="GP47" s="2" t="s">
        <v>1013</v>
      </c>
      <c r="GQ47" s="2" t="s">
        <v>1006</v>
      </c>
      <c r="GR47" s="2" t="s">
        <v>1006</v>
      </c>
      <c r="GS47" s="2" t="s">
        <v>1006</v>
      </c>
      <c r="GT47" s="2" t="s">
        <v>1006</v>
      </c>
      <c r="GU47" s="2" t="s">
        <v>1006</v>
      </c>
      <c r="GV47" s="2" t="s">
        <v>1006</v>
      </c>
      <c r="GW47" s="2" t="s">
        <v>1017</v>
      </c>
      <c r="GX47" s="2" t="s">
        <v>1017</v>
      </c>
      <c r="GY47" s="2" t="s">
        <v>1006</v>
      </c>
      <c r="GZ47" s="2" t="s">
        <v>1006</v>
      </c>
      <c r="HA47" s="2" t="s">
        <v>1018</v>
      </c>
      <c r="HB47" s="2" t="s">
        <v>1006</v>
      </c>
      <c r="HE47" s="2" t="s">
        <v>1006</v>
      </c>
      <c r="HG47" s="2" t="s">
        <v>1014</v>
      </c>
      <c r="HK47" t="s">
        <v>1019</v>
      </c>
    </row>
    <row r="48" spans="1:219" x14ac:dyDescent="0.25">
      <c r="A48" s="583" t="s">
        <v>885</v>
      </c>
      <c r="B48" s="654"/>
      <c r="C48" s="584"/>
      <c r="D48" s="584"/>
      <c r="E48" s="584"/>
      <c r="F48" s="655"/>
      <c r="G48" s="584"/>
      <c r="H48" s="584"/>
      <c r="I48" s="584"/>
      <c r="J48" s="585"/>
      <c r="K48" s="656" t="s">
        <v>920</v>
      </c>
      <c r="L48" s="657"/>
      <c r="M48" s="657"/>
      <c r="N48" s="657"/>
      <c r="O48" s="658"/>
      <c r="P48" s="580"/>
      <c r="Q48" s="583" t="s">
        <v>883</v>
      </c>
      <c r="R48" s="584"/>
      <c r="S48" s="584"/>
      <c r="T48" s="584"/>
      <c r="U48" s="585"/>
      <c r="V48" s="583" t="s">
        <v>884</v>
      </c>
      <c r="W48" s="584"/>
      <c r="X48" s="584"/>
      <c r="Y48" s="584"/>
      <c r="Z48" s="585"/>
      <c r="AA48" s="583" t="s">
        <v>909</v>
      </c>
      <c r="AB48" s="584"/>
      <c r="AC48" s="584"/>
      <c r="AD48" s="584"/>
      <c r="AE48" s="585"/>
      <c r="AF48" s="583" t="s">
        <v>910</v>
      </c>
      <c r="AG48" s="584"/>
      <c r="AH48" s="584"/>
      <c r="AI48" s="584"/>
      <c r="AJ48" s="585"/>
      <c r="AK48" s="583" t="s">
        <v>947</v>
      </c>
      <c r="AL48" s="584"/>
      <c r="AM48" s="584"/>
      <c r="AN48" s="584"/>
      <c r="AO48" s="585"/>
      <c r="AP48" s="583" t="s">
        <v>948</v>
      </c>
      <c r="AQ48" s="584"/>
      <c r="AR48" s="584"/>
      <c r="AS48" s="584"/>
      <c r="AT48" s="585"/>
      <c r="AU48" s="594"/>
      <c r="AV48" s="614" t="s">
        <v>914</v>
      </c>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610"/>
      <c r="CC48" s="610"/>
      <c r="CD48" s="610"/>
      <c r="CE48" s="610"/>
      <c r="CF48" s="610"/>
      <c r="CG48" s="610"/>
      <c r="CH48" s="610"/>
      <c r="CI48" s="610"/>
      <c r="CJ48" s="610"/>
      <c r="CK48" s="610"/>
      <c r="CL48" s="611"/>
      <c r="CM48" s="654" t="s">
        <v>919</v>
      </c>
      <c r="CN48" s="584"/>
      <c r="CO48" s="584"/>
      <c r="CP48" s="584"/>
      <c r="CQ48" s="584"/>
      <c r="CR48" s="584"/>
      <c r="CS48" s="584"/>
      <c r="CT48" s="584"/>
      <c r="CU48" s="584"/>
      <c r="CV48" s="584"/>
      <c r="CW48" s="584"/>
      <c r="CX48" s="584"/>
      <c r="CY48" s="584"/>
      <c r="CZ48" s="584"/>
      <c r="DA48" s="584"/>
      <c r="DB48" s="584"/>
      <c r="DC48" s="584"/>
      <c r="DD48" s="584"/>
      <c r="DE48" s="584"/>
      <c r="DF48" s="584"/>
      <c r="DG48" s="584"/>
      <c r="DH48" s="584"/>
      <c r="DI48" s="584"/>
      <c r="DJ48" s="584"/>
      <c r="DK48" s="584"/>
      <c r="DL48" s="584"/>
      <c r="DM48" s="584"/>
      <c r="DN48" s="584"/>
      <c r="DO48" s="584"/>
      <c r="DP48" s="584"/>
      <c r="DQ48" s="584"/>
      <c r="DR48" s="584"/>
      <c r="DS48" s="584"/>
      <c r="DT48" s="584"/>
      <c r="DU48" s="584"/>
      <c r="DV48" s="584"/>
      <c r="DW48" s="584"/>
      <c r="DX48" s="584"/>
      <c r="DY48" s="584"/>
      <c r="DZ48" s="584"/>
      <c r="EA48" s="584"/>
      <c r="EB48" s="584"/>
      <c r="EC48" s="585"/>
      <c r="ED48" s="583" t="s">
        <v>922</v>
      </c>
      <c r="EE48" s="584"/>
      <c r="EF48" s="584"/>
      <c r="EG48" s="584"/>
      <c r="EH48" s="584"/>
      <c r="EI48" s="584"/>
      <c r="EJ48" s="584"/>
      <c r="EK48" s="584"/>
      <c r="EL48" s="584"/>
      <c r="EM48" s="584"/>
      <c r="EN48" s="584"/>
      <c r="EO48" s="584"/>
      <c r="EP48" s="584"/>
      <c r="EQ48" s="584"/>
      <c r="ER48" s="584"/>
      <c r="ES48" s="584"/>
      <c r="ET48" s="584"/>
      <c r="EU48" s="584"/>
      <c r="EV48" s="584"/>
      <c r="EW48" s="584"/>
      <c r="EX48" s="584"/>
      <c r="EY48" s="584"/>
      <c r="EZ48" s="584"/>
      <c r="FA48" s="584"/>
      <c r="FB48" s="584"/>
      <c r="FC48" s="584"/>
      <c r="FD48" s="584"/>
      <c r="FE48" s="584"/>
      <c r="FF48" s="584"/>
      <c r="FG48" s="584"/>
      <c r="FH48" s="584"/>
      <c r="FI48" s="584"/>
      <c r="FJ48" s="584"/>
      <c r="FK48" s="584"/>
      <c r="FL48" s="584"/>
      <c r="FM48" s="584"/>
      <c r="FN48" s="584"/>
      <c r="FO48" s="584"/>
      <c r="FP48" s="584"/>
      <c r="FQ48" s="584"/>
      <c r="FR48" s="584"/>
      <c r="FS48" s="584"/>
      <c r="FT48" s="585"/>
      <c r="FU48" s="583" t="s">
        <v>923</v>
      </c>
      <c r="FV48" s="584"/>
      <c r="FW48" s="584"/>
      <c r="FX48" s="584"/>
      <c r="FY48" s="584"/>
      <c r="FZ48" s="584"/>
      <c r="GA48" s="584"/>
      <c r="GB48" s="584"/>
      <c r="GC48" s="584"/>
      <c r="GD48" s="584"/>
      <c r="GE48" s="584"/>
      <c r="GF48" s="584"/>
      <c r="GG48" s="584"/>
      <c r="GH48" s="584"/>
      <c r="GI48" s="584"/>
      <c r="GJ48" s="584"/>
      <c r="GK48" s="584"/>
      <c r="GL48" s="584"/>
      <c r="GM48" s="584"/>
      <c r="GN48" s="584"/>
      <c r="GO48" s="584"/>
      <c r="GP48" s="584"/>
      <c r="GQ48" s="584"/>
      <c r="GR48" s="584"/>
      <c r="GS48" s="584"/>
      <c r="GT48" s="584"/>
      <c r="GU48" s="584"/>
      <c r="GV48" s="584"/>
      <c r="GW48" s="584"/>
      <c r="GX48" s="584"/>
      <c r="GY48" s="584"/>
      <c r="GZ48" s="584"/>
      <c r="HA48" s="584"/>
      <c r="HB48" s="584"/>
      <c r="HC48" s="584"/>
      <c r="HD48" s="584"/>
      <c r="HE48" s="584"/>
      <c r="HF48" s="584"/>
      <c r="HG48" s="584"/>
      <c r="HH48" s="584"/>
      <c r="HI48" s="584"/>
      <c r="HJ48" s="584"/>
      <c r="HK48" s="585"/>
    </row>
    <row r="49" spans="1:219" x14ac:dyDescent="0.25">
      <c r="A49" s="575" t="s">
        <v>886</v>
      </c>
      <c r="E49" s="14" t="s">
        <v>995</v>
      </c>
      <c r="F49" s="14" t="s">
        <v>996</v>
      </c>
      <c r="G49" s="14" t="s">
        <v>997</v>
      </c>
      <c r="I49" s="809" t="s">
        <v>994</v>
      </c>
      <c r="J49" s="576"/>
      <c r="K49" s="562" t="s">
        <v>917</v>
      </c>
      <c r="L49" s="562" t="s">
        <v>915</v>
      </c>
      <c r="M49" s="562" t="s">
        <v>918</v>
      </c>
      <c r="N49" s="562" t="s">
        <v>916</v>
      </c>
      <c r="O49" s="640" t="s">
        <v>65</v>
      </c>
      <c r="P49" s="580"/>
      <c r="Q49" s="680" t="s">
        <v>797</v>
      </c>
      <c r="R49" s="615" t="s">
        <v>798</v>
      </c>
      <c r="S49" s="615" t="s">
        <v>799</v>
      </c>
      <c r="T49" s="615" t="s">
        <v>912</v>
      </c>
      <c r="U49" s="582" t="s">
        <v>804</v>
      </c>
      <c r="V49" s="581" t="s">
        <v>797</v>
      </c>
      <c r="W49" s="571" t="s">
        <v>798</v>
      </c>
      <c r="X49" s="571" t="s">
        <v>799</v>
      </c>
      <c r="Y49" s="571" t="s">
        <v>912</v>
      </c>
      <c r="Z49" s="582" t="s">
        <v>804</v>
      </c>
      <c r="AA49" s="581" t="s">
        <v>797</v>
      </c>
      <c r="AB49" s="571" t="s">
        <v>798</v>
      </c>
      <c r="AC49" s="571" t="s">
        <v>799</v>
      </c>
      <c r="AD49" s="571" t="s">
        <v>912</v>
      </c>
      <c r="AE49" s="582" t="s">
        <v>804</v>
      </c>
      <c r="AF49" s="581" t="s">
        <v>797</v>
      </c>
      <c r="AG49" s="571" t="s">
        <v>798</v>
      </c>
      <c r="AH49" s="571" t="s">
        <v>799</v>
      </c>
      <c r="AI49" s="571" t="s">
        <v>912</v>
      </c>
      <c r="AJ49" s="582" t="s">
        <v>804</v>
      </c>
      <c r="AK49" s="581" t="s">
        <v>797</v>
      </c>
      <c r="AL49" s="571" t="s">
        <v>798</v>
      </c>
      <c r="AM49" s="571" t="s">
        <v>799</v>
      </c>
      <c r="AN49" s="571" t="s">
        <v>912</v>
      </c>
      <c r="AO49" s="582" t="s">
        <v>804</v>
      </c>
      <c r="AP49" s="581" t="s">
        <v>797</v>
      </c>
      <c r="AQ49" s="571" t="s">
        <v>798</v>
      </c>
      <c r="AR49" s="571" t="s">
        <v>799</v>
      </c>
      <c r="AS49" s="571" t="s">
        <v>912</v>
      </c>
      <c r="AT49" s="582" t="s">
        <v>804</v>
      </c>
      <c r="AU49" s="594"/>
      <c r="AV49" s="608" t="s">
        <v>616</v>
      </c>
      <c r="AW49" s="609" t="s">
        <v>646</v>
      </c>
      <c r="AX49" s="609" t="s">
        <v>648</v>
      </c>
      <c r="AY49" s="609" t="s">
        <v>650</v>
      </c>
      <c r="AZ49" s="609" t="s">
        <v>652</v>
      </c>
      <c r="BA49" s="609" t="s">
        <v>655</v>
      </c>
      <c r="BB49" s="609" t="s">
        <v>659</v>
      </c>
      <c r="BC49" s="609" t="s">
        <v>661</v>
      </c>
      <c r="BD49" s="609" t="s">
        <v>663</v>
      </c>
      <c r="BE49" s="609" t="s">
        <v>665</v>
      </c>
      <c r="BF49" s="609" t="s">
        <v>667</v>
      </c>
      <c r="BG49" s="609" t="s">
        <v>608</v>
      </c>
      <c r="BH49" s="609" t="s">
        <v>670</v>
      </c>
      <c r="BI49" s="609" t="s">
        <v>672</v>
      </c>
      <c r="BJ49" s="609" t="s">
        <v>674</v>
      </c>
      <c r="BK49" s="609" t="s">
        <v>676</v>
      </c>
      <c r="BL49" s="609" t="s">
        <v>678</v>
      </c>
      <c r="BM49" s="609" t="s">
        <v>681</v>
      </c>
      <c r="BN49" s="609" t="s">
        <v>683</v>
      </c>
      <c r="BO49" s="609" t="s">
        <v>685</v>
      </c>
      <c r="BP49" s="609" t="s">
        <v>687</v>
      </c>
      <c r="BQ49" s="609" t="s">
        <v>689</v>
      </c>
      <c r="BR49" s="609" t="s">
        <v>691</v>
      </c>
      <c r="BS49" s="609" t="s">
        <v>693</v>
      </c>
      <c r="BT49" s="609" t="s">
        <v>695</v>
      </c>
      <c r="BU49" s="609" t="s">
        <v>697</v>
      </c>
      <c r="BV49" s="609" t="s">
        <v>699</v>
      </c>
      <c r="BW49" s="609" t="s">
        <v>701</v>
      </c>
      <c r="BX49" s="609" t="s">
        <v>703</v>
      </c>
      <c r="BY49" s="609" t="s">
        <v>706</v>
      </c>
      <c r="BZ49" s="609" t="s">
        <v>708</v>
      </c>
      <c r="CA49" s="609" t="s">
        <v>710</v>
      </c>
      <c r="CB49" s="609" t="s">
        <v>712</v>
      </c>
      <c r="CC49" s="609" t="s">
        <v>716</v>
      </c>
      <c r="CD49" s="609" t="s">
        <v>718</v>
      </c>
      <c r="CE49" s="609" t="s">
        <v>720</v>
      </c>
      <c r="CF49" s="609" t="s">
        <v>722</v>
      </c>
      <c r="CG49" s="609" t="s">
        <v>725</v>
      </c>
      <c r="CH49" s="609" t="s">
        <v>727</v>
      </c>
      <c r="CI49" s="609" t="s">
        <v>729</v>
      </c>
      <c r="CJ49" s="609" t="s">
        <v>731</v>
      </c>
      <c r="CK49" s="609" t="s">
        <v>733</v>
      </c>
      <c r="CL49" s="613" t="s">
        <v>735</v>
      </c>
      <c r="CM49" s="14" t="s">
        <v>616</v>
      </c>
      <c r="CN49" s="4" t="s">
        <v>646</v>
      </c>
      <c r="CO49" s="4" t="s">
        <v>648</v>
      </c>
      <c r="CP49" s="4" t="s">
        <v>650</v>
      </c>
      <c r="CQ49" s="4" t="s">
        <v>652</v>
      </c>
      <c r="CR49" s="4" t="s">
        <v>655</v>
      </c>
      <c r="CS49" s="4" t="s">
        <v>659</v>
      </c>
      <c r="CT49" s="4" t="s">
        <v>661</v>
      </c>
      <c r="CU49" s="4" t="s">
        <v>663</v>
      </c>
      <c r="CV49" s="4" t="s">
        <v>665</v>
      </c>
      <c r="CW49" s="4" t="s">
        <v>667</v>
      </c>
      <c r="CX49" s="4" t="s">
        <v>608</v>
      </c>
      <c r="CY49" s="4" t="s">
        <v>670</v>
      </c>
      <c r="CZ49" s="4" t="s">
        <v>672</v>
      </c>
      <c r="DA49" s="4" t="s">
        <v>674</v>
      </c>
      <c r="DB49" s="4" t="s">
        <v>676</v>
      </c>
      <c r="DC49" s="4" t="s">
        <v>678</v>
      </c>
      <c r="DD49" s="4" t="s">
        <v>681</v>
      </c>
      <c r="DE49" s="4" t="s">
        <v>683</v>
      </c>
      <c r="DF49" s="4" t="s">
        <v>685</v>
      </c>
      <c r="DG49" s="4" t="s">
        <v>687</v>
      </c>
      <c r="DH49" s="4" t="s">
        <v>689</v>
      </c>
      <c r="DI49" s="4" t="s">
        <v>691</v>
      </c>
      <c r="DJ49" s="4" t="s">
        <v>693</v>
      </c>
      <c r="DK49" s="4" t="s">
        <v>695</v>
      </c>
      <c r="DL49" s="4" t="s">
        <v>697</v>
      </c>
      <c r="DM49" s="4" t="s">
        <v>699</v>
      </c>
      <c r="DN49" s="4" t="s">
        <v>701</v>
      </c>
      <c r="DO49" s="4" t="s">
        <v>703</v>
      </c>
      <c r="DP49" s="4" t="s">
        <v>706</v>
      </c>
      <c r="DQ49" s="4" t="s">
        <v>708</v>
      </c>
      <c r="DR49" s="4" t="s">
        <v>710</v>
      </c>
      <c r="DS49" s="4" t="s">
        <v>712</v>
      </c>
      <c r="DT49" s="4" t="s">
        <v>716</v>
      </c>
      <c r="DU49" s="4" t="s">
        <v>718</v>
      </c>
      <c r="DV49" s="4" t="s">
        <v>720</v>
      </c>
      <c r="DW49" s="4" t="s">
        <v>722</v>
      </c>
      <c r="DX49" s="4" t="s">
        <v>725</v>
      </c>
      <c r="DY49" s="4" t="s">
        <v>727</v>
      </c>
      <c r="DZ49" s="4" t="s">
        <v>729</v>
      </c>
      <c r="EA49" s="4" t="s">
        <v>731</v>
      </c>
      <c r="EB49" s="4" t="s">
        <v>733</v>
      </c>
      <c r="EC49" s="4" t="s">
        <v>735</v>
      </c>
      <c r="ED49" s="612" t="s">
        <v>616</v>
      </c>
      <c r="EE49" s="609" t="s">
        <v>646</v>
      </c>
      <c r="EF49" s="609" t="s">
        <v>648</v>
      </c>
      <c r="EG49" s="609" t="s">
        <v>650</v>
      </c>
      <c r="EH49" s="609" t="s">
        <v>652</v>
      </c>
      <c r="EI49" s="4" t="s">
        <v>655</v>
      </c>
      <c r="EJ49" s="4" t="s">
        <v>659</v>
      </c>
      <c r="EK49" s="4" t="s">
        <v>661</v>
      </c>
      <c r="EL49" s="4" t="s">
        <v>663</v>
      </c>
      <c r="EM49" s="4" t="s">
        <v>665</v>
      </c>
      <c r="EN49" s="4" t="s">
        <v>667</v>
      </c>
      <c r="EO49" s="4" t="s">
        <v>608</v>
      </c>
      <c r="EP49" s="4" t="s">
        <v>670</v>
      </c>
      <c r="EQ49" s="4" t="s">
        <v>672</v>
      </c>
      <c r="ER49" s="609" t="s">
        <v>674</v>
      </c>
      <c r="ES49" s="609" t="s">
        <v>676</v>
      </c>
      <c r="ET49" s="609" t="s">
        <v>678</v>
      </c>
      <c r="EU49" s="609" t="s">
        <v>681</v>
      </c>
      <c r="EV49" s="609" t="s">
        <v>683</v>
      </c>
      <c r="EW49" s="609" t="s">
        <v>685</v>
      </c>
      <c r="EX49" s="609" t="s">
        <v>687</v>
      </c>
      <c r="EY49" s="609" t="s">
        <v>689</v>
      </c>
      <c r="EZ49" s="609" t="s">
        <v>691</v>
      </c>
      <c r="FA49" s="609" t="s">
        <v>693</v>
      </c>
      <c r="FB49" s="609" t="s">
        <v>695</v>
      </c>
      <c r="FC49" s="609" t="s">
        <v>697</v>
      </c>
      <c r="FD49" s="609" t="s">
        <v>699</v>
      </c>
      <c r="FE49" s="609" t="s">
        <v>701</v>
      </c>
      <c r="FF49" s="609" t="s">
        <v>703</v>
      </c>
      <c r="FG49" s="609" t="s">
        <v>706</v>
      </c>
      <c r="FH49" s="609" t="s">
        <v>708</v>
      </c>
      <c r="FI49" s="609" t="s">
        <v>710</v>
      </c>
      <c r="FJ49" s="609" t="s">
        <v>712</v>
      </c>
      <c r="FK49" s="609" t="s">
        <v>716</v>
      </c>
      <c r="FL49" s="609" t="s">
        <v>718</v>
      </c>
      <c r="FM49" s="609" t="s">
        <v>720</v>
      </c>
      <c r="FN49" s="609" t="s">
        <v>722</v>
      </c>
      <c r="FO49" s="609" t="s">
        <v>725</v>
      </c>
      <c r="FP49" s="609" t="s">
        <v>727</v>
      </c>
      <c r="FQ49" s="609" t="s">
        <v>729</v>
      </c>
      <c r="FR49" s="609" t="s">
        <v>731</v>
      </c>
      <c r="FS49" s="609" t="s">
        <v>733</v>
      </c>
      <c r="FT49" s="609" t="s">
        <v>735</v>
      </c>
      <c r="FU49" s="612" t="s">
        <v>616</v>
      </c>
      <c r="FV49" s="609" t="s">
        <v>646</v>
      </c>
      <c r="FW49" s="609" t="s">
        <v>648</v>
      </c>
      <c r="FX49" s="609" t="s">
        <v>650</v>
      </c>
      <c r="FY49" s="609" t="s">
        <v>652</v>
      </c>
      <c r="FZ49" s="609" t="s">
        <v>655</v>
      </c>
      <c r="GA49" s="609" t="s">
        <v>659</v>
      </c>
      <c r="GB49" s="609" t="s">
        <v>661</v>
      </c>
      <c r="GC49" s="609" t="s">
        <v>663</v>
      </c>
      <c r="GD49" s="609" t="s">
        <v>665</v>
      </c>
      <c r="GE49" s="609" t="s">
        <v>667</v>
      </c>
      <c r="GF49" s="609" t="s">
        <v>608</v>
      </c>
      <c r="GG49" s="609" t="s">
        <v>670</v>
      </c>
      <c r="GH49" s="609" t="s">
        <v>672</v>
      </c>
      <c r="GI49" s="609" t="s">
        <v>674</v>
      </c>
      <c r="GJ49" s="609" t="s">
        <v>676</v>
      </c>
      <c r="GK49" s="609" t="s">
        <v>678</v>
      </c>
      <c r="GL49" s="609" t="s">
        <v>681</v>
      </c>
      <c r="GM49" s="609" t="s">
        <v>683</v>
      </c>
      <c r="GN49" s="609" t="s">
        <v>685</v>
      </c>
      <c r="GO49" s="609" t="s">
        <v>687</v>
      </c>
      <c r="GP49" s="609" t="s">
        <v>689</v>
      </c>
      <c r="GQ49" s="609" t="s">
        <v>691</v>
      </c>
      <c r="GR49" s="609" t="s">
        <v>693</v>
      </c>
      <c r="GS49" s="609" t="s">
        <v>695</v>
      </c>
      <c r="GT49" s="609" t="s">
        <v>697</v>
      </c>
      <c r="GU49" s="609" t="s">
        <v>699</v>
      </c>
      <c r="GV49" s="609" t="s">
        <v>701</v>
      </c>
      <c r="GW49" s="609" t="s">
        <v>703</v>
      </c>
      <c r="GX49" s="609" t="s">
        <v>706</v>
      </c>
      <c r="GY49" s="609" t="s">
        <v>708</v>
      </c>
      <c r="GZ49" s="609" t="s">
        <v>710</v>
      </c>
      <c r="HA49" s="609" t="s">
        <v>712</v>
      </c>
      <c r="HB49" s="609" t="s">
        <v>716</v>
      </c>
      <c r="HC49" s="609" t="s">
        <v>718</v>
      </c>
      <c r="HD49" s="609" t="s">
        <v>720</v>
      </c>
      <c r="HE49" s="609" t="s">
        <v>722</v>
      </c>
      <c r="HF49" s="609" t="s">
        <v>725</v>
      </c>
      <c r="HG49" s="609" t="s">
        <v>727</v>
      </c>
      <c r="HH49" s="609" t="s">
        <v>729</v>
      </c>
      <c r="HI49" s="609" t="s">
        <v>731</v>
      </c>
      <c r="HJ49" s="609" t="s">
        <v>733</v>
      </c>
      <c r="HK49" s="613" t="s">
        <v>735</v>
      </c>
    </row>
    <row r="50" spans="1:219" x14ac:dyDescent="0.25">
      <c r="A50" s="809" t="s">
        <v>888</v>
      </c>
      <c r="E50" s="662" t="e">
        <f>'CANARD STRUCT'!#REF!*3.28084</f>
        <v>#REF!</v>
      </c>
      <c r="F50" s="662" t="e">
        <f>'CANARD STRUCT'!#REF!*3.28084</f>
        <v>#REF!</v>
      </c>
      <c r="G50" s="662" t="e">
        <f>'CANARD STRUCT'!#REF!*3.28084</f>
        <v>#REF!</v>
      </c>
      <c r="H50" s="4" t="s">
        <v>924</v>
      </c>
      <c r="I50" s="809"/>
      <c r="K50" s="575">
        <v>1</v>
      </c>
      <c r="L50" s="626" t="e">
        <f ca="1">R51/MAX(AX50:AX100) *MAX(AV50:AV100)</f>
        <v>#REF!</v>
      </c>
      <c r="M50">
        <v>5</v>
      </c>
      <c r="N50" t="e">
        <f>MAX(Q50:Q51)</f>
        <v>#REF!</v>
      </c>
      <c r="O50" s="576">
        <v>0</v>
      </c>
      <c r="P50" s="580"/>
      <c r="Q50" s="638" t="e">
        <f>'CANARD STRUCT'!#REF!*3.28084</f>
        <v>#REF!</v>
      </c>
      <c r="R50" s="584" t="e">
        <f>'CANARD STRUCT'!#REF!*3.28084</f>
        <v>#REF!</v>
      </c>
      <c r="S50" s="584" t="e">
        <f>'CANARD STRUCT'!#REF!*3.28084</f>
        <v>#REF!</v>
      </c>
      <c r="T50" s="584" t="e">
        <f>'CANARD STRUCT'!#REF!*3.28084</f>
        <v>#REF!</v>
      </c>
      <c r="U50" s="607">
        <v>0</v>
      </c>
      <c r="V50" s="638" t="e">
        <f>'CANARD STRUCT'!#REF!*3.28084</f>
        <v>#REF!</v>
      </c>
      <c r="W50" s="584" t="e">
        <f>'CANARD STRUCT'!#REF!*3.28084</f>
        <v>#REF!</v>
      </c>
      <c r="X50" s="584" t="e">
        <f>'CANARD STRUCT'!#REF!*3.28084</f>
        <v>#REF!</v>
      </c>
      <c r="Y50" s="606" t="e">
        <f>F23</f>
        <v>#REF!</v>
      </c>
      <c r="Z50" s="607">
        <v>0</v>
      </c>
      <c r="AA50" s="638" t="e">
        <f>'CANARD STRUCT'!#REF!*3.28084</f>
        <v>#REF!</v>
      </c>
      <c r="AB50" s="584" t="e">
        <f>'CANARD STRUCT'!#REF!*3.28084</f>
        <v>#REF!</v>
      </c>
      <c r="AC50" s="584" t="e">
        <f>'CANARD STRUCT'!#REF!*3.28084</f>
        <v>#REF!</v>
      </c>
      <c r="AD50" s="606" t="e">
        <f>F23</f>
        <v>#REF!</v>
      </c>
      <c r="AE50" s="607">
        <v>0</v>
      </c>
      <c r="AF50" s="638" t="e">
        <f>'CANARD STRUCT'!#REF!*3.28084</f>
        <v>#REF!</v>
      </c>
      <c r="AG50" s="584" t="e">
        <f>'CANARD STRUCT'!#REF!*3.28084</f>
        <v>#REF!</v>
      </c>
      <c r="AH50" s="584" t="e">
        <f>'CANARD STRUCT'!#REF!*3.28084</f>
        <v>#REF!</v>
      </c>
      <c r="AI50" s="606" t="e">
        <f>F23</f>
        <v>#REF!</v>
      </c>
      <c r="AJ50" s="607">
        <v>0</v>
      </c>
      <c r="AK50" s="638" t="e">
        <f>'CANARD STRUCT'!#REF!*3.28084</f>
        <v>#REF!</v>
      </c>
      <c r="AL50" s="584" t="e">
        <f>'CANARD STRUCT'!#REF!*3.28084</f>
        <v>#REF!</v>
      </c>
      <c r="AM50" s="584" t="e">
        <f>'CANARD STRUCT'!#REF!*3.28084</f>
        <v>#REF!</v>
      </c>
      <c r="AN50" s="606" t="e">
        <f>F23</f>
        <v>#REF!</v>
      </c>
      <c r="AO50" s="607">
        <v>0</v>
      </c>
      <c r="AP50" s="638" t="e">
        <f>'CANARD STRUCT'!#REF!*3.28084</f>
        <v>#REF!</v>
      </c>
      <c r="AQ50" s="584" t="e">
        <f>'CANARD STRUCT'!#REF!*3.28084</f>
        <v>#REF!</v>
      </c>
      <c r="AR50" s="584" t="e">
        <f>'CANARD STRUCT'!#REF!*3.28084</f>
        <v>#REF!</v>
      </c>
      <c r="AS50" s="606" t="e">
        <f>F23</f>
        <v>#REF!</v>
      </c>
      <c r="AT50" s="607">
        <v>0</v>
      </c>
      <c r="AU50" s="594"/>
      <c r="AV50" s="574">
        <f ca="1">100*(AX50-$AX$50)/(MAX($AX$50:INDEX(($AX$50:$AX$150),$F$35+1,1))-MIN($AX$50:INDEX(($AX$50:$AX$150),$F$35+1,1)))</f>
        <v>0</v>
      </c>
      <c r="AW50" s="659">
        <f ca="1">OFFSET('Trapezoidal Wing Summary'!C$45,((ROW('Trapezoidal Wing Summary'!$A45)-ROW('Trapezoidal Wing Summary'!$A$45))*100/$F$35),0)+$F$15</f>
        <v>10.409657157255999</v>
      </c>
      <c r="AX50" s="659">
        <f ca="1">OFFSET('Trapezoidal Wing Summary'!D$45,((ROW('Trapezoidal Wing Summary'!$A45)-ROW('Trapezoidal Wing Summary'!$A$45))*100/$F$35),0)+$F$16</f>
        <v>0</v>
      </c>
      <c r="AY50" s="659">
        <f ca="1">OFFSET('Trapezoidal Wing Summary'!E$45,((ROW('Trapezoidal Wing Summary'!$A45)-ROW('Trapezoidal Wing Summary'!$A$45))*100/$F$35),0)+$F$17</f>
        <v>12.850247130368</v>
      </c>
      <c r="AZ50" s="41">
        <f ca="1">OFFSET('Trapezoidal Wing Summary'!F$45,((ROW('Trapezoidal Wing Summary'!$A45)-ROW('Trapezoidal Wing Summary'!$A$45))*100/$F$35),0)</f>
        <v>0</v>
      </c>
      <c r="BA50" s="41">
        <f ca="1">OFFSET('Trapezoidal Wing Summary'!G$45,((ROW('Trapezoidal Wing Summary'!$A45)-ROW('Trapezoidal Wing Summary'!$A$45))*100/$F$35),0)</f>
        <v>262052.17141507467</v>
      </c>
      <c r="BB50" s="41">
        <f ca="1">OFFSET('Trapezoidal Wing Summary'!H$45,((ROW('Trapezoidal Wing Summary'!$A45)-ROW('Trapezoidal Wing Summary'!$A$45))*100/$F$35),0)</f>
        <v>228442.69724356313</v>
      </c>
      <c r="BC50" s="41">
        <f ca="1">OFFSET('Trapezoidal Wing Summary'!I$45,((ROW('Trapezoidal Wing Summary'!$A45)-ROW('Trapezoidal Wing Summary'!$A$45))*100/$F$35),0)</f>
        <v>0</v>
      </c>
      <c r="BD50" s="41">
        <f ca="1">OFFSET('Trapezoidal Wing Summary'!J$45,((ROW('Trapezoidal Wing Summary'!$A45)-ROW('Trapezoidal Wing Summary'!$A$45))*100/$F$35),0)</f>
        <v>0</v>
      </c>
      <c r="BE50" s="41">
        <f ca="1">OFFSET('Trapezoidal Wing Summary'!K$45,((ROW('Trapezoidal Wing Summary'!$A45)-ROW('Trapezoidal Wing Summary'!$A$45))*100/$F$35),0)</f>
        <v>0</v>
      </c>
      <c r="BF50" s="41">
        <f ca="1">OFFSET('Trapezoidal Wing Summary'!L$45,((ROW('Trapezoidal Wing Summary'!$A45)-ROW('Trapezoidal Wing Summary'!$A$45))*100/$F$35),0)</f>
        <v>3881429.0622416171</v>
      </c>
      <c r="BG50" s="41">
        <f ca="1">OFFSET('Trapezoidal Wing Summary'!M$45,((ROW('Trapezoidal Wing Summary'!$A45)-ROW('Trapezoidal Wing Summary'!$A$45))*100/$F$35),0)</f>
        <v>0</v>
      </c>
      <c r="BH50" s="41">
        <f ca="1">OFFSET('Trapezoidal Wing Summary'!N$45,((ROW('Trapezoidal Wing Summary'!$A45)-ROW('Trapezoidal Wing Summary'!$A$45))*100/$F$35),0)</f>
        <v>0</v>
      </c>
      <c r="BI50" s="41">
        <f ca="1">OFFSET('Trapezoidal Wing Summary'!O$45,((ROW('Trapezoidal Wing Summary'!$A45)-ROW('Trapezoidal Wing Summary'!$A$45))*100/$F$35),0)</f>
        <v>0</v>
      </c>
      <c r="BJ50" s="41">
        <f ca="1">OFFSET('Trapezoidal Wing Summary'!P$45,((ROW('Trapezoidal Wing Summary'!$A45)-ROW('Trapezoidal Wing Summary'!$A$45))*100/$F$35),0)</f>
        <v>0</v>
      </c>
      <c r="BK50" s="41">
        <f ca="1">OFFSET('Trapezoidal Wing Summary'!Q$45,((ROW('Trapezoidal Wing Summary'!$A45)-ROW('Trapezoidal Wing Summary'!$A$45))*100/$F$35),0)</f>
        <v>0</v>
      </c>
      <c r="BL50" s="41">
        <f ca="1">OFFSET('Trapezoidal Wing Summary'!R$45,((ROW('Trapezoidal Wing Summary'!$A45)-ROW('Trapezoidal Wing Summary'!$A$45))*100/$F$35),0)</f>
        <v>3.4710670762196592</v>
      </c>
      <c r="BM50" s="41">
        <f ca="1">OFFSET('Trapezoidal Wing Summary'!S$45,((ROW('Trapezoidal Wing Summary'!$A45)-ROW('Trapezoidal Wing Summary'!$A$45))*100/$F$35),0)</f>
        <v>0.39367348423389248</v>
      </c>
      <c r="BN50" s="41">
        <f ca="1">OFFSET('Trapezoidal Wing Summary'!T$45,((ROW('Trapezoidal Wing Summary'!$A45)-ROW('Trapezoidal Wing Summary'!$A$45))*100/$F$35),0)</f>
        <v>0</v>
      </c>
      <c r="BO50" s="41">
        <f ca="1">OFFSET('Trapezoidal Wing Summary'!U$45,((ROW('Trapezoidal Wing Summary'!$A45)-ROW('Trapezoidal Wing Summary'!$A$45))*100/$F$35),0)</f>
        <v>0</v>
      </c>
      <c r="BP50" s="41">
        <f ca="1">OFFSET('Trapezoidal Wing Summary'!V$45,((ROW('Trapezoidal Wing Summary'!$A45)-ROW('Trapezoidal Wing Summary'!$A$45))*100/$F$35),0)</f>
        <v>0</v>
      </c>
      <c r="BQ50" s="41">
        <f ca="1">OFFSET('Trapezoidal Wing Summary'!W$45,((ROW('Trapezoidal Wing Summary'!$A45)-ROW('Trapezoidal Wing Summary'!$A$45))*100/$F$35),0)</f>
        <v>0</v>
      </c>
      <c r="BR50" s="41">
        <f ca="1">OFFSET('Trapezoidal Wing Summary'!X$45,((ROW('Trapezoidal Wing Summary'!$A45)-ROW('Trapezoidal Wing Summary'!$A$45))*100/$F$35),0)</f>
        <v>0</v>
      </c>
      <c r="BS50" s="41">
        <f ca="1">OFFSET('Trapezoidal Wing Summary'!Y$45,((ROW('Trapezoidal Wing Summary'!$A45)-ROW('Trapezoidal Wing Summary'!$A$45))*100/$F$35),0)</f>
        <v>0</v>
      </c>
      <c r="BT50" s="41">
        <f ca="1">OFFSET('Trapezoidal Wing Summary'!Z$45,((ROW('Trapezoidal Wing Summary'!$A45)-ROW('Trapezoidal Wing Summary'!$A$45))*100/$F$35),0)</f>
        <v>0.19193087158651834</v>
      </c>
      <c r="BU50" s="41">
        <f ca="1">OFFSET('Trapezoidal Wing Summary'!AA$45,((ROW('Trapezoidal Wing Summary'!$A45)-ROW('Trapezoidal Wing Summary'!$A$45))*100/$F$35),0)</f>
        <v>0</v>
      </c>
      <c r="BV50" s="41">
        <f ca="1">OFFSET('Trapezoidal Wing Summary'!AB$45,((ROW('Trapezoidal Wing Summary'!$A45)-ROW('Trapezoidal Wing Summary'!$A$45))*100/$F$35),0)</f>
        <v>0</v>
      </c>
      <c r="BW50" s="41">
        <f ca="1">OFFSET('Trapezoidal Wing Summary'!AC$45,((ROW('Trapezoidal Wing Summary'!$A45)-ROW('Trapezoidal Wing Summary'!$A$45))*100/$F$35),0)</f>
        <v>0</v>
      </c>
      <c r="BX50" s="41">
        <f ca="1">OFFSET('Trapezoidal Wing Summary'!AD$45,((ROW('Trapezoidal Wing Summary'!$A45)-ROW('Trapezoidal Wing Summary'!$A$45))*100/$F$35),0)</f>
        <v>2E-3</v>
      </c>
      <c r="BY50" s="41">
        <f ca="1">OFFSET('Trapezoidal Wing Summary'!AE$45,((ROW('Trapezoidal Wing Summary'!$A45)-ROW('Trapezoidal Wing Summary'!$A$45))*100/$F$35),0)</f>
        <v>2E-3</v>
      </c>
      <c r="BZ50" s="41">
        <f ca="1">OFFSET('Trapezoidal Wing Summary'!AF$45,((ROW('Trapezoidal Wing Summary'!$A45)-ROW('Trapezoidal Wing Summary'!$A$45))*100/$F$35),0)</f>
        <v>0</v>
      </c>
      <c r="CA50" s="41">
        <f ca="1">OFFSET('Trapezoidal Wing Summary'!AG$45,((ROW('Trapezoidal Wing Summary'!$A45)-ROW('Trapezoidal Wing Summary'!$A$45))*100/$F$35),0)</f>
        <v>0.19192914</v>
      </c>
      <c r="CB50" s="41">
        <f ca="1">OFFSET('Trapezoidal Wing Summary'!AH$45,((ROW('Trapezoidal Wing Summary'!$A45)-ROW('Trapezoidal Wing Summary'!$A$45))*100/$F$35),0)</f>
        <v>1.1864973329460205E-3</v>
      </c>
      <c r="CC50" s="41">
        <f ca="1">OFFSET('Trapezoidal Wing Summary'!AI$45,((ROW('Trapezoidal Wing Summary'!$A45)-ROW('Trapezoidal Wing Summary'!$A$45))*100/$F$35),0)</f>
        <v>0</v>
      </c>
      <c r="CD50" s="41">
        <f>'REF - ASWING AERO-Imperial'!$R$5</f>
        <v>5.4999999999999997E-3</v>
      </c>
      <c r="CE50" s="41">
        <f>'REF - ASWING AERO-Imperial'!$R$6</f>
        <v>5.4999999999999997E-3</v>
      </c>
      <c r="CF50" s="41">
        <f ca="1">OFFSET('Trapezoidal Wing Summary'!AL$45,((ROW('Trapezoidal Wing Summary'!$A45)-ROW('Trapezoidal Wing Summary'!$A$45))*100/$F$35),0)</f>
        <v>2.1325460000000001</v>
      </c>
      <c r="CG50" s="41">
        <f ca="1">OFFSET('Trapezoidal Wing Summary'!AM$45,((ROW('Trapezoidal Wing Summary'!$A45)-ROW('Trapezoidal Wing Summary'!$A$45))*100/$F$35),0)</f>
        <v>0.25</v>
      </c>
      <c r="CH50" s="41">
        <f ca="1">OFFSET('Trapezoidal Wing Summary'!AN$45,((ROW('Trapezoidal Wing Summary'!$A45)-ROW('Trapezoidal Wing Summary'!$A$45))*100/$F$35),0)</f>
        <v>5.9</v>
      </c>
      <c r="CI50" s="41">
        <f ca="1">OFFSET('Trapezoidal Wing Summary'!AO$45,((ROW('Trapezoidal Wing Summary'!$A45)-ROW('Trapezoidal Wing Summary'!$A$45))*100/$F$35),0)</f>
        <v>-0.15</v>
      </c>
      <c r="CJ50" s="41">
        <f ca="1">OFFSET('Trapezoidal Wing Summary'!AP$45,((ROW('Trapezoidal Wing Summary'!$A45)-ROW('Trapezoidal Wing Summary'!$A$45))*100/$F$35),0)</f>
        <v>2.25</v>
      </c>
      <c r="CK50" s="41">
        <f ca="1">OFFSET('Trapezoidal Wing Summary'!AQ$45,((ROW('Trapezoidal Wing Summary'!$A45)-ROW('Trapezoidal Wing Summary'!$A$45))*100/$F$35),0)</f>
        <v>-1.65</v>
      </c>
      <c r="CL50" s="660">
        <f ca="1">OFFSET('Trapezoidal Wing Summary'!AR$45,((ROW('Trapezoidal Wing Summary'!$A45)-ROW('Trapezoidal Wing Summary'!$A$45))*100/$F$35),0)</f>
        <v>5.9690260418206069</v>
      </c>
      <c r="CM50" s="643" t="e">
        <f>'CANARD STRUCT'!#REF!</f>
        <v>#REF!</v>
      </c>
      <c r="CN50" s="683" t="e">
        <f>'CANARD STRUCT'!#REF!*3.28084</f>
        <v>#REF!</v>
      </c>
      <c r="CO50" s="683" t="e">
        <f>'CANARD STRUCT'!#REF!*3.28084</f>
        <v>#REF!</v>
      </c>
      <c r="CP50" s="683" t="e">
        <f>'CANARD STRUCT'!#REF!*3.28084</f>
        <v>#REF!</v>
      </c>
      <c r="CQ50" s="683" t="e">
        <f>'CANARD STRUCT'!#REF!</f>
        <v>#REF!</v>
      </c>
      <c r="CR50" s="684" t="e">
        <f>'CANARD STRUCT'!#REF!*0.224809*3.28084^2</f>
        <v>#REF!</v>
      </c>
      <c r="CS50" s="684" t="e">
        <f>'CANARD STRUCT'!#REF!*0.224809*3.28084^2</f>
        <v>#REF!</v>
      </c>
      <c r="CT50" s="684" t="e">
        <f>'CANARD STRUCT'!#REF!*0.224809*3.28084^2</f>
        <v>#REF!</v>
      </c>
      <c r="CU50" s="684" t="e">
        <f>'CANARD STRUCT'!#REF!*0.224809*3.28084^2</f>
        <v>#REF!</v>
      </c>
      <c r="CV50" s="684" t="e">
        <f>'CANARD STRUCT'!#REF!*0.224809*3.28084^2</f>
        <v>#REF!</v>
      </c>
      <c r="CW50" s="684" t="e">
        <f>'CANARD STRUCT'!#REF!*0.224809*3.28084^2</f>
        <v>#REF!</v>
      </c>
      <c r="CX50" s="683" t="e">
        <f>'CANARD STRUCT'!#REF!</f>
        <v>#REF!</v>
      </c>
      <c r="CY50" s="683" t="e">
        <f>'CANARD STRUCT'!#REF!*0.224809</f>
        <v>#REF!</v>
      </c>
      <c r="CZ50" s="683" t="e">
        <f>'CANARD STRUCT'!#REF!*0.224809</f>
        <v>#REF!</v>
      </c>
      <c r="DA50" s="683" t="e">
        <f>'CANARD STRUCT'!#REF!*2.20462*3.28084</f>
        <v>#REF!</v>
      </c>
      <c r="DB50" s="683" t="e">
        <f>'CANARD STRUCT'!#REF!*2.20462*3.28084</f>
        <v>#REF!</v>
      </c>
      <c r="DC50" s="683" t="e">
        <f>'CANARD STRUCT'!#REF!*2.20462/3.28084</f>
        <v>#REF!</v>
      </c>
      <c r="DD50" s="683" t="e">
        <f>'CANARD STRUCT'!#REF!*3.28084</f>
        <v>#REF!</v>
      </c>
      <c r="DE50" s="683" t="e">
        <f>'CANARD STRUCT'!#REF!*3.28084</f>
        <v>#REF!</v>
      </c>
      <c r="DF50" s="683" t="e">
        <f>'CANARD STRUCT'!#REF!*2.20462*3.28084</f>
        <v>#REF!</v>
      </c>
      <c r="DG50" s="683" t="e">
        <f>'CANARD STRUCT'!#REF!*2.20462*3.28084</f>
        <v>#REF!</v>
      </c>
      <c r="DH50" s="683" t="e">
        <f>'CANARD STRUCT'!#REF!*2.20462/3.28084</f>
        <v>#REF!</v>
      </c>
      <c r="DI50" s="683" t="e">
        <f>'CANARD STRUCT'!#REF!*3.28084</f>
        <v>#REF!</v>
      </c>
      <c r="DJ50" s="683" t="e">
        <f>'CANARD STRUCT'!#REF!*3.28084</f>
        <v>#REF!</v>
      </c>
      <c r="DK50" s="683" t="e">
        <f>'CANARD STRUCT'!#REF!*3.28084</f>
        <v>#REF!</v>
      </c>
      <c r="DL50" s="683" t="e">
        <f>'CANARD STRUCT'!#REF!*3.28084</f>
        <v>#REF!</v>
      </c>
      <c r="DM50" s="683" t="e">
        <f>'CANARD STRUCT'!#REF!*3.28084</f>
        <v>#REF!</v>
      </c>
      <c r="DN50" s="683" t="e">
        <f>'CANARD STRUCT'!#REF!*3.28084</f>
        <v>#REF!</v>
      </c>
      <c r="DO50" s="683" t="e">
        <f>'CANARD STRUCT'!#REF!</f>
        <v>#REF!</v>
      </c>
      <c r="DP50" s="683" t="e">
        <f>'CANARD STRUCT'!#REF!</f>
        <v>#REF!</v>
      </c>
      <c r="DQ50" s="683" t="e">
        <f>'CANARD STRUCT'!#REF!*3.28084</f>
        <v>#REF!</v>
      </c>
      <c r="DR50" s="683" t="e">
        <f>'CANARD STRUCT'!#REF!*3.28084</f>
        <v>#REF!</v>
      </c>
      <c r="DS50" s="683" t="e">
        <f>'CANARD STRUCT'!#REF!*3.28084^3</f>
        <v>#REF!</v>
      </c>
      <c r="DT50" s="683" t="e">
        <f>'CANARD STRUCT'!#REF!*3.28084</f>
        <v>#REF!</v>
      </c>
      <c r="DU50" s="683" t="e">
        <f>'CANARD STRUCT'!#REF!</f>
        <v>#REF!</v>
      </c>
      <c r="DV50" s="683" t="e">
        <f>'CANARD STRUCT'!#REF!</f>
        <v>#REF!</v>
      </c>
      <c r="DW50" s="683" t="e">
        <f>'CANARD STRUCT'!#REF!*3.28084</f>
        <v>#REF!</v>
      </c>
      <c r="DX50" s="683" t="e">
        <f>'CANARD STRUCT'!#REF!</f>
        <v>#REF!</v>
      </c>
      <c r="DY50" s="683" t="e">
        <f>'CANARD STRUCT'!#REF!</f>
        <v>#REF!</v>
      </c>
      <c r="DZ50" s="683" t="e">
        <f>'CANARD STRUCT'!#REF!</f>
        <v>#REF!</v>
      </c>
      <c r="EA50" s="683" t="e">
        <f>'CANARD STRUCT'!#REF!</f>
        <v>#REF!</v>
      </c>
      <c r="EB50" s="683" t="e">
        <f>'CANARD STRUCT'!#REF!</f>
        <v>#REF!</v>
      </c>
      <c r="EC50" s="682" t="e">
        <f>'CANARD STRUCT'!#REF!</f>
        <v>#REF!</v>
      </c>
      <c r="ED50" s="686" t="e">
        <f>'CANARD STRUCT'!#REF!</f>
        <v>#REF!</v>
      </c>
      <c r="EE50" s="687" t="e">
        <f>'CANARD STRUCT'!#REF!*3.28084</f>
        <v>#REF!</v>
      </c>
      <c r="EF50" s="687" t="e">
        <f>'CANARD STRUCT'!#REF!*3.28084</f>
        <v>#REF!</v>
      </c>
      <c r="EG50" s="687" t="e">
        <f>'CANARD STRUCT'!#REF!*3.28084</f>
        <v>#REF!</v>
      </c>
      <c r="EH50" s="687" t="e">
        <f>'CANARD STRUCT'!#REF!</f>
        <v>#REF!</v>
      </c>
      <c r="EI50" s="688" t="e">
        <f>'CANARD STRUCT'!#REF!*0.224809*3.28084^2</f>
        <v>#REF!</v>
      </c>
      <c r="EJ50" s="688" t="e">
        <f>'CANARD STRUCT'!#REF!*0.224809*3.28084^2</f>
        <v>#REF!</v>
      </c>
      <c r="EK50" s="688" t="e">
        <f>'CANARD STRUCT'!#REF!*0.224809*3.28084^2</f>
        <v>#REF!</v>
      </c>
      <c r="EL50" s="688" t="e">
        <f>'CANARD STRUCT'!#REF!*0.224809*3.28084^2</f>
        <v>#REF!</v>
      </c>
      <c r="EM50" s="688" t="e">
        <f>'CANARD STRUCT'!#REF!*0.224809*3.28084^2</f>
        <v>#REF!</v>
      </c>
      <c r="EN50" s="688" t="e">
        <f>'CANARD STRUCT'!#REF!*0.224809*3.28084^2</f>
        <v>#REF!</v>
      </c>
      <c r="EO50" s="687" t="e">
        <f>'CANARD STRUCT'!#REF!</f>
        <v>#REF!</v>
      </c>
      <c r="EP50" s="688" t="e">
        <f>'CANARD STRUCT'!#REF!*0.224809</f>
        <v>#REF!</v>
      </c>
      <c r="EQ50" s="688" t="e">
        <f>'CANARD STRUCT'!#REF!*0.224809</f>
        <v>#REF!</v>
      </c>
      <c r="ER50" s="687" t="e">
        <f>'CANARD STRUCT'!#REF!*2.20462*3.28084</f>
        <v>#REF!</v>
      </c>
      <c r="ES50" s="687" t="e">
        <f>'CANARD STRUCT'!#REF!*2.20462*3.28084</f>
        <v>#REF!</v>
      </c>
      <c r="ET50" s="687" t="e">
        <f>'CANARD STRUCT'!#REF!*2.20462/3.28084</f>
        <v>#REF!</v>
      </c>
      <c r="EU50" s="687" t="e">
        <f>'CANARD STRUCT'!#REF!*3.28084</f>
        <v>#REF!</v>
      </c>
      <c r="EV50" s="687" t="e">
        <f>'CANARD STRUCT'!#REF!*3.28084</f>
        <v>#REF!</v>
      </c>
      <c r="EW50" s="687" t="e">
        <f>'CANARD STRUCT'!#REF!*2.20462*3.28084</f>
        <v>#REF!</v>
      </c>
      <c r="EX50" s="687" t="e">
        <f>'CANARD STRUCT'!#REF!*2.20462*3.28084</f>
        <v>#REF!</v>
      </c>
      <c r="EY50" s="687" t="e">
        <f>'CANARD STRUCT'!#REF!*2.20462/3.28084</f>
        <v>#REF!</v>
      </c>
      <c r="EZ50" s="687" t="e">
        <f>'CANARD STRUCT'!#REF!*3.28084</f>
        <v>#REF!</v>
      </c>
      <c r="FA50" s="687" t="e">
        <f>'CANARD STRUCT'!#REF!*3.28084</f>
        <v>#REF!</v>
      </c>
      <c r="FB50" s="687" t="e">
        <f>'CANARD STRUCT'!#REF!*3.28084</f>
        <v>#REF!</v>
      </c>
      <c r="FC50" s="687" t="e">
        <f>'CANARD STRUCT'!#REF!*3.28084</f>
        <v>#REF!</v>
      </c>
      <c r="FD50" s="687" t="e">
        <f>'CANARD STRUCT'!#REF!*3.28084</f>
        <v>#REF!</v>
      </c>
      <c r="FE50" s="687" t="e">
        <f>'CANARD STRUCT'!#REF!*3.28084</f>
        <v>#REF!</v>
      </c>
      <c r="FF50" s="687" t="e">
        <f>'CANARD STRUCT'!#REF!</f>
        <v>#REF!</v>
      </c>
      <c r="FG50" s="687" t="e">
        <f>'CANARD STRUCT'!#REF!</f>
        <v>#REF!</v>
      </c>
      <c r="FH50" s="687" t="e">
        <f>'CANARD STRUCT'!#REF!*3.28084</f>
        <v>#REF!</v>
      </c>
      <c r="FI50" s="687" t="e">
        <f>'CANARD STRUCT'!#REF!*3.28084</f>
        <v>#REF!</v>
      </c>
      <c r="FJ50" s="687" t="e">
        <f>'CANARD STRUCT'!#REF!*3.28084^3</f>
        <v>#REF!</v>
      </c>
      <c r="FK50" s="687" t="e">
        <f>'CANARD STRUCT'!#REF!*3.28084</f>
        <v>#REF!</v>
      </c>
      <c r="FL50" s="687" t="e">
        <f>'CANARD STRUCT'!#REF!</f>
        <v>#REF!</v>
      </c>
      <c r="FM50" s="687" t="e">
        <f>'CANARD STRUCT'!#REF!</f>
        <v>#REF!</v>
      </c>
      <c r="FN50" s="687" t="e">
        <f>'CANARD STRUCT'!#REF!*3.28084</f>
        <v>#REF!</v>
      </c>
      <c r="FO50" s="687" t="e">
        <f>'CANARD STRUCT'!#REF!</f>
        <v>#REF!</v>
      </c>
      <c r="FP50" s="687" t="e">
        <f>'CANARD STRUCT'!#REF!</f>
        <v>#REF!</v>
      </c>
      <c r="FQ50" s="687" t="e">
        <f>'CANARD STRUCT'!#REF!</f>
        <v>#REF!</v>
      </c>
      <c r="FR50" s="687" t="e">
        <f>'CANARD STRUCT'!#REF!</f>
        <v>#REF!</v>
      </c>
      <c r="FS50" s="687" t="e">
        <f>'CANARD STRUCT'!#REF!</f>
        <v>#REF!</v>
      </c>
      <c r="FT50" s="689" t="e">
        <f>'CANARD STRUCT'!#REF!</f>
        <v>#REF!</v>
      </c>
      <c r="FU50" s="686" t="e">
        <f>'CANARD STRUCT'!#REF!</f>
        <v>#REF!</v>
      </c>
      <c r="FV50" s="687" t="e">
        <f>'CANARD STRUCT'!#REF!*3.28084</f>
        <v>#REF!</v>
      </c>
      <c r="FW50" s="687" t="e">
        <f>'CANARD STRUCT'!#REF!*3.28084</f>
        <v>#REF!</v>
      </c>
      <c r="FX50" s="687" t="e">
        <f>'CANARD STRUCT'!#REF!*3.28084</f>
        <v>#REF!</v>
      </c>
      <c r="FY50" s="687" t="e">
        <f>'CANARD STRUCT'!#REF!</f>
        <v>#REF!</v>
      </c>
      <c r="FZ50" s="688" t="e">
        <f>'CANARD STRUCT'!#REF!*0.224809*3.28084^2</f>
        <v>#REF!</v>
      </c>
      <c r="GA50" s="688" t="e">
        <f>'CANARD STRUCT'!#REF!*0.224809*3.28084^2</f>
        <v>#REF!</v>
      </c>
      <c r="GB50" s="688" t="e">
        <f>'CANARD STRUCT'!#REF!*0.224809*3.28084^2</f>
        <v>#REF!</v>
      </c>
      <c r="GC50" s="688" t="e">
        <f>'CANARD STRUCT'!#REF!*0.224809*3.28084^2</f>
        <v>#REF!</v>
      </c>
      <c r="GD50" s="688" t="e">
        <f>'CANARD STRUCT'!#REF!*0.224809*3.28084^2</f>
        <v>#REF!</v>
      </c>
      <c r="GE50" s="688" t="e">
        <f>'CANARD STRUCT'!#REF!*0.224809*3.28084^2</f>
        <v>#REF!</v>
      </c>
      <c r="GF50" s="687" t="e">
        <f>'CANARD STRUCT'!#REF!</f>
        <v>#REF!</v>
      </c>
      <c r="GG50" s="688" t="e">
        <f>'CANARD STRUCT'!#REF!*0.224809</f>
        <v>#REF!</v>
      </c>
      <c r="GH50" s="688" t="e">
        <f>'CANARD STRUCT'!#REF!*0.224809</f>
        <v>#REF!</v>
      </c>
      <c r="GI50" s="687" t="e">
        <f>'CANARD STRUCT'!#REF!*2.20462*3.28084</f>
        <v>#REF!</v>
      </c>
      <c r="GJ50" s="687" t="e">
        <f>'CANARD STRUCT'!#REF!*2.20462*3.28084</f>
        <v>#REF!</v>
      </c>
      <c r="GK50" s="687" t="e">
        <f>'CANARD STRUCT'!#REF!*2.20462/3.28084</f>
        <v>#REF!</v>
      </c>
      <c r="GL50" s="687" t="e">
        <f>'CANARD STRUCT'!#REF!*3.28084</f>
        <v>#REF!</v>
      </c>
      <c r="GM50" s="687" t="e">
        <f>'CANARD STRUCT'!#REF!*3.28084</f>
        <v>#REF!</v>
      </c>
      <c r="GN50" s="687" t="e">
        <f>'CANARD STRUCT'!#REF!*2.20462*3.28084</f>
        <v>#REF!</v>
      </c>
      <c r="GO50" s="687" t="e">
        <f>'CANARD STRUCT'!#REF!*2.20462*3.28084</f>
        <v>#REF!</v>
      </c>
      <c r="GP50" s="687" t="e">
        <f>'CANARD STRUCT'!#REF!*2.20462/3.28084</f>
        <v>#REF!</v>
      </c>
      <c r="GQ50" s="687" t="e">
        <f>'CANARD STRUCT'!#REF!*3.28084</f>
        <v>#REF!</v>
      </c>
      <c r="GR50" s="687" t="e">
        <f>'CANARD STRUCT'!#REF!*3.28084</f>
        <v>#REF!</v>
      </c>
      <c r="GS50" s="687" t="e">
        <f>'CANARD STRUCT'!#REF!*3.28084</f>
        <v>#REF!</v>
      </c>
      <c r="GT50" s="687" t="e">
        <f>'CANARD STRUCT'!#REF!*3.28084</f>
        <v>#REF!</v>
      </c>
      <c r="GU50" s="687" t="e">
        <f>'CANARD STRUCT'!#REF!*3.28084</f>
        <v>#REF!</v>
      </c>
      <c r="GV50" s="687" t="e">
        <f>'CANARD STRUCT'!#REF!*3.28084</f>
        <v>#REF!</v>
      </c>
      <c r="GW50" s="687" t="e">
        <f>'CANARD STRUCT'!#REF!</f>
        <v>#REF!</v>
      </c>
      <c r="GX50" s="687" t="e">
        <f>'CANARD STRUCT'!#REF!</f>
        <v>#REF!</v>
      </c>
      <c r="GY50" s="687" t="e">
        <f>'CANARD STRUCT'!#REF!*3.28084</f>
        <v>#REF!</v>
      </c>
      <c r="GZ50" s="687" t="e">
        <f>'CANARD STRUCT'!#REF!*3.28084</f>
        <v>#REF!</v>
      </c>
      <c r="HA50" s="687" t="e">
        <f>'CANARD STRUCT'!#REF!*3.28084^3</f>
        <v>#REF!</v>
      </c>
      <c r="HB50" s="687" t="e">
        <f>'CANARD STRUCT'!#REF!*3.28084</f>
        <v>#REF!</v>
      </c>
      <c r="HC50" s="687" t="e">
        <f>'CANARD STRUCT'!#REF!</f>
        <v>#REF!</v>
      </c>
      <c r="HD50" s="687" t="e">
        <f>'CANARD STRUCT'!#REF!</f>
        <v>#REF!</v>
      </c>
      <c r="HE50" s="687" t="e">
        <f>'CANARD STRUCT'!#REF!*3.28084</f>
        <v>#REF!</v>
      </c>
      <c r="HF50" s="687" t="e">
        <f>'CANARD STRUCT'!#REF!</f>
        <v>#REF!</v>
      </c>
      <c r="HG50" s="687" t="e">
        <f>'CANARD STRUCT'!#REF!</f>
        <v>#REF!</v>
      </c>
      <c r="HH50" s="687" t="e">
        <f>'CANARD STRUCT'!#REF!</f>
        <v>#REF!</v>
      </c>
      <c r="HI50" s="687" t="e">
        <f>'CANARD STRUCT'!#REF!</f>
        <v>#REF!</v>
      </c>
      <c r="HJ50" s="687" t="e">
        <f>'CANARD STRUCT'!#REF!</f>
        <v>#REF!</v>
      </c>
      <c r="HK50" s="689" t="e">
        <f>'CANARD STRUCT'!#REF!</f>
        <v>#REF!</v>
      </c>
    </row>
    <row r="51" spans="1:219" x14ac:dyDescent="0.25">
      <c r="A51" s="809"/>
      <c r="B51" s="668" t="s">
        <v>998</v>
      </c>
      <c r="C51" s="668" t="s">
        <v>999</v>
      </c>
      <c r="D51" s="668" t="s">
        <v>1000</v>
      </c>
      <c r="E51" s="608" t="s">
        <v>797</v>
      </c>
      <c r="F51" s="608" t="s">
        <v>798</v>
      </c>
      <c r="G51" s="608" t="s">
        <v>799</v>
      </c>
      <c r="H51" s="568" t="s">
        <v>911</v>
      </c>
      <c r="I51" s="625" t="s">
        <v>941</v>
      </c>
      <c r="J51" s="568" t="s">
        <v>946</v>
      </c>
      <c r="K51" s="575">
        <v>1</v>
      </c>
      <c r="L51" s="626" t="e">
        <f ca="1">W51/MAX(AX50:AX100) *MAX(AV50:AV100)</f>
        <v>#REF!</v>
      </c>
      <c r="M51">
        <v>6</v>
      </c>
      <c r="N51" t="e">
        <f>MAX(V50:V51)</f>
        <v>#REF!</v>
      </c>
      <c r="O51" s="576">
        <v>0</v>
      </c>
      <c r="P51" s="580"/>
      <c r="Q51" s="605" t="e">
        <f>'CANARD STRUCT'!#REF!*3.28084</f>
        <v>#REF!</v>
      </c>
      <c r="R51" s="606" t="e">
        <f>'CANARD STRUCT'!#REF!*3.28084</f>
        <v>#REF!</v>
      </c>
      <c r="S51" s="606" t="e">
        <f>'CANARD STRUCT'!#REF!*3.28084</f>
        <v>#REF!</v>
      </c>
      <c r="T51" s="606" t="e">
        <f>'CANARD STRUCT'!#REF!*3.28084</f>
        <v>#REF!</v>
      </c>
      <c r="U51" s="607">
        <v>0</v>
      </c>
      <c r="V51" s="605" t="e">
        <f>'CANARD STRUCT'!#REF!*3.28084</f>
        <v>#REF!</v>
      </c>
      <c r="W51" s="606" t="e">
        <f>'CANARD STRUCT'!#REF!*3.28084</f>
        <v>#REF!</v>
      </c>
      <c r="X51" s="606" t="e">
        <f>'CANARD STRUCT'!#REF!*3.28084</f>
        <v>#REF!</v>
      </c>
      <c r="Y51" s="606" t="e">
        <f>F23</f>
        <v>#REF!</v>
      </c>
      <c r="Z51" s="607">
        <v>0</v>
      </c>
      <c r="AA51" s="605" t="e">
        <f>'CANARD STRUCT'!#REF!*3.28084</f>
        <v>#REF!</v>
      </c>
      <c r="AB51" s="606" t="e">
        <f>'CANARD STRUCT'!#REF!*3.28084</f>
        <v>#REF!</v>
      </c>
      <c r="AC51" s="606" t="e">
        <f>'CANARD STRUCT'!#REF!*3.28084</f>
        <v>#REF!</v>
      </c>
      <c r="AD51" s="606" t="e">
        <f>F23</f>
        <v>#REF!</v>
      </c>
      <c r="AE51" s="607">
        <v>0</v>
      </c>
      <c r="AF51" s="605" t="e">
        <f>'CANARD STRUCT'!#REF!*3.28084</f>
        <v>#REF!</v>
      </c>
      <c r="AG51" s="606" t="e">
        <f>'CANARD STRUCT'!#REF!*3.28084</f>
        <v>#REF!</v>
      </c>
      <c r="AH51" s="606" t="e">
        <f>'CANARD STRUCT'!#REF!*3.28084</f>
        <v>#REF!</v>
      </c>
      <c r="AI51" s="606" t="e">
        <f>F23</f>
        <v>#REF!</v>
      </c>
      <c r="AJ51" s="607">
        <v>0</v>
      </c>
      <c r="AK51" s="605" t="e">
        <f>'CANARD STRUCT'!#REF!*3.28084</f>
        <v>#REF!</v>
      </c>
      <c r="AL51" s="606" t="e">
        <f>'CANARD STRUCT'!#REF!*3.28084</f>
        <v>#REF!</v>
      </c>
      <c r="AM51" s="606" t="e">
        <f>'CANARD STRUCT'!#REF!*3.28084</f>
        <v>#REF!</v>
      </c>
      <c r="AN51" s="606" t="e">
        <f>F23</f>
        <v>#REF!</v>
      </c>
      <c r="AO51" s="607">
        <v>0</v>
      </c>
      <c r="AP51" s="605" t="e">
        <f>'CANARD STRUCT'!#REF!*3.28084</f>
        <v>#REF!</v>
      </c>
      <c r="AQ51" s="606" t="e">
        <f>'CANARD STRUCT'!#REF!*3.28084</f>
        <v>#REF!</v>
      </c>
      <c r="AR51" s="606" t="e">
        <f>'CANARD STRUCT'!#REF!*3.28084</f>
        <v>#REF!</v>
      </c>
      <c r="AS51" s="606" t="e">
        <f>F23</f>
        <v>#REF!</v>
      </c>
      <c r="AT51" s="607">
        <v>0</v>
      </c>
      <c r="AU51" s="594"/>
      <c r="AV51" s="574">
        <f ca="1">100*(AX51-$AX$50)/(MAX($AX$50:INDEX(($AX$50:$AX$150),$F$35+1,1))-MIN($AX$50:INDEX(($AX$50:$AX$150),$F$35+1,1)))</f>
        <v>4</v>
      </c>
      <c r="AW51" s="659">
        <f ca="1">OFFSET('Trapezoidal Wing Summary'!C$45,((ROW('Trapezoidal Wing Summary'!$A46)-ROW('Trapezoidal Wing Summary'!$A$45))*100/$F$35),0)+$F$15</f>
        <v>10.419499677255999</v>
      </c>
      <c r="AX51" s="659">
        <f ca="1">OFFSET('Trapezoidal Wing Summary'!D$45,((ROW('Trapezoidal Wing Summary'!$A46)-ROW('Trapezoidal Wing Summary'!$A$45))*100/$F$35),0)+$F$16</f>
        <v>0.39370080000000002</v>
      </c>
      <c r="AY51" s="659">
        <f ca="1">OFFSET('Trapezoidal Wing Summary'!E$45,((ROW('Trapezoidal Wing Summary'!$A46)-ROW('Trapezoidal Wing Summary'!$A$45))*100/$F$35),0)+$F$17</f>
        <v>12.850247130368</v>
      </c>
      <c r="AZ51" s="41">
        <f ca="1">OFFSET('Trapezoidal Wing Summary'!F$45,((ROW('Trapezoidal Wing Summary'!$A46)-ROW('Trapezoidal Wing Summary'!$A$45))*100/$F$35),0)</f>
        <v>0</v>
      </c>
      <c r="BA51" s="41">
        <f ca="1">OFFSET('Trapezoidal Wing Summary'!G$45,((ROW('Trapezoidal Wing Summary'!$A46)-ROW('Trapezoidal Wing Summary'!$A$45))*100/$F$35),0)</f>
        <v>249050.92654887188</v>
      </c>
      <c r="BB51" s="41">
        <f ca="1">OFFSET('Trapezoidal Wing Summary'!H$45,((ROW('Trapezoidal Wing Summary'!$A46)-ROW('Trapezoidal Wing Summary'!$A$45))*100/$F$35),0)</f>
        <v>220085.74972025774</v>
      </c>
      <c r="BC51" s="41">
        <f ca="1">OFFSET('Trapezoidal Wing Summary'!I$45,((ROW('Trapezoidal Wing Summary'!$A46)-ROW('Trapezoidal Wing Summary'!$A$45))*100/$F$35),0)</f>
        <v>0</v>
      </c>
      <c r="BD51" s="41">
        <f ca="1">OFFSET('Trapezoidal Wing Summary'!J$45,((ROW('Trapezoidal Wing Summary'!$A46)-ROW('Trapezoidal Wing Summary'!$A$45))*100/$F$35),0)</f>
        <v>0</v>
      </c>
      <c r="BE51" s="41">
        <f ca="1">OFFSET('Trapezoidal Wing Summary'!K$45,((ROW('Trapezoidal Wing Summary'!$A46)-ROW('Trapezoidal Wing Summary'!$A$45))*100/$F$35),0)</f>
        <v>0</v>
      </c>
      <c r="BF51" s="41">
        <f ca="1">OFFSET('Trapezoidal Wing Summary'!L$45,((ROW('Trapezoidal Wing Summary'!$A46)-ROW('Trapezoidal Wing Summary'!$A$45))*100/$F$35),0)</f>
        <v>3670401.8874926441</v>
      </c>
      <c r="BG51" s="41">
        <f ca="1">OFFSET('Trapezoidal Wing Summary'!M$45,((ROW('Trapezoidal Wing Summary'!$A46)-ROW('Trapezoidal Wing Summary'!$A$45))*100/$F$35),0)</f>
        <v>0</v>
      </c>
      <c r="BH51" s="41">
        <f ca="1">OFFSET('Trapezoidal Wing Summary'!N$45,((ROW('Trapezoidal Wing Summary'!$A46)-ROW('Trapezoidal Wing Summary'!$A$45))*100/$F$35),0)</f>
        <v>0</v>
      </c>
      <c r="BI51" s="41">
        <f ca="1">OFFSET('Trapezoidal Wing Summary'!O$45,((ROW('Trapezoidal Wing Summary'!$A46)-ROW('Trapezoidal Wing Summary'!$A$45))*100/$F$35),0)</f>
        <v>0</v>
      </c>
      <c r="BJ51" s="41">
        <f ca="1">OFFSET('Trapezoidal Wing Summary'!P$45,((ROW('Trapezoidal Wing Summary'!$A46)-ROW('Trapezoidal Wing Summary'!$A$45))*100/$F$35),0)</f>
        <v>0</v>
      </c>
      <c r="BK51" s="41">
        <f ca="1">OFFSET('Trapezoidal Wing Summary'!Q$45,((ROW('Trapezoidal Wing Summary'!$A46)-ROW('Trapezoidal Wing Summary'!$A$45))*100/$F$35),0)</f>
        <v>0</v>
      </c>
      <c r="BL51" s="41">
        <f ca="1">OFFSET('Trapezoidal Wing Summary'!R$45,((ROW('Trapezoidal Wing Summary'!$A46)-ROW('Trapezoidal Wing Summary'!$A$45))*100/$F$35),0)</f>
        <v>3.4190844437510091</v>
      </c>
      <c r="BM51" s="41">
        <f ca="1">OFFSET('Trapezoidal Wing Summary'!S$45,((ROW('Trapezoidal Wing Summary'!$A46)-ROW('Trapezoidal Wing Summary'!$A$45))*100/$F$35),0)</f>
        <v>0.38502963014488933</v>
      </c>
      <c r="BN51" s="41">
        <f ca="1">OFFSET('Trapezoidal Wing Summary'!T$45,((ROW('Trapezoidal Wing Summary'!$A46)-ROW('Trapezoidal Wing Summary'!$A$45))*100/$F$35),0)</f>
        <v>0</v>
      </c>
      <c r="BO51" s="41">
        <f ca="1">OFFSET('Trapezoidal Wing Summary'!U$45,((ROW('Trapezoidal Wing Summary'!$A46)-ROW('Trapezoidal Wing Summary'!$A$45))*100/$F$35),0)</f>
        <v>0</v>
      </c>
      <c r="BP51" s="41">
        <f ca="1">OFFSET('Trapezoidal Wing Summary'!V$45,((ROW('Trapezoidal Wing Summary'!$A46)-ROW('Trapezoidal Wing Summary'!$A$45))*100/$F$35),0)</f>
        <v>0</v>
      </c>
      <c r="BQ51" s="41">
        <f ca="1">OFFSET('Trapezoidal Wing Summary'!W$45,((ROW('Trapezoidal Wing Summary'!$A46)-ROW('Trapezoidal Wing Summary'!$A$45))*100/$F$35),0)</f>
        <v>0</v>
      </c>
      <c r="BR51" s="41">
        <f ca="1">OFFSET('Trapezoidal Wing Summary'!X$45,((ROW('Trapezoidal Wing Summary'!$A46)-ROW('Trapezoidal Wing Summary'!$A$45))*100/$F$35),0)</f>
        <v>0</v>
      </c>
      <c r="BS51" s="41">
        <f ca="1">OFFSET('Trapezoidal Wing Summary'!Y$45,((ROW('Trapezoidal Wing Summary'!$A46)-ROW('Trapezoidal Wing Summary'!$A$45))*100/$F$35),0)</f>
        <v>0</v>
      </c>
      <c r="BT51" s="41">
        <f ca="1">OFFSET('Trapezoidal Wing Summary'!Z$45,((ROW('Trapezoidal Wing Summary'!$A46)-ROW('Trapezoidal Wing Summary'!$A$45))*100/$F$35),0)</f>
        <v>0.18866206708102262</v>
      </c>
      <c r="BU51" s="41">
        <f ca="1">OFFSET('Trapezoidal Wing Summary'!AA$45,((ROW('Trapezoidal Wing Summary'!$A46)-ROW('Trapezoidal Wing Summary'!$A$45))*100/$F$35),0)</f>
        <v>0</v>
      </c>
      <c r="BV51" s="41">
        <f ca="1">OFFSET('Trapezoidal Wing Summary'!AB$45,((ROW('Trapezoidal Wing Summary'!$A46)-ROW('Trapezoidal Wing Summary'!$A$45))*100/$F$35),0)</f>
        <v>0</v>
      </c>
      <c r="BW51" s="41">
        <f ca="1">OFFSET('Trapezoidal Wing Summary'!AC$45,((ROW('Trapezoidal Wing Summary'!$A46)-ROW('Trapezoidal Wing Summary'!$A$45))*100/$F$35),0)</f>
        <v>0</v>
      </c>
      <c r="BX51" s="41">
        <f ca="1">OFFSET('Trapezoidal Wing Summary'!AD$45,((ROW('Trapezoidal Wing Summary'!$A46)-ROW('Trapezoidal Wing Summary'!$A$45))*100/$F$35),0)</f>
        <v>2E-3</v>
      </c>
      <c r="BY51" s="41">
        <f ca="1">OFFSET('Trapezoidal Wing Summary'!AE$45,((ROW('Trapezoidal Wing Summary'!$A46)-ROW('Trapezoidal Wing Summary'!$A$45))*100/$F$35),0)</f>
        <v>2E-3</v>
      </c>
      <c r="BZ51" s="41">
        <f ca="1">OFFSET('Trapezoidal Wing Summary'!AF$45,((ROW('Trapezoidal Wing Summary'!$A46)-ROW('Trapezoidal Wing Summary'!$A$45))*100/$F$35),0)</f>
        <v>0</v>
      </c>
      <c r="CA51" s="41">
        <f ca="1">OFFSET('Trapezoidal Wing Summary'!AG$45,((ROW('Trapezoidal Wing Summary'!$A46)-ROW('Trapezoidal Wing Summary'!$A$45))*100/$F$35),0)</f>
        <v>0.18838583280000001</v>
      </c>
      <c r="CB51" s="41">
        <f ca="1">OFFSET('Trapezoidal Wing Summary'!AH$45,((ROW('Trapezoidal Wing Summary'!$A46)-ROW('Trapezoidal Wing Summary'!$A$45))*100/$F$35),0)</f>
        <v>1.1430925926430298E-3</v>
      </c>
      <c r="CC51" s="41">
        <f ca="1">OFFSET('Trapezoidal Wing Summary'!AI$45,((ROW('Trapezoidal Wing Summary'!$A46)-ROW('Trapezoidal Wing Summary'!$A$45))*100/$F$35),0)</f>
        <v>0</v>
      </c>
      <c r="CD51" s="41">
        <f>'REF - ASWING AERO-Imperial'!$R$5</f>
        <v>5.4999999999999997E-3</v>
      </c>
      <c r="CE51" s="41">
        <f>'REF - ASWING AERO-Imperial'!$R$6</f>
        <v>5.4999999999999997E-3</v>
      </c>
      <c r="CF51" s="41">
        <f ca="1">OFFSET('Trapezoidal Wing Summary'!AL$45,((ROW('Trapezoidal Wing Summary'!$A46)-ROW('Trapezoidal Wing Summary'!$A$45))*100/$F$35),0)</f>
        <v>2.0931759200000002</v>
      </c>
      <c r="CG51" s="41">
        <f ca="1">OFFSET('Trapezoidal Wing Summary'!AM$45,((ROW('Trapezoidal Wing Summary'!$A46)-ROW('Trapezoidal Wing Summary'!$A$45))*100/$F$35),0)</f>
        <v>0.25</v>
      </c>
      <c r="CH51" s="41">
        <f ca="1">OFFSET('Trapezoidal Wing Summary'!AN$45,((ROW('Trapezoidal Wing Summary'!$A46)-ROW('Trapezoidal Wing Summary'!$A$45))*100/$F$35),0)</f>
        <v>5.9</v>
      </c>
      <c r="CI51" s="41">
        <f ca="1">OFFSET('Trapezoidal Wing Summary'!AO$45,((ROW('Trapezoidal Wing Summary'!$A46)-ROW('Trapezoidal Wing Summary'!$A$45))*100/$F$35),0)</f>
        <v>-0.15</v>
      </c>
      <c r="CJ51" s="41">
        <f ca="1">OFFSET('Trapezoidal Wing Summary'!AP$45,((ROW('Trapezoidal Wing Summary'!$A46)-ROW('Trapezoidal Wing Summary'!$A$45))*100/$F$35),0)</f>
        <v>2.25</v>
      </c>
      <c r="CK51" s="41">
        <f ca="1">OFFSET('Trapezoidal Wing Summary'!AQ$45,((ROW('Trapezoidal Wing Summary'!$A46)-ROW('Trapezoidal Wing Summary'!$A$45))*100/$F$35),0)</f>
        <v>-1.65</v>
      </c>
      <c r="CL51" s="41">
        <f ca="1">OFFSET('Trapezoidal Wing Summary'!AR$45,((ROW('Trapezoidal Wing Summary'!$A46)-ROW('Trapezoidal Wing Summary'!$A$45))*100/$F$35),0)</f>
        <v>5.9690260418206069</v>
      </c>
      <c r="CM51" s="644" t="e">
        <f>'CANARD STRUCT'!#REF!</f>
        <v>#REF!</v>
      </c>
      <c r="CN51" s="642" t="e">
        <f>'CANARD STRUCT'!#REF!*3.28084</f>
        <v>#REF!</v>
      </c>
      <c r="CO51" s="642" t="e">
        <f>'CANARD STRUCT'!#REF!*3.28084</f>
        <v>#REF!</v>
      </c>
      <c r="CP51" s="642" t="e">
        <f>'CANARD STRUCT'!#REF!*3.28084</f>
        <v>#REF!</v>
      </c>
      <c r="CQ51" s="642" t="e">
        <f>'CANARD STRUCT'!#REF!</f>
        <v>#REF!</v>
      </c>
      <c r="CR51" s="685" t="e">
        <f>'CANARD STRUCT'!#REF!*0.224809*3.28084^2</f>
        <v>#REF!</v>
      </c>
      <c r="CS51" s="685" t="e">
        <f>'CANARD STRUCT'!#REF!*0.224809*3.28084^2</f>
        <v>#REF!</v>
      </c>
      <c r="CT51" s="685" t="e">
        <f>'CANARD STRUCT'!#REF!*0.224809*3.28084^2</f>
        <v>#REF!</v>
      </c>
      <c r="CU51" s="685" t="e">
        <f>'CANARD STRUCT'!#REF!*0.224809*3.28084^2</f>
        <v>#REF!</v>
      </c>
      <c r="CV51" s="685" t="e">
        <f>'CANARD STRUCT'!#REF!*0.224809*3.28084^2</f>
        <v>#REF!</v>
      </c>
      <c r="CW51" s="685" t="e">
        <f>'CANARD STRUCT'!#REF!*0.224809*3.28084^2</f>
        <v>#REF!</v>
      </c>
      <c r="CX51" s="642" t="e">
        <f>'CANARD STRUCT'!#REF!</f>
        <v>#REF!</v>
      </c>
      <c r="CY51" s="642" t="e">
        <f>'CANARD STRUCT'!#REF!*0.224809</f>
        <v>#REF!</v>
      </c>
      <c r="CZ51" s="642" t="e">
        <f>'CANARD STRUCT'!#REF!*0.224809</f>
        <v>#REF!</v>
      </c>
      <c r="DA51" s="642" t="e">
        <f>'CANARD STRUCT'!#REF!*2.20462*3.28084</f>
        <v>#REF!</v>
      </c>
      <c r="DB51" s="642" t="e">
        <f>'CANARD STRUCT'!#REF!*2.20462*3.28084</f>
        <v>#REF!</v>
      </c>
      <c r="DC51" s="642" t="e">
        <f>'CANARD STRUCT'!#REF!*2.20462/3.28084</f>
        <v>#REF!</v>
      </c>
      <c r="DD51" s="642" t="e">
        <f>'CANARD STRUCT'!#REF!*3.28084</f>
        <v>#REF!</v>
      </c>
      <c r="DE51" s="642" t="e">
        <f>'CANARD STRUCT'!#REF!*3.28084</f>
        <v>#REF!</v>
      </c>
      <c r="DF51" s="642" t="e">
        <f>'CANARD STRUCT'!#REF!*2.20462*3.28084</f>
        <v>#REF!</v>
      </c>
      <c r="DG51" s="642" t="e">
        <f>'CANARD STRUCT'!#REF!*2.20462*3.28084</f>
        <v>#REF!</v>
      </c>
      <c r="DH51" s="642" t="e">
        <f>'CANARD STRUCT'!#REF!*2.20462/3.28084</f>
        <v>#REF!</v>
      </c>
      <c r="DI51" s="642" t="e">
        <f>'CANARD STRUCT'!#REF!*3.28084</f>
        <v>#REF!</v>
      </c>
      <c r="DJ51" s="642" t="e">
        <f>'CANARD STRUCT'!#REF!*3.28084</f>
        <v>#REF!</v>
      </c>
      <c r="DK51" s="642" t="e">
        <f>'CANARD STRUCT'!#REF!*3.28084</f>
        <v>#REF!</v>
      </c>
      <c r="DL51" s="642" t="e">
        <f>'CANARD STRUCT'!#REF!*3.28084</f>
        <v>#REF!</v>
      </c>
      <c r="DM51" s="642" t="e">
        <f>'CANARD STRUCT'!#REF!*3.28084</f>
        <v>#REF!</v>
      </c>
      <c r="DN51" s="642" t="e">
        <f>'CANARD STRUCT'!#REF!*3.28084</f>
        <v>#REF!</v>
      </c>
      <c r="DO51" s="642" t="e">
        <f>'CANARD STRUCT'!#REF!</f>
        <v>#REF!</v>
      </c>
      <c r="DP51" s="642" t="e">
        <f>'CANARD STRUCT'!#REF!</f>
        <v>#REF!</v>
      </c>
      <c r="DQ51" s="642" t="e">
        <f>'CANARD STRUCT'!#REF!*3.28084</f>
        <v>#REF!</v>
      </c>
      <c r="DR51" s="642" t="e">
        <f>'CANARD STRUCT'!#REF!*3.28084</f>
        <v>#REF!</v>
      </c>
      <c r="DS51" s="642" t="e">
        <f>'CANARD STRUCT'!#REF!*3.28084^3</f>
        <v>#REF!</v>
      </c>
      <c r="DT51" s="642" t="e">
        <f>'CANARD STRUCT'!#REF!*3.28084</f>
        <v>#REF!</v>
      </c>
      <c r="DU51" s="642" t="e">
        <f>'CANARD STRUCT'!#REF!</f>
        <v>#REF!</v>
      </c>
      <c r="DV51" s="642" t="e">
        <f>'CANARD STRUCT'!#REF!</f>
        <v>#REF!</v>
      </c>
      <c r="DW51" s="642" t="e">
        <f>'CANARD STRUCT'!#REF!*3.28084</f>
        <v>#REF!</v>
      </c>
      <c r="DX51" s="642" t="e">
        <f>'CANARD STRUCT'!#REF!</f>
        <v>#REF!</v>
      </c>
      <c r="DY51" s="642" t="e">
        <f>'CANARD STRUCT'!#REF!</f>
        <v>#REF!</v>
      </c>
      <c r="DZ51" s="642" t="e">
        <f>'CANARD STRUCT'!#REF!</f>
        <v>#REF!</v>
      </c>
      <c r="EA51" s="642" t="e">
        <f>'CANARD STRUCT'!#REF!</f>
        <v>#REF!</v>
      </c>
      <c r="EB51" s="642" t="e">
        <f>'CANARD STRUCT'!#REF!</f>
        <v>#REF!</v>
      </c>
      <c r="EC51" s="641" t="e">
        <f>'CANARD STRUCT'!#REF!</f>
        <v>#REF!</v>
      </c>
      <c r="ED51" s="690" t="e">
        <f>'CANARD STRUCT'!#REF!</f>
        <v>#REF!</v>
      </c>
      <c r="EE51" s="617" t="e">
        <f>'CANARD STRUCT'!#REF!*3.28084</f>
        <v>#REF!</v>
      </c>
      <c r="EF51" s="617" t="e">
        <f>'CANARD STRUCT'!#REF!*3.28084</f>
        <v>#REF!</v>
      </c>
      <c r="EG51" s="617" t="e">
        <f>'CANARD STRUCT'!#REF!*3.28084</f>
        <v>#REF!</v>
      </c>
      <c r="EH51" s="617" t="e">
        <f>'CANARD STRUCT'!#REF!</f>
        <v>#REF!</v>
      </c>
      <c r="EI51" s="691" t="e">
        <f>'CANARD STRUCT'!#REF!*0.224809*3.28084^2</f>
        <v>#REF!</v>
      </c>
      <c r="EJ51" s="691" t="e">
        <f>'CANARD STRUCT'!#REF!*0.224809*3.28084^2</f>
        <v>#REF!</v>
      </c>
      <c r="EK51" s="691" t="e">
        <f>'CANARD STRUCT'!#REF!*0.224809*3.28084^2</f>
        <v>#REF!</v>
      </c>
      <c r="EL51" s="691" t="e">
        <f>'CANARD STRUCT'!#REF!*0.224809*3.28084^2</f>
        <v>#REF!</v>
      </c>
      <c r="EM51" s="691" t="e">
        <f>'CANARD STRUCT'!#REF!*0.224809*3.28084^2</f>
        <v>#REF!</v>
      </c>
      <c r="EN51" s="691" t="e">
        <f>'CANARD STRUCT'!#REF!*0.224809*3.28084^2</f>
        <v>#REF!</v>
      </c>
      <c r="EO51" s="617" t="e">
        <f>'CANARD STRUCT'!#REF!</f>
        <v>#REF!</v>
      </c>
      <c r="EP51" s="691" t="e">
        <f>'CANARD STRUCT'!#REF!*0.224809</f>
        <v>#REF!</v>
      </c>
      <c r="EQ51" s="691" t="e">
        <f>'CANARD STRUCT'!#REF!*0.224809</f>
        <v>#REF!</v>
      </c>
      <c r="ER51" s="617" t="e">
        <f>'CANARD STRUCT'!#REF!*2.20462*3.28084</f>
        <v>#REF!</v>
      </c>
      <c r="ES51" s="617" t="e">
        <f>'CANARD STRUCT'!#REF!*2.20462*3.28084</f>
        <v>#REF!</v>
      </c>
      <c r="ET51" s="617" t="e">
        <f>'CANARD STRUCT'!#REF!*2.20462/3.28084</f>
        <v>#REF!</v>
      </c>
      <c r="EU51" s="617" t="e">
        <f>'CANARD STRUCT'!#REF!*3.28084</f>
        <v>#REF!</v>
      </c>
      <c r="EV51" s="617" t="e">
        <f>'CANARD STRUCT'!#REF!*3.28084</f>
        <v>#REF!</v>
      </c>
      <c r="EW51" s="617" t="e">
        <f>'CANARD STRUCT'!#REF!*2.20462*3.28084</f>
        <v>#REF!</v>
      </c>
      <c r="EX51" s="617" t="e">
        <f>'CANARD STRUCT'!#REF!*2.20462*3.28084</f>
        <v>#REF!</v>
      </c>
      <c r="EY51" s="617" t="e">
        <f>'CANARD STRUCT'!#REF!*2.20462/3.28084</f>
        <v>#REF!</v>
      </c>
      <c r="EZ51" s="617" t="e">
        <f>'CANARD STRUCT'!#REF!*3.28084</f>
        <v>#REF!</v>
      </c>
      <c r="FA51" s="617" t="e">
        <f>'CANARD STRUCT'!#REF!*3.28084</f>
        <v>#REF!</v>
      </c>
      <c r="FB51" s="617" t="e">
        <f>'CANARD STRUCT'!#REF!*3.28084</f>
        <v>#REF!</v>
      </c>
      <c r="FC51" s="617" t="e">
        <f>'CANARD STRUCT'!#REF!*3.28084</f>
        <v>#REF!</v>
      </c>
      <c r="FD51" s="617" t="e">
        <f>'CANARD STRUCT'!#REF!*3.28084</f>
        <v>#REF!</v>
      </c>
      <c r="FE51" s="617" t="e">
        <f>'CANARD STRUCT'!#REF!*3.28084</f>
        <v>#REF!</v>
      </c>
      <c r="FF51" s="617" t="e">
        <f>'CANARD STRUCT'!#REF!</f>
        <v>#REF!</v>
      </c>
      <c r="FG51" s="617" t="e">
        <f>'CANARD STRUCT'!#REF!</f>
        <v>#REF!</v>
      </c>
      <c r="FH51" s="617" t="e">
        <f>'CANARD STRUCT'!#REF!*3.28084</f>
        <v>#REF!</v>
      </c>
      <c r="FI51" s="617" t="e">
        <f>'CANARD STRUCT'!#REF!*3.28084</f>
        <v>#REF!</v>
      </c>
      <c r="FJ51" s="617" t="e">
        <f>'CANARD STRUCT'!#REF!*3.28084^3</f>
        <v>#REF!</v>
      </c>
      <c r="FK51" s="617" t="e">
        <f>'CANARD STRUCT'!#REF!*3.28084</f>
        <v>#REF!</v>
      </c>
      <c r="FL51" s="617" t="e">
        <f>'CANARD STRUCT'!#REF!</f>
        <v>#REF!</v>
      </c>
      <c r="FM51" s="617" t="e">
        <f>'CANARD STRUCT'!#REF!</f>
        <v>#REF!</v>
      </c>
      <c r="FN51" s="617" t="e">
        <f>'CANARD STRUCT'!#REF!*3.28084</f>
        <v>#REF!</v>
      </c>
      <c r="FO51" s="617" t="e">
        <f>'CANARD STRUCT'!#REF!</f>
        <v>#REF!</v>
      </c>
      <c r="FP51" s="617" t="e">
        <f>'CANARD STRUCT'!#REF!</f>
        <v>#REF!</v>
      </c>
      <c r="FQ51" s="617" t="e">
        <f>'CANARD STRUCT'!#REF!</f>
        <v>#REF!</v>
      </c>
      <c r="FR51" s="617" t="e">
        <f>'CANARD STRUCT'!#REF!</f>
        <v>#REF!</v>
      </c>
      <c r="FS51" s="617" t="e">
        <f>'CANARD STRUCT'!#REF!</f>
        <v>#REF!</v>
      </c>
      <c r="FT51" s="616" t="e">
        <f>'CANARD STRUCT'!#REF!</f>
        <v>#REF!</v>
      </c>
      <c r="FU51" s="690" t="e">
        <f>'CANARD STRUCT'!#REF!</f>
        <v>#REF!</v>
      </c>
      <c r="FV51" s="617" t="e">
        <f>'CANARD STRUCT'!#REF!*3.28084</f>
        <v>#REF!</v>
      </c>
      <c r="FW51" s="617" t="e">
        <f>'CANARD STRUCT'!#REF!*3.28084</f>
        <v>#REF!</v>
      </c>
      <c r="FX51" s="617" t="e">
        <f>'CANARD STRUCT'!#REF!*3.28084</f>
        <v>#REF!</v>
      </c>
      <c r="FY51" s="617" t="e">
        <f>'CANARD STRUCT'!#REF!</f>
        <v>#REF!</v>
      </c>
      <c r="FZ51" s="691" t="e">
        <f>'CANARD STRUCT'!#REF!*0.224809*3.28084^2</f>
        <v>#REF!</v>
      </c>
      <c r="GA51" s="691" t="e">
        <f>'CANARD STRUCT'!#REF!*0.224809*3.28084^2</f>
        <v>#REF!</v>
      </c>
      <c r="GB51" s="691" t="e">
        <f>'CANARD STRUCT'!#REF!*0.224809*3.28084^2</f>
        <v>#REF!</v>
      </c>
      <c r="GC51" s="691" t="e">
        <f>'CANARD STRUCT'!#REF!*0.224809*3.28084^2</f>
        <v>#REF!</v>
      </c>
      <c r="GD51" s="691" t="e">
        <f>'CANARD STRUCT'!#REF!*0.224809*3.28084^2</f>
        <v>#REF!</v>
      </c>
      <c r="GE51" s="691" t="e">
        <f>'CANARD STRUCT'!#REF!*0.224809*3.28084^2</f>
        <v>#REF!</v>
      </c>
      <c r="GF51" s="617" t="e">
        <f>'CANARD STRUCT'!#REF!</f>
        <v>#REF!</v>
      </c>
      <c r="GG51" s="691" t="e">
        <f>'CANARD STRUCT'!#REF!*0.224809</f>
        <v>#REF!</v>
      </c>
      <c r="GH51" s="691" t="e">
        <f>'CANARD STRUCT'!#REF!*0.224809</f>
        <v>#REF!</v>
      </c>
      <c r="GI51" s="617" t="e">
        <f>'CANARD STRUCT'!#REF!*2.20462*3.28084</f>
        <v>#REF!</v>
      </c>
      <c r="GJ51" s="617" t="e">
        <f>'CANARD STRUCT'!#REF!*2.20462*3.28084</f>
        <v>#REF!</v>
      </c>
      <c r="GK51" s="617" t="e">
        <f>'CANARD STRUCT'!#REF!*2.20462/3.28084</f>
        <v>#REF!</v>
      </c>
      <c r="GL51" s="617" t="e">
        <f>'CANARD STRUCT'!#REF!*3.28084</f>
        <v>#REF!</v>
      </c>
      <c r="GM51" s="617" t="e">
        <f>'CANARD STRUCT'!#REF!*3.28084</f>
        <v>#REF!</v>
      </c>
      <c r="GN51" s="617" t="e">
        <f>'CANARD STRUCT'!#REF!*2.20462*3.28084</f>
        <v>#REF!</v>
      </c>
      <c r="GO51" s="617" t="e">
        <f>'CANARD STRUCT'!#REF!*2.20462*3.28084</f>
        <v>#REF!</v>
      </c>
      <c r="GP51" s="617" t="e">
        <f>'CANARD STRUCT'!#REF!*2.20462/3.28084</f>
        <v>#REF!</v>
      </c>
      <c r="GQ51" s="617" t="e">
        <f>'CANARD STRUCT'!#REF!*3.28084</f>
        <v>#REF!</v>
      </c>
      <c r="GR51" s="617" t="e">
        <f>'CANARD STRUCT'!#REF!*3.28084</f>
        <v>#REF!</v>
      </c>
      <c r="GS51" s="617" t="e">
        <f>'CANARD STRUCT'!#REF!*3.28084</f>
        <v>#REF!</v>
      </c>
      <c r="GT51" s="617" t="e">
        <f>'CANARD STRUCT'!#REF!*3.28084</f>
        <v>#REF!</v>
      </c>
      <c r="GU51" s="617" t="e">
        <f>'CANARD STRUCT'!#REF!*3.28084</f>
        <v>#REF!</v>
      </c>
      <c r="GV51" s="617" t="e">
        <f>'CANARD STRUCT'!#REF!*3.28084</f>
        <v>#REF!</v>
      </c>
      <c r="GW51" s="617" t="e">
        <f>'CANARD STRUCT'!#REF!</f>
        <v>#REF!</v>
      </c>
      <c r="GX51" s="617" t="e">
        <f>'CANARD STRUCT'!#REF!</f>
        <v>#REF!</v>
      </c>
      <c r="GY51" s="617" t="e">
        <f>'CANARD STRUCT'!#REF!*3.28084</f>
        <v>#REF!</v>
      </c>
      <c r="GZ51" s="617" t="e">
        <f>'CANARD STRUCT'!#REF!*3.28084</f>
        <v>#REF!</v>
      </c>
      <c r="HA51" s="617" t="e">
        <f>'CANARD STRUCT'!#REF!*3.28084^3</f>
        <v>#REF!</v>
      </c>
      <c r="HB51" s="617" t="e">
        <f>'CANARD STRUCT'!#REF!*3.28084</f>
        <v>#REF!</v>
      </c>
      <c r="HC51" s="617" t="e">
        <f>'CANARD STRUCT'!#REF!</f>
        <v>#REF!</v>
      </c>
      <c r="HD51" s="617" t="e">
        <f>'CANARD STRUCT'!#REF!</f>
        <v>#REF!</v>
      </c>
      <c r="HE51" s="617" t="e">
        <f>'CANARD STRUCT'!#REF!*3.28084</f>
        <v>#REF!</v>
      </c>
      <c r="HF51" s="617" t="e">
        <f>'CANARD STRUCT'!#REF!</f>
        <v>#REF!</v>
      </c>
      <c r="HG51" s="617" t="e">
        <f>'CANARD STRUCT'!#REF!</f>
        <v>#REF!</v>
      </c>
      <c r="HH51" s="617" t="e">
        <f>'CANARD STRUCT'!#REF!</f>
        <v>#REF!</v>
      </c>
      <c r="HI51" s="617" t="e">
        <f>'CANARD STRUCT'!#REF!</f>
        <v>#REF!</v>
      </c>
      <c r="HJ51" s="617" t="e">
        <f>'CANARD STRUCT'!#REF!</f>
        <v>#REF!</v>
      </c>
      <c r="HK51" s="616" t="e">
        <f>'CANARD STRUCT'!#REF!</f>
        <v>#REF!</v>
      </c>
    </row>
    <row r="52" spans="1:219" x14ac:dyDescent="0.25">
      <c r="A52" t="s">
        <v>889</v>
      </c>
      <c r="B52" s="663">
        <v>-3.05</v>
      </c>
      <c r="C52" s="664">
        <v>-1.56</v>
      </c>
      <c r="D52" s="664">
        <v>0.1</v>
      </c>
      <c r="E52" s="669" t="e">
        <f>'CANARD STRUCT'!#REF!* 3.28084</f>
        <v>#REF!</v>
      </c>
      <c r="F52" s="669" t="e">
        <f>'CANARD STRUCT'!#REF!* 3.28084</f>
        <v>#REF!</v>
      </c>
      <c r="G52" s="669" t="e">
        <f>'CANARD STRUCT'!#REF!* 3.28084</f>
        <v>#REF!</v>
      </c>
      <c r="H52" s="670" t="e">
        <f>'CANARD STRUCT'!#REF!*2.20462</f>
        <v>#REF!</v>
      </c>
      <c r="I52" s="666">
        <v>6</v>
      </c>
      <c r="J52" s="204" t="e">
        <f>E52</f>
        <v>#REF!</v>
      </c>
      <c r="K52" s="575">
        <v>5</v>
      </c>
      <c r="L52" t="e">
        <f>MIN(Q50:Q51)</f>
        <v>#REF!</v>
      </c>
      <c r="M52">
        <v>2</v>
      </c>
      <c r="N52" s="626" t="e">
        <f>R50/MAX('REF - ASWING AERO-Imperial'!R24:R50)*MAX('REF - ASWING STRUCT-Imperial'!CM50:CM95)</f>
        <v>#REF!</v>
      </c>
      <c r="O52" s="576">
        <v>0</v>
      </c>
      <c r="P52" s="580"/>
      <c r="Q52" s="620"/>
      <c r="R52" s="2"/>
      <c r="S52" s="2"/>
      <c r="T52" s="2"/>
      <c r="U52" s="142"/>
      <c r="V52" s="620"/>
      <c r="W52" s="2"/>
      <c r="X52" s="2"/>
      <c r="Y52" s="2"/>
      <c r="Z52" s="142"/>
      <c r="AA52" s="620"/>
      <c r="AB52" s="2"/>
      <c r="AC52" s="2"/>
      <c r="AD52" s="2"/>
      <c r="AE52" s="142"/>
      <c r="AF52" s="620"/>
      <c r="AG52" s="2"/>
      <c r="AH52" s="2"/>
      <c r="AI52" s="2"/>
      <c r="AJ52" s="142"/>
      <c r="AK52" s="620"/>
      <c r="AL52" s="2"/>
      <c r="AM52" s="2"/>
      <c r="AN52" s="2"/>
      <c r="AO52" s="142"/>
      <c r="AP52" s="620"/>
      <c r="AQ52" s="2"/>
      <c r="AR52" s="2"/>
      <c r="AS52" s="2"/>
      <c r="AT52" s="142"/>
      <c r="AU52" s="594"/>
      <c r="AV52" s="574">
        <f ca="1">100*(AX52-$AX$50)/(MAX($AX$50:INDEX(($AX$50:$AX$150),$F$35+1,1))-MIN($AX$50:INDEX(($AX$50:$AX$150),$F$35+1,1)))</f>
        <v>9</v>
      </c>
      <c r="AW52" s="659">
        <f ca="1">OFFSET('Trapezoidal Wing Summary'!C$45,((ROW('Trapezoidal Wing Summary'!$A47)-ROW('Trapezoidal Wing Summary'!$A$45))*100/$F$35),0)+$F$15</f>
        <v>10.431802827256</v>
      </c>
      <c r="AX52" s="659">
        <f ca="1">OFFSET('Trapezoidal Wing Summary'!D$45,((ROW('Trapezoidal Wing Summary'!$A47)-ROW('Trapezoidal Wing Summary'!$A$45))*100/$F$35),0)+$F$16</f>
        <v>0.88582680000000003</v>
      </c>
      <c r="AY52" s="659">
        <f ca="1">OFFSET('Trapezoidal Wing Summary'!E$45,((ROW('Trapezoidal Wing Summary'!$A47)-ROW('Trapezoidal Wing Summary'!$A$45))*100/$F$35),0)+$F$17</f>
        <v>12.850247130368</v>
      </c>
      <c r="AZ52" s="41">
        <f ca="1">OFFSET('Trapezoidal Wing Summary'!F$45,((ROW('Trapezoidal Wing Summary'!$A47)-ROW('Trapezoidal Wing Summary'!$A$45))*100/$F$35),0)</f>
        <v>0</v>
      </c>
      <c r="BA52" s="41">
        <f ca="1">OFFSET('Trapezoidal Wing Summary'!G$45,((ROW('Trapezoidal Wing Summary'!$A47)-ROW('Trapezoidal Wing Summary'!$A$45))*100/$F$35),0)</f>
        <v>233264.52169207192</v>
      </c>
      <c r="BB52" s="41">
        <f ca="1">OFFSET('Trapezoidal Wing Summary'!H$45,((ROW('Trapezoidal Wing Summary'!$A47)-ROW('Trapezoidal Wing Summary'!$A$45))*100/$F$35),0)</f>
        <v>209858.54588981508</v>
      </c>
      <c r="BC52" s="41">
        <f ca="1">OFFSET('Trapezoidal Wing Summary'!I$45,((ROW('Trapezoidal Wing Summary'!$A47)-ROW('Trapezoidal Wing Summary'!$A$45))*100/$F$35),0)</f>
        <v>0</v>
      </c>
      <c r="BD52" s="41">
        <f ca="1">OFFSET('Trapezoidal Wing Summary'!J$45,((ROW('Trapezoidal Wing Summary'!$A47)-ROW('Trapezoidal Wing Summary'!$A$45))*100/$F$35),0)</f>
        <v>0</v>
      </c>
      <c r="BE52" s="41">
        <f ca="1">OFFSET('Trapezoidal Wing Summary'!K$45,((ROW('Trapezoidal Wing Summary'!$A47)-ROW('Trapezoidal Wing Summary'!$A$45))*100/$F$35),0)</f>
        <v>0</v>
      </c>
      <c r="BF52" s="41">
        <f ca="1">OFFSET('Trapezoidal Wing Summary'!L$45,((ROW('Trapezoidal Wing Summary'!$A47)-ROW('Trapezoidal Wing Summary'!$A$45))*100/$F$35),0)</f>
        <v>3417556.6589011843</v>
      </c>
      <c r="BG52" s="41">
        <f ca="1">OFFSET('Trapezoidal Wing Summary'!M$45,((ROW('Trapezoidal Wing Summary'!$A47)-ROW('Trapezoidal Wing Summary'!$A$45))*100/$F$35),0)</f>
        <v>0</v>
      </c>
      <c r="BH52" s="41">
        <f ca="1">OFFSET('Trapezoidal Wing Summary'!N$45,((ROW('Trapezoidal Wing Summary'!$A47)-ROW('Trapezoidal Wing Summary'!$A$45))*100/$F$35),0)</f>
        <v>0</v>
      </c>
      <c r="BI52" s="41">
        <f ca="1">OFFSET('Trapezoidal Wing Summary'!O$45,((ROW('Trapezoidal Wing Summary'!$A47)-ROW('Trapezoidal Wing Summary'!$A$45))*100/$F$35),0)</f>
        <v>0</v>
      </c>
      <c r="BJ52" s="41">
        <f ca="1">OFFSET('Trapezoidal Wing Summary'!P$45,((ROW('Trapezoidal Wing Summary'!$A47)-ROW('Trapezoidal Wing Summary'!$A$45))*100/$F$35),0)</f>
        <v>0</v>
      </c>
      <c r="BK52" s="41">
        <f ca="1">OFFSET('Trapezoidal Wing Summary'!Q$45,((ROW('Trapezoidal Wing Summary'!$A47)-ROW('Trapezoidal Wing Summary'!$A$45))*100/$F$35),0)</f>
        <v>0</v>
      </c>
      <c r="BL52" s="41">
        <f ca="1">OFFSET('Trapezoidal Wing Summary'!R$45,((ROW('Trapezoidal Wing Summary'!$A47)-ROW('Trapezoidal Wing Summary'!$A$45))*100/$F$35),0)</f>
        <v>3.354106153165199</v>
      </c>
      <c r="BM52" s="41">
        <f ca="1">OFFSET('Trapezoidal Wing Summary'!S$45,((ROW('Trapezoidal Wing Summary'!$A47)-ROW('Trapezoidal Wing Summary'!$A$45))*100/$F$35),0)</f>
        <v>0.37423783559416257</v>
      </c>
      <c r="BN52" s="41">
        <f ca="1">OFFSET('Trapezoidal Wing Summary'!T$45,((ROW('Trapezoidal Wing Summary'!$A47)-ROW('Trapezoidal Wing Summary'!$A$45))*100/$F$35),0)</f>
        <v>0</v>
      </c>
      <c r="BO52" s="41">
        <f ca="1">OFFSET('Trapezoidal Wing Summary'!U$45,((ROW('Trapezoidal Wing Summary'!$A47)-ROW('Trapezoidal Wing Summary'!$A$45))*100/$F$35),0)</f>
        <v>0</v>
      </c>
      <c r="BP52" s="41">
        <f ca="1">OFFSET('Trapezoidal Wing Summary'!V$45,((ROW('Trapezoidal Wing Summary'!$A47)-ROW('Trapezoidal Wing Summary'!$A$45))*100/$F$35),0)</f>
        <v>0</v>
      </c>
      <c r="BQ52" s="41">
        <f ca="1">OFFSET('Trapezoidal Wing Summary'!W$45,((ROW('Trapezoidal Wing Summary'!$A47)-ROW('Trapezoidal Wing Summary'!$A$45))*100/$F$35),0)</f>
        <v>0</v>
      </c>
      <c r="BR52" s="41">
        <f ca="1">OFFSET('Trapezoidal Wing Summary'!X$45,((ROW('Trapezoidal Wing Summary'!$A47)-ROW('Trapezoidal Wing Summary'!$A$45))*100/$F$35),0)</f>
        <v>0</v>
      </c>
      <c r="BS52" s="41">
        <f ca="1">OFFSET('Trapezoidal Wing Summary'!Y$45,((ROW('Trapezoidal Wing Summary'!$A47)-ROW('Trapezoidal Wing Summary'!$A$45))*100/$F$35),0)</f>
        <v>0</v>
      </c>
      <c r="BT52" s="41">
        <f ca="1">OFFSET('Trapezoidal Wing Summary'!Z$45,((ROW('Trapezoidal Wing Summary'!$A47)-ROW('Trapezoidal Wing Summary'!$A$45))*100/$F$35),0)</f>
        <v>0.18460334325583594</v>
      </c>
      <c r="BU52" s="41">
        <f ca="1">OFFSET('Trapezoidal Wing Summary'!AA$45,((ROW('Trapezoidal Wing Summary'!$A47)-ROW('Trapezoidal Wing Summary'!$A$45))*100/$F$35),0)</f>
        <v>0</v>
      </c>
      <c r="BV52" s="41">
        <f ca="1">OFFSET('Trapezoidal Wing Summary'!AB$45,((ROW('Trapezoidal Wing Summary'!$A47)-ROW('Trapezoidal Wing Summary'!$A$45))*100/$F$35),0)</f>
        <v>0</v>
      </c>
      <c r="BW52" s="41">
        <f ca="1">OFFSET('Trapezoidal Wing Summary'!AC$45,((ROW('Trapezoidal Wing Summary'!$A47)-ROW('Trapezoidal Wing Summary'!$A$45))*100/$F$35),0)</f>
        <v>0</v>
      </c>
      <c r="BX52" s="41">
        <f ca="1">OFFSET('Trapezoidal Wing Summary'!AD$45,((ROW('Trapezoidal Wing Summary'!$A47)-ROW('Trapezoidal Wing Summary'!$A$45))*100/$F$35),0)</f>
        <v>2E-3</v>
      </c>
      <c r="BY52" s="41">
        <f ca="1">OFFSET('Trapezoidal Wing Summary'!AE$45,((ROW('Trapezoidal Wing Summary'!$A47)-ROW('Trapezoidal Wing Summary'!$A$45))*100/$F$35),0)</f>
        <v>2E-3</v>
      </c>
      <c r="BZ52" s="41">
        <f ca="1">OFFSET('Trapezoidal Wing Summary'!AF$45,((ROW('Trapezoidal Wing Summary'!$A47)-ROW('Trapezoidal Wing Summary'!$A$45))*100/$F$35),0)</f>
        <v>0</v>
      </c>
      <c r="CA52" s="41">
        <f ca="1">OFFSET('Trapezoidal Wing Summary'!AG$45,((ROW('Trapezoidal Wing Summary'!$A47)-ROW('Trapezoidal Wing Summary'!$A$45))*100/$F$35),0)</f>
        <v>0.18395669879999998</v>
      </c>
      <c r="CB52" s="41">
        <f ca="1">OFFSET('Trapezoidal Wing Summary'!AH$45,((ROW('Trapezoidal Wing Summary'!$A47)-ROW('Trapezoidal Wing Summary'!$A$45))*100/$F$35),0)</f>
        <v>1.0899740197372922E-3</v>
      </c>
      <c r="CC52" s="41">
        <f ca="1">OFFSET('Trapezoidal Wing Summary'!AI$45,((ROW('Trapezoidal Wing Summary'!$A47)-ROW('Trapezoidal Wing Summary'!$A$45))*100/$F$35),0)</f>
        <v>0</v>
      </c>
      <c r="CD52" s="41">
        <f>'REF - ASWING AERO-Imperial'!$R$5</f>
        <v>5.4999999999999997E-3</v>
      </c>
      <c r="CE52" s="41">
        <f>'REF - ASWING AERO-Imperial'!$R$6</f>
        <v>5.4999999999999997E-3</v>
      </c>
      <c r="CF52" s="41">
        <f ca="1">OFFSET('Trapezoidal Wing Summary'!AL$45,((ROW('Trapezoidal Wing Summary'!$A47)-ROW('Trapezoidal Wing Summary'!$A$45))*100/$F$35),0)</f>
        <v>2.04396332</v>
      </c>
      <c r="CG52" s="41">
        <f ca="1">OFFSET('Trapezoidal Wing Summary'!AM$45,((ROW('Trapezoidal Wing Summary'!$A47)-ROW('Trapezoidal Wing Summary'!$A$45))*100/$F$35),0)</f>
        <v>0.25</v>
      </c>
      <c r="CH52" s="41">
        <f ca="1">OFFSET('Trapezoidal Wing Summary'!AN$45,((ROW('Trapezoidal Wing Summary'!$A47)-ROW('Trapezoidal Wing Summary'!$A$45))*100/$F$35),0)</f>
        <v>5.9</v>
      </c>
      <c r="CI52" s="41">
        <f ca="1">OFFSET('Trapezoidal Wing Summary'!AO$45,((ROW('Trapezoidal Wing Summary'!$A47)-ROW('Trapezoidal Wing Summary'!$A$45))*100/$F$35),0)</f>
        <v>-0.15</v>
      </c>
      <c r="CJ52" s="41">
        <f ca="1">OFFSET('Trapezoidal Wing Summary'!AP$45,((ROW('Trapezoidal Wing Summary'!$A47)-ROW('Trapezoidal Wing Summary'!$A$45))*100/$F$35),0)</f>
        <v>2.25</v>
      </c>
      <c r="CK52" s="41">
        <f ca="1">OFFSET('Trapezoidal Wing Summary'!AQ$45,((ROW('Trapezoidal Wing Summary'!$A47)-ROW('Trapezoidal Wing Summary'!$A$45))*100/$F$35),0)</f>
        <v>-1.65</v>
      </c>
      <c r="CL52" s="41">
        <f ca="1">OFFSET('Trapezoidal Wing Summary'!AR$45,((ROW('Trapezoidal Wing Summary'!$A47)-ROW('Trapezoidal Wing Summary'!$A$45))*100/$F$35),0)</f>
        <v>5.9690260418206069</v>
      </c>
      <c r="CM52" s="644" t="e">
        <f>'CANARD STRUCT'!#REF!</f>
        <v>#REF!</v>
      </c>
      <c r="CN52" s="642" t="e">
        <f>'CANARD STRUCT'!#REF!*3.28084</f>
        <v>#REF!</v>
      </c>
      <c r="CO52" s="642" t="e">
        <f>'CANARD STRUCT'!#REF!*3.28084</f>
        <v>#REF!</v>
      </c>
      <c r="CP52" s="642" t="e">
        <f>'CANARD STRUCT'!#REF!*3.28084</f>
        <v>#REF!</v>
      </c>
      <c r="CQ52" s="642" t="e">
        <f>'CANARD STRUCT'!#REF!</f>
        <v>#REF!</v>
      </c>
      <c r="CR52" s="685" t="e">
        <f>'CANARD STRUCT'!#REF!*0.224809*3.28084^2</f>
        <v>#REF!</v>
      </c>
      <c r="CS52" s="685" t="e">
        <f>'CANARD STRUCT'!#REF!*0.224809*3.28084^2</f>
        <v>#REF!</v>
      </c>
      <c r="CT52" s="685" t="e">
        <f>'CANARD STRUCT'!#REF!*0.224809*3.28084^2</f>
        <v>#REF!</v>
      </c>
      <c r="CU52" s="685" t="e">
        <f>'CANARD STRUCT'!#REF!*0.224809*3.28084^2</f>
        <v>#REF!</v>
      </c>
      <c r="CV52" s="685" t="e">
        <f>'CANARD STRUCT'!#REF!*0.224809*3.28084^2</f>
        <v>#REF!</v>
      </c>
      <c r="CW52" s="685" t="e">
        <f>'CANARD STRUCT'!#REF!*0.224809*3.28084^2</f>
        <v>#REF!</v>
      </c>
      <c r="CX52" s="642" t="e">
        <f>'CANARD STRUCT'!#REF!</f>
        <v>#REF!</v>
      </c>
      <c r="CY52" s="642" t="e">
        <f>'CANARD STRUCT'!#REF!*0.224809</f>
        <v>#REF!</v>
      </c>
      <c r="CZ52" s="642" t="e">
        <f>'CANARD STRUCT'!#REF!*0.224809</f>
        <v>#REF!</v>
      </c>
      <c r="DA52" s="642" t="e">
        <f>'CANARD STRUCT'!#REF!*2.20462*3.28084</f>
        <v>#REF!</v>
      </c>
      <c r="DB52" s="642" t="e">
        <f>'CANARD STRUCT'!#REF!*2.20462*3.28084</f>
        <v>#REF!</v>
      </c>
      <c r="DC52" s="642" t="e">
        <f>'CANARD STRUCT'!#REF!*2.20462/3.28084</f>
        <v>#REF!</v>
      </c>
      <c r="DD52" s="642" t="e">
        <f>'CANARD STRUCT'!#REF!*3.28084</f>
        <v>#REF!</v>
      </c>
      <c r="DE52" s="642" t="e">
        <f>'CANARD STRUCT'!#REF!*3.28084</f>
        <v>#REF!</v>
      </c>
      <c r="DF52" s="642" t="e">
        <f>'CANARD STRUCT'!#REF!*2.20462*3.28084</f>
        <v>#REF!</v>
      </c>
      <c r="DG52" s="642" t="e">
        <f>'CANARD STRUCT'!#REF!*2.20462*3.28084</f>
        <v>#REF!</v>
      </c>
      <c r="DH52" s="642" t="e">
        <f>'CANARD STRUCT'!#REF!*2.20462/3.28084</f>
        <v>#REF!</v>
      </c>
      <c r="DI52" s="642" t="e">
        <f>'CANARD STRUCT'!#REF!*3.28084</f>
        <v>#REF!</v>
      </c>
      <c r="DJ52" s="642" t="e">
        <f>'CANARD STRUCT'!#REF!*3.28084</f>
        <v>#REF!</v>
      </c>
      <c r="DK52" s="642" t="e">
        <f>'CANARD STRUCT'!#REF!*3.28084</f>
        <v>#REF!</v>
      </c>
      <c r="DL52" s="642" t="e">
        <f>'CANARD STRUCT'!#REF!*3.28084</f>
        <v>#REF!</v>
      </c>
      <c r="DM52" s="642" t="e">
        <f>'CANARD STRUCT'!#REF!*3.28084</f>
        <v>#REF!</v>
      </c>
      <c r="DN52" s="642" t="e">
        <f>'CANARD STRUCT'!#REF!*3.28084</f>
        <v>#REF!</v>
      </c>
      <c r="DO52" s="642" t="e">
        <f>'CANARD STRUCT'!#REF!</f>
        <v>#REF!</v>
      </c>
      <c r="DP52" s="642" t="e">
        <f>'CANARD STRUCT'!#REF!</f>
        <v>#REF!</v>
      </c>
      <c r="DQ52" s="642" t="e">
        <f>'CANARD STRUCT'!#REF!*3.28084</f>
        <v>#REF!</v>
      </c>
      <c r="DR52" s="642" t="e">
        <f>'CANARD STRUCT'!#REF!*3.28084</f>
        <v>#REF!</v>
      </c>
      <c r="DS52" s="642" t="e">
        <f>'CANARD STRUCT'!#REF!*3.28084^3</f>
        <v>#REF!</v>
      </c>
      <c r="DT52" s="642" t="e">
        <f>'CANARD STRUCT'!#REF!*3.28084</f>
        <v>#REF!</v>
      </c>
      <c r="DU52" s="642" t="e">
        <f>'CANARD STRUCT'!#REF!</f>
        <v>#REF!</v>
      </c>
      <c r="DV52" s="642" t="e">
        <f>'CANARD STRUCT'!#REF!</f>
        <v>#REF!</v>
      </c>
      <c r="DW52" s="642" t="e">
        <f>'CANARD STRUCT'!#REF!*3.28084</f>
        <v>#REF!</v>
      </c>
      <c r="DX52" s="642" t="e">
        <f>'CANARD STRUCT'!#REF!</f>
        <v>#REF!</v>
      </c>
      <c r="DY52" s="642" t="e">
        <f>'CANARD STRUCT'!#REF!</f>
        <v>#REF!</v>
      </c>
      <c r="DZ52" s="642" t="e">
        <f>'CANARD STRUCT'!#REF!</f>
        <v>#REF!</v>
      </c>
      <c r="EA52" s="642" t="e">
        <f>'CANARD STRUCT'!#REF!</f>
        <v>#REF!</v>
      </c>
      <c r="EB52" s="642" t="e">
        <f>'CANARD STRUCT'!#REF!</f>
        <v>#REF!</v>
      </c>
      <c r="EC52" s="641" t="e">
        <f>'CANARD STRUCT'!#REF!</f>
        <v>#REF!</v>
      </c>
      <c r="ED52" s="690" t="e">
        <f>'CANARD STRUCT'!#REF!</f>
        <v>#REF!</v>
      </c>
      <c r="EE52" s="617" t="e">
        <f>'CANARD STRUCT'!#REF!*3.28084</f>
        <v>#REF!</v>
      </c>
      <c r="EF52" s="617" t="e">
        <f>'CANARD STRUCT'!#REF!*3.28084</f>
        <v>#REF!</v>
      </c>
      <c r="EG52" s="617" t="e">
        <f>'CANARD STRUCT'!#REF!*3.28084</f>
        <v>#REF!</v>
      </c>
      <c r="EH52" s="617" t="e">
        <f>'CANARD STRUCT'!#REF!</f>
        <v>#REF!</v>
      </c>
      <c r="EI52" s="691" t="e">
        <f>'CANARD STRUCT'!#REF!*0.224809*3.28084^2</f>
        <v>#REF!</v>
      </c>
      <c r="EJ52" s="691" t="e">
        <f>'CANARD STRUCT'!#REF!*0.224809*3.28084^2</f>
        <v>#REF!</v>
      </c>
      <c r="EK52" s="691" t="e">
        <f>'CANARD STRUCT'!#REF!*0.224809*3.28084^2</f>
        <v>#REF!</v>
      </c>
      <c r="EL52" s="691" t="e">
        <f>'CANARD STRUCT'!#REF!*0.224809*3.28084^2</f>
        <v>#REF!</v>
      </c>
      <c r="EM52" s="691" t="e">
        <f>'CANARD STRUCT'!#REF!*0.224809*3.28084^2</f>
        <v>#REF!</v>
      </c>
      <c r="EN52" s="691" t="e">
        <f>'CANARD STRUCT'!#REF!*0.224809*3.28084^2</f>
        <v>#REF!</v>
      </c>
      <c r="EO52" s="617" t="e">
        <f>'CANARD STRUCT'!#REF!</f>
        <v>#REF!</v>
      </c>
      <c r="EP52" s="691" t="e">
        <f>'CANARD STRUCT'!#REF!*0.224809</f>
        <v>#REF!</v>
      </c>
      <c r="EQ52" s="691" t="e">
        <f>'CANARD STRUCT'!#REF!*0.224809</f>
        <v>#REF!</v>
      </c>
      <c r="ER52" s="617" t="e">
        <f>'CANARD STRUCT'!#REF!*2.20462*3.28084</f>
        <v>#REF!</v>
      </c>
      <c r="ES52" s="617" t="e">
        <f>'CANARD STRUCT'!#REF!*2.20462*3.28084</f>
        <v>#REF!</v>
      </c>
      <c r="ET52" s="617" t="e">
        <f>'CANARD STRUCT'!#REF!*2.20462/3.28084</f>
        <v>#REF!</v>
      </c>
      <c r="EU52" s="617" t="e">
        <f>'CANARD STRUCT'!#REF!*3.28084</f>
        <v>#REF!</v>
      </c>
      <c r="EV52" s="617" t="e">
        <f>'CANARD STRUCT'!#REF!*3.28084</f>
        <v>#REF!</v>
      </c>
      <c r="EW52" s="617" t="e">
        <f>'CANARD STRUCT'!#REF!*2.20462*3.28084</f>
        <v>#REF!</v>
      </c>
      <c r="EX52" s="617" t="e">
        <f>'CANARD STRUCT'!#REF!*2.20462*3.28084</f>
        <v>#REF!</v>
      </c>
      <c r="EY52" s="617" t="e">
        <f>'CANARD STRUCT'!#REF!*2.20462/3.28084</f>
        <v>#REF!</v>
      </c>
      <c r="EZ52" s="617" t="e">
        <f>'CANARD STRUCT'!#REF!*3.28084</f>
        <v>#REF!</v>
      </c>
      <c r="FA52" s="617" t="e">
        <f>'CANARD STRUCT'!#REF!*3.28084</f>
        <v>#REF!</v>
      </c>
      <c r="FB52" s="617" t="e">
        <f>'CANARD STRUCT'!#REF!*3.28084</f>
        <v>#REF!</v>
      </c>
      <c r="FC52" s="617" t="e">
        <f>'CANARD STRUCT'!#REF!*3.28084</f>
        <v>#REF!</v>
      </c>
      <c r="FD52" s="617" t="e">
        <f>'CANARD STRUCT'!#REF!*3.28084</f>
        <v>#REF!</v>
      </c>
      <c r="FE52" s="617" t="e">
        <f>'CANARD STRUCT'!#REF!*3.28084</f>
        <v>#REF!</v>
      </c>
      <c r="FF52" s="617" t="e">
        <f>'CANARD STRUCT'!#REF!</f>
        <v>#REF!</v>
      </c>
      <c r="FG52" s="617" t="e">
        <f>'CANARD STRUCT'!#REF!</f>
        <v>#REF!</v>
      </c>
      <c r="FH52" s="617" t="e">
        <f>'CANARD STRUCT'!#REF!*3.28084</f>
        <v>#REF!</v>
      </c>
      <c r="FI52" s="617" t="e">
        <f>'CANARD STRUCT'!#REF!*3.28084</f>
        <v>#REF!</v>
      </c>
      <c r="FJ52" s="617" t="e">
        <f>'CANARD STRUCT'!#REF!*3.28084^3</f>
        <v>#REF!</v>
      </c>
      <c r="FK52" s="617" t="e">
        <f>'CANARD STRUCT'!#REF!*3.28084</f>
        <v>#REF!</v>
      </c>
      <c r="FL52" s="617" t="e">
        <f>'CANARD STRUCT'!#REF!</f>
        <v>#REF!</v>
      </c>
      <c r="FM52" s="617" t="e">
        <f>'CANARD STRUCT'!#REF!</f>
        <v>#REF!</v>
      </c>
      <c r="FN52" s="617" t="e">
        <f>'CANARD STRUCT'!#REF!*3.28084</f>
        <v>#REF!</v>
      </c>
      <c r="FO52" s="617" t="e">
        <f>'CANARD STRUCT'!#REF!</f>
        <v>#REF!</v>
      </c>
      <c r="FP52" s="617" t="e">
        <f>'CANARD STRUCT'!#REF!</f>
        <v>#REF!</v>
      </c>
      <c r="FQ52" s="617" t="e">
        <f>'CANARD STRUCT'!#REF!</f>
        <v>#REF!</v>
      </c>
      <c r="FR52" s="617" t="e">
        <f>'CANARD STRUCT'!#REF!</f>
        <v>#REF!</v>
      </c>
      <c r="FS52" s="617" t="e">
        <f>'CANARD STRUCT'!#REF!</f>
        <v>#REF!</v>
      </c>
      <c r="FT52" s="616" t="e">
        <f>'CANARD STRUCT'!#REF!</f>
        <v>#REF!</v>
      </c>
      <c r="FU52" s="690" t="e">
        <f>'CANARD STRUCT'!#REF!</f>
        <v>#REF!</v>
      </c>
      <c r="FV52" s="617" t="e">
        <f>'CANARD STRUCT'!#REF!*3.28084</f>
        <v>#REF!</v>
      </c>
      <c r="FW52" s="617" t="e">
        <f>'CANARD STRUCT'!#REF!*3.28084</f>
        <v>#REF!</v>
      </c>
      <c r="FX52" s="617" t="e">
        <f>'CANARD STRUCT'!#REF!*3.28084</f>
        <v>#REF!</v>
      </c>
      <c r="FY52" s="617" t="e">
        <f>'CANARD STRUCT'!#REF!</f>
        <v>#REF!</v>
      </c>
      <c r="FZ52" s="691" t="e">
        <f>'CANARD STRUCT'!#REF!*0.224809*3.28084^2</f>
        <v>#REF!</v>
      </c>
      <c r="GA52" s="691" t="e">
        <f>'CANARD STRUCT'!#REF!*0.224809*3.28084^2</f>
        <v>#REF!</v>
      </c>
      <c r="GB52" s="691" t="e">
        <f>'CANARD STRUCT'!#REF!*0.224809*3.28084^2</f>
        <v>#REF!</v>
      </c>
      <c r="GC52" s="691" t="e">
        <f>'CANARD STRUCT'!#REF!*0.224809*3.28084^2</f>
        <v>#REF!</v>
      </c>
      <c r="GD52" s="691" t="e">
        <f>'CANARD STRUCT'!#REF!*0.224809*3.28084^2</f>
        <v>#REF!</v>
      </c>
      <c r="GE52" s="691" t="e">
        <f>'CANARD STRUCT'!#REF!*0.224809*3.28084^2</f>
        <v>#REF!</v>
      </c>
      <c r="GF52" s="617" t="e">
        <f>'CANARD STRUCT'!#REF!</f>
        <v>#REF!</v>
      </c>
      <c r="GG52" s="691" t="e">
        <f>'CANARD STRUCT'!#REF!*0.224809</f>
        <v>#REF!</v>
      </c>
      <c r="GH52" s="691" t="e">
        <f>'CANARD STRUCT'!#REF!*0.224809</f>
        <v>#REF!</v>
      </c>
      <c r="GI52" s="617" t="e">
        <f>'CANARD STRUCT'!#REF!*2.20462*3.28084</f>
        <v>#REF!</v>
      </c>
      <c r="GJ52" s="617" t="e">
        <f>'CANARD STRUCT'!#REF!*2.20462*3.28084</f>
        <v>#REF!</v>
      </c>
      <c r="GK52" s="617" t="e">
        <f>'CANARD STRUCT'!#REF!*2.20462/3.28084</f>
        <v>#REF!</v>
      </c>
      <c r="GL52" s="617" t="e">
        <f>'CANARD STRUCT'!#REF!*3.28084</f>
        <v>#REF!</v>
      </c>
      <c r="GM52" s="617" t="e">
        <f>'CANARD STRUCT'!#REF!*3.28084</f>
        <v>#REF!</v>
      </c>
      <c r="GN52" s="617" t="e">
        <f>'CANARD STRUCT'!#REF!*2.20462*3.28084</f>
        <v>#REF!</v>
      </c>
      <c r="GO52" s="617" t="e">
        <f>'CANARD STRUCT'!#REF!*2.20462*3.28084</f>
        <v>#REF!</v>
      </c>
      <c r="GP52" s="617" t="e">
        <f>'CANARD STRUCT'!#REF!*2.20462/3.28084</f>
        <v>#REF!</v>
      </c>
      <c r="GQ52" s="617" t="e">
        <f>'CANARD STRUCT'!#REF!*3.28084</f>
        <v>#REF!</v>
      </c>
      <c r="GR52" s="617" t="e">
        <f>'CANARD STRUCT'!#REF!*3.28084</f>
        <v>#REF!</v>
      </c>
      <c r="GS52" s="617" t="e">
        <f>'CANARD STRUCT'!#REF!*3.28084</f>
        <v>#REF!</v>
      </c>
      <c r="GT52" s="617" t="e">
        <f>'CANARD STRUCT'!#REF!*3.28084</f>
        <v>#REF!</v>
      </c>
      <c r="GU52" s="617" t="e">
        <f>'CANARD STRUCT'!#REF!*3.28084</f>
        <v>#REF!</v>
      </c>
      <c r="GV52" s="617" t="e">
        <f>'CANARD STRUCT'!#REF!*3.28084</f>
        <v>#REF!</v>
      </c>
      <c r="GW52" s="617" t="e">
        <f>'CANARD STRUCT'!#REF!</f>
        <v>#REF!</v>
      </c>
      <c r="GX52" s="617" t="e">
        <f>'CANARD STRUCT'!#REF!</f>
        <v>#REF!</v>
      </c>
      <c r="GY52" s="617" t="e">
        <f>'CANARD STRUCT'!#REF!*3.28084</f>
        <v>#REF!</v>
      </c>
      <c r="GZ52" s="617" t="e">
        <f>'CANARD STRUCT'!#REF!*3.28084</f>
        <v>#REF!</v>
      </c>
      <c r="HA52" s="617" t="e">
        <f>'CANARD STRUCT'!#REF!*3.28084^3</f>
        <v>#REF!</v>
      </c>
      <c r="HB52" s="617" t="e">
        <f>'CANARD STRUCT'!#REF!*3.28084</f>
        <v>#REF!</v>
      </c>
      <c r="HC52" s="617" t="e">
        <f>'CANARD STRUCT'!#REF!</f>
        <v>#REF!</v>
      </c>
      <c r="HD52" s="617" t="e">
        <f>'CANARD STRUCT'!#REF!</f>
        <v>#REF!</v>
      </c>
      <c r="HE52" s="617" t="e">
        <f>'CANARD STRUCT'!#REF!*3.28084</f>
        <v>#REF!</v>
      </c>
      <c r="HF52" s="617" t="e">
        <f>'CANARD STRUCT'!#REF!</f>
        <v>#REF!</v>
      </c>
      <c r="HG52" s="617" t="e">
        <f>'CANARD STRUCT'!#REF!</f>
        <v>#REF!</v>
      </c>
      <c r="HH52" s="617" t="e">
        <f>'CANARD STRUCT'!#REF!</f>
        <v>#REF!</v>
      </c>
      <c r="HI52" s="617" t="e">
        <f>'CANARD STRUCT'!#REF!</f>
        <v>#REF!</v>
      </c>
      <c r="HJ52" s="617" t="e">
        <f>'CANARD STRUCT'!#REF!</f>
        <v>#REF!</v>
      </c>
      <c r="HK52" s="616" t="e">
        <f>'CANARD STRUCT'!#REF!</f>
        <v>#REF!</v>
      </c>
    </row>
    <row r="53" spans="1:219" x14ac:dyDescent="0.25">
      <c r="A53" t="s">
        <v>890</v>
      </c>
      <c r="B53" s="663">
        <v>-3.05</v>
      </c>
      <c r="C53" s="664">
        <v>1.56</v>
      </c>
      <c r="D53" s="664">
        <v>0.1</v>
      </c>
      <c r="E53" s="669" t="e">
        <f>'CANARD STRUCT'!#REF!* 3.28084</f>
        <v>#REF!</v>
      </c>
      <c r="F53" s="669" t="e">
        <f>'CANARD STRUCT'!#REF!* 3.28084</f>
        <v>#REF!</v>
      </c>
      <c r="G53" s="669" t="e">
        <f>'CANARD STRUCT'!#REF!* 3.28084</f>
        <v>#REF!</v>
      </c>
      <c r="H53" s="670" t="e">
        <f>'CANARD STRUCT'!#REF!*2.20462</f>
        <v>#REF!</v>
      </c>
      <c r="I53" s="667">
        <v>5</v>
      </c>
      <c r="J53" s="204" t="e">
        <f>E53</f>
        <v>#REF!</v>
      </c>
      <c r="K53" s="575">
        <v>6</v>
      </c>
      <c r="L53" t="e">
        <f>MIN(V50:V51)</f>
        <v>#REF!</v>
      </c>
      <c r="M53">
        <v>2</v>
      </c>
      <c r="N53" s="626" t="e">
        <f>W50/MAX('REF - ASWING AERO-Imperial'!R24:R50)*MAX('REF - ASWING STRUCT-Imperial'!CM50:CM95)</f>
        <v>#REF!</v>
      </c>
      <c r="O53" s="576">
        <v>0</v>
      </c>
      <c r="P53" s="580"/>
      <c r="Q53" s="575"/>
      <c r="AU53" s="594"/>
      <c r="AV53" s="574">
        <f ca="1">100*(AX53-$AX$50)/(MAX($AX$50:INDEX(($AX$50:$AX$150),$F$35+1,1))-MIN($AX$50:INDEX(($AX$50:$AX$150),$F$35+1,1)))</f>
        <v>14.000000000000002</v>
      </c>
      <c r="AW53" s="659">
        <f ca="1">OFFSET('Trapezoidal Wing Summary'!C$45,((ROW('Trapezoidal Wing Summary'!$A48)-ROW('Trapezoidal Wing Summary'!$A$45))*100/$F$35),0)+$F$15</f>
        <v>10.444105977255999</v>
      </c>
      <c r="AX53" s="659">
        <f ca="1">OFFSET('Trapezoidal Wing Summary'!D$45,((ROW('Trapezoidal Wing Summary'!$A48)-ROW('Trapezoidal Wing Summary'!$A$45))*100/$F$35),0)+$F$16</f>
        <v>1.3779528000000001</v>
      </c>
      <c r="AY53" s="659">
        <f ca="1">OFFSET('Trapezoidal Wing Summary'!E$45,((ROW('Trapezoidal Wing Summary'!$A48)-ROW('Trapezoidal Wing Summary'!$A$45))*100/$F$35),0)+$F$17</f>
        <v>12.850247130368</v>
      </c>
      <c r="AZ53" s="41">
        <f ca="1">OFFSET('Trapezoidal Wing Summary'!F$45,((ROW('Trapezoidal Wing Summary'!$A48)-ROW('Trapezoidal Wing Summary'!$A$45))*100/$F$35),0)</f>
        <v>0</v>
      </c>
      <c r="BA53" s="41">
        <f ca="1">OFFSET('Trapezoidal Wing Summary'!G$45,((ROW('Trapezoidal Wing Summary'!$A48)-ROW('Trapezoidal Wing Summary'!$A$45))*100/$F$35),0)</f>
        <v>185486.32420141617</v>
      </c>
      <c r="BB53" s="41">
        <f ca="1">OFFSET('Trapezoidal Wing Summary'!H$45,((ROW('Trapezoidal Wing Summary'!$A48)-ROW('Trapezoidal Wing Summary'!$A$45))*100/$F$35),0)</f>
        <v>164851.95455343759</v>
      </c>
      <c r="BC53" s="41">
        <f ca="1">OFFSET('Trapezoidal Wing Summary'!I$45,((ROW('Trapezoidal Wing Summary'!$A48)-ROW('Trapezoidal Wing Summary'!$A$45))*100/$F$35),0)</f>
        <v>0</v>
      </c>
      <c r="BD53" s="41">
        <f ca="1">OFFSET('Trapezoidal Wing Summary'!J$45,((ROW('Trapezoidal Wing Summary'!$A48)-ROW('Trapezoidal Wing Summary'!$A$45))*100/$F$35),0)</f>
        <v>0</v>
      </c>
      <c r="BE53" s="41">
        <f ca="1">OFFSET('Trapezoidal Wing Summary'!K$45,((ROW('Trapezoidal Wing Summary'!$A48)-ROW('Trapezoidal Wing Summary'!$A$45))*100/$F$35),0)</f>
        <v>0</v>
      </c>
      <c r="BF53" s="41">
        <f ca="1">OFFSET('Trapezoidal Wing Summary'!L$45,((ROW('Trapezoidal Wing Summary'!$A48)-ROW('Trapezoidal Wing Summary'!$A$45))*100/$F$35),0)</f>
        <v>3176598.4613986588</v>
      </c>
      <c r="BG53" s="41">
        <f ca="1">OFFSET('Trapezoidal Wing Summary'!M$45,((ROW('Trapezoidal Wing Summary'!$A48)-ROW('Trapezoidal Wing Summary'!$A$45))*100/$F$35),0)</f>
        <v>0</v>
      </c>
      <c r="BH53" s="41">
        <f ca="1">OFFSET('Trapezoidal Wing Summary'!N$45,((ROW('Trapezoidal Wing Summary'!$A48)-ROW('Trapezoidal Wing Summary'!$A$45))*100/$F$35),0)</f>
        <v>0</v>
      </c>
      <c r="BI53" s="41">
        <f ca="1">OFFSET('Trapezoidal Wing Summary'!O$45,((ROW('Trapezoidal Wing Summary'!$A48)-ROW('Trapezoidal Wing Summary'!$A$45))*100/$F$35),0)</f>
        <v>0</v>
      </c>
      <c r="BJ53" s="41">
        <f ca="1">OFFSET('Trapezoidal Wing Summary'!P$45,((ROW('Trapezoidal Wing Summary'!$A48)-ROW('Trapezoidal Wing Summary'!$A$45))*100/$F$35),0)</f>
        <v>0</v>
      </c>
      <c r="BK53" s="41">
        <f ca="1">OFFSET('Trapezoidal Wing Summary'!Q$45,((ROW('Trapezoidal Wing Summary'!$A48)-ROW('Trapezoidal Wing Summary'!$A$45))*100/$F$35),0)</f>
        <v>0</v>
      </c>
      <c r="BL53" s="41">
        <f ca="1">OFFSET('Trapezoidal Wing Summary'!R$45,((ROW('Trapezoidal Wing Summary'!$A48)-ROW('Trapezoidal Wing Summary'!$A$45))*100/$F$35),0)</f>
        <v>3.1711164260040428</v>
      </c>
      <c r="BM53" s="41">
        <f ca="1">OFFSET('Trapezoidal Wing Summary'!S$45,((ROW('Trapezoidal Wing Summary'!$A48)-ROW('Trapezoidal Wing Summary'!$A$45))*100/$F$35),0)</f>
        <v>0.37680725191727116</v>
      </c>
      <c r="BN53" s="41">
        <f ca="1">OFFSET('Trapezoidal Wing Summary'!T$45,((ROW('Trapezoidal Wing Summary'!$A48)-ROW('Trapezoidal Wing Summary'!$A$45))*100/$F$35),0)</f>
        <v>0</v>
      </c>
      <c r="BO53" s="41">
        <f ca="1">OFFSET('Trapezoidal Wing Summary'!U$45,((ROW('Trapezoidal Wing Summary'!$A48)-ROW('Trapezoidal Wing Summary'!$A$45))*100/$F$35),0)</f>
        <v>0</v>
      </c>
      <c r="BP53" s="41">
        <f ca="1">OFFSET('Trapezoidal Wing Summary'!V$45,((ROW('Trapezoidal Wing Summary'!$A48)-ROW('Trapezoidal Wing Summary'!$A$45))*100/$F$35),0)</f>
        <v>0</v>
      </c>
      <c r="BQ53" s="41">
        <f ca="1">OFFSET('Trapezoidal Wing Summary'!W$45,((ROW('Trapezoidal Wing Summary'!$A48)-ROW('Trapezoidal Wing Summary'!$A$45))*100/$F$35),0)</f>
        <v>0</v>
      </c>
      <c r="BR53" s="41">
        <f ca="1">OFFSET('Trapezoidal Wing Summary'!X$45,((ROW('Trapezoidal Wing Summary'!$A48)-ROW('Trapezoidal Wing Summary'!$A$45))*100/$F$35),0)</f>
        <v>0</v>
      </c>
      <c r="BS53" s="41">
        <f ca="1">OFFSET('Trapezoidal Wing Summary'!Y$45,((ROW('Trapezoidal Wing Summary'!$A48)-ROW('Trapezoidal Wing Summary'!$A$45))*100/$F$35),0)</f>
        <v>0</v>
      </c>
      <c r="BT53" s="41">
        <f ca="1">OFFSET('Trapezoidal Wing Summary'!Z$45,((ROW('Trapezoidal Wing Summary'!$A48)-ROW('Trapezoidal Wing Summary'!$A$45))*100/$F$35),0)</f>
        <v>0.18057636245191655</v>
      </c>
      <c r="BU53" s="41">
        <f ca="1">OFFSET('Trapezoidal Wing Summary'!AA$45,((ROW('Trapezoidal Wing Summary'!$A48)-ROW('Trapezoidal Wing Summary'!$A$45))*100/$F$35),0)</f>
        <v>0</v>
      </c>
      <c r="BV53" s="41">
        <f ca="1">OFFSET('Trapezoidal Wing Summary'!AB$45,((ROW('Trapezoidal Wing Summary'!$A48)-ROW('Trapezoidal Wing Summary'!$A$45))*100/$F$35),0)</f>
        <v>0</v>
      </c>
      <c r="BW53" s="41">
        <f ca="1">OFFSET('Trapezoidal Wing Summary'!AC$45,((ROW('Trapezoidal Wing Summary'!$A48)-ROW('Trapezoidal Wing Summary'!$A$45))*100/$F$35),0)</f>
        <v>0</v>
      </c>
      <c r="BX53" s="41">
        <f ca="1">OFFSET('Trapezoidal Wing Summary'!AD$45,((ROW('Trapezoidal Wing Summary'!$A48)-ROW('Trapezoidal Wing Summary'!$A$45))*100/$F$35),0)</f>
        <v>2E-3</v>
      </c>
      <c r="BY53" s="41">
        <f ca="1">OFFSET('Trapezoidal Wing Summary'!AE$45,((ROW('Trapezoidal Wing Summary'!$A48)-ROW('Trapezoidal Wing Summary'!$A$45))*100/$F$35),0)</f>
        <v>2E-3</v>
      </c>
      <c r="BZ53" s="41">
        <f ca="1">OFFSET('Trapezoidal Wing Summary'!AF$45,((ROW('Trapezoidal Wing Summary'!$A48)-ROW('Trapezoidal Wing Summary'!$A$45))*100/$F$35),0)</f>
        <v>0</v>
      </c>
      <c r="CA53" s="41">
        <f ca="1">OFFSET('Trapezoidal Wing Summary'!AG$45,((ROW('Trapezoidal Wing Summary'!$A48)-ROW('Trapezoidal Wing Summary'!$A$45))*100/$F$35),0)</f>
        <v>0.17952756479999998</v>
      </c>
      <c r="CB53" s="41">
        <f ca="1">OFFSET('Trapezoidal Wing Summary'!AH$45,((ROW('Trapezoidal Wing Summary'!$A48)-ROW('Trapezoidal Wing Summary'!$A$45))*100/$F$35),0)</f>
        <v>1.0381191718015564E-3</v>
      </c>
      <c r="CC53" s="41">
        <f ca="1">OFFSET('Trapezoidal Wing Summary'!AI$45,((ROW('Trapezoidal Wing Summary'!$A48)-ROW('Trapezoidal Wing Summary'!$A$45))*100/$F$35),0)</f>
        <v>0</v>
      </c>
      <c r="CD53" s="41">
        <f>'REF - ASWING AERO-Imperial'!$R$5</f>
        <v>5.4999999999999997E-3</v>
      </c>
      <c r="CE53" s="41">
        <f>'REF - ASWING AERO-Imperial'!$R$6</f>
        <v>5.4999999999999997E-3</v>
      </c>
      <c r="CF53" s="41">
        <f ca="1">OFFSET('Trapezoidal Wing Summary'!AL$45,((ROW('Trapezoidal Wing Summary'!$A48)-ROW('Trapezoidal Wing Summary'!$A$45))*100/$F$35),0)</f>
        <v>1.9947507199999999</v>
      </c>
      <c r="CG53" s="41">
        <f ca="1">OFFSET('Trapezoidal Wing Summary'!AM$45,((ROW('Trapezoidal Wing Summary'!$A48)-ROW('Trapezoidal Wing Summary'!$A$45))*100/$F$35),0)</f>
        <v>0.25</v>
      </c>
      <c r="CH53" s="41">
        <f ca="1">OFFSET('Trapezoidal Wing Summary'!AN$45,((ROW('Trapezoidal Wing Summary'!$A48)-ROW('Trapezoidal Wing Summary'!$A$45))*100/$F$35),0)</f>
        <v>5.9</v>
      </c>
      <c r="CI53" s="41">
        <f ca="1">OFFSET('Trapezoidal Wing Summary'!AO$45,((ROW('Trapezoidal Wing Summary'!$A48)-ROW('Trapezoidal Wing Summary'!$A$45))*100/$F$35),0)</f>
        <v>-0.15</v>
      </c>
      <c r="CJ53" s="41">
        <f ca="1">OFFSET('Trapezoidal Wing Summary'!AP$45,((ROW('Trapezoidal Wing Summary'!$A48)-ROW('Trapezoidal Wing Summary'!$A$45))*100/$F$35),0)</f>
        <v>2.25</v>
      </c>
      <c r="CK53" s="41">
        <f ca="1">OFFSET('Trapezoidal Wing Summary'!AQ$45,((ROW('Trapezoidal Wing Summary'!$A48)-ROW('Trapezoidal Wing Summary'!$A$45))*100/$F$35),0)</f>
        <v>-1.65</v>
      </c>
      <c r="CL53" s="41">
        <f ca="1">OFFSET('Trapezoidal Wing Summary'!AR$45,((ROW('Trapezoidal Wing Summary'!$A48)-ROW('Trapezoidal Wing Summary'!$A$45))*100/$F$35),0)</f>
        <v>5.9690260418206069</v>
      </c>
      <c r="CM53" s="644" t="e">
        <f>'CANARD STRUCT'!#REF!</f>
        <v>#REF!</v>
      </c>
      <c r="CN53" s="642" t="e">
        <f>'CANARD STRUCT'!#REF!*3.28084</f>
        <v>#REF!</v>
      </c>
      <c r="CO53" s="642" t="e">
        <f>'CANARD STRUCT'!#REF!*3.28084</f>
        <v>#REF!</v>
      </c>
      <c r="CP53" s="642" t="e">
        <f>'CANARD STRUCT'!#REF!*3.28084</f>
        <v>#REF!</v>
      </c>
      <c r="CQ53" s="642" t="e">
        <f>'CANARD STRUCT'!#REF!</f>
        <v>#REF!</v>
      </c>
      <c r="CR53" s="685" t="e">
        <f>'CANARD STRUCT'!#REF!*0.224809*3.28084^2</f>
        <v>#REF!</v>
      </c>
      <c r="CS53" s="685" t="e">
        <f>'CANARD STRUCT'!#REF!*0.224809*3.28084^2</f>
        <v>#REF!</v>
      </c>
      <c r="CT53" s="685" t="e">
        <f>'CANARD STRUCT'!#REF!*0.224809*3.28084^2</f>
        <v>#REF!</v>
      </c>
      <c r="CU53" s="685" t="e">
        <f>'CANARD STRUCT'!#REF!*0.224809*3.28084^2</f>
        <v>#REF!</v>
      </c>
      <c r="CV53" s="685" t="e">
        <f>'CANARD STRUCT'!#REF!*0.224809*3.28084^2</f>
        <v>#REF!</v>
      </c>
      <c r="CW53" s="685" t="e">
        <f>'CANARD STRUCT'!#REF!*0.224809*3.28084^2</f>
        <v>#REF!</v>
      </c>
      <c r="CX53" s="642" t="e">
        <f>'CANARD STRUCT'!#REF!</f>
        <v>#REF!</v>
      </c>
      <c r="CY53" s="642" t="e">
        <f>'CANARD STRUCT'!#REF!*0.224809</f>
        <v>#REF!</v>
      </c>
      <c r="CZ53" s="642" t="e">
        <f>'CANARD STRUCT'!#REF!*0.224809</f>
        <v>#REF!</v>
      </c>
      <c r="DA53" s="642" t="e">
        <f>'CANARD STRUCT'!#REF!*2.20462*3.28084</f>
        <v>#REF!</v>
      </c>
      <c r="DB53" s="642" t="e">
        <f>'CANARD STRUCT'!#REF!*2.20462*3.28084</f>
        <v>#REF!</v>
      </c>
      <c r="DC53" s="642" t="e">
        <f>'CANARD STRUCT'!#REF!*2.20462/3.28084</f>
        <v>#REF!</v>
      </c>
      <c r="DD53" s="642" t="e">
        <f>'CANARD STRUCT'!#REF!*3.28084</f>
        <v>#REF!</v>
      </c>
      <c r="DE53" s="642" t="e">
        <f>'CANARD STRUCT'!#REF!*3.28084</f>
        <v>#REF!</v>
      </c>
      <c r="DF53" s="642" t="e">
        <f>'CANARD STRUCT'!#REF!*2.20462*3.28084</f>
        <v>#REF!</v>
      </c>
      <c r="DG53" s="642" t="e">
        <f>'CANARD STRUCT'!#REF!*2.20462*3.28084</f>
        <v>#REF!</v>
      </c>
      <c r="DH53" s="642" t="e">
        <f>'CANARD STRUCT'!#REF!*2.20462/3.28084</f>
        <v>#REF!</v>
      </c>
      <c r="DI53" s="642" t="e">
        <f>'CANARD STRUCT'!#REF!*3.28084</f>
        <v>#REF!</v>
      </c>
      <c r="DJ53" s="642" t="e">
        <f>'CANARD STRUCT'!#REF!*3.28084</f>
        <v>#REF!</v>
      </c>
      <c r="DK53" s="642" t="e">
        <f>'CANARD STRUCT'!#REF!*3.28084</f>
        <v>#REF!</v>
      </c>
      <c r="DL53" s="642" t="e">
        <f>'CANARD STRUCT'!#REF!*3.28084</f>
        <v>#REF!</v>
      </c>
      <c r="DM53" s="642" t="e">
        <f>'CANARD STRUCT'!#REF!*3.28084</f>
        <v>#REF!</v>
      </c>
      <c r="DN53" s="642" t="e">
        <f>'CANARD STRUCT'!#REF!*3.28084</f>
        <v>#REF!</v>
      </c>
      <c r="DO53" s="642" t="e">
        <f>'CANARD STRUCT'!#REF!</f>
        <v>#REF!</v>
      </c>
      <c r="DP53" s="642" t="e">
        <f>'CANARD STRUCT'!#REF!</f>
        <v>#REF!</v>
      </c>
      <c r="DQ53" s="642" t="e">
        <f>'CANARD STRUCT'!#REF!*3.28084</f>
        <v>#REF!</v>
      </c>
      <c r="DR53" s="642" t="e">
        <f>'CANARD STRUCT'!#REF!*3.28084</f>
        <v>#REF!</v>
      </c>
      <c r="DS53" s="642" t="e">
        <f>'CANARD STRUCT'!#REF!*3.28084^3</f>
        <v>#REF!</v>
      </c>
      <c r="DT53" s="642" t="e">
        <f>'CANARD STRUCT'!#REF!*3.28084</f>
        <v>#REF!</v>
      </c>
      <c r="DU53" s="642" t="e">
        <f>'CANARD STRUCT'!#REF!</f>
        <v>#REF!</v>
      </c>
      <c r="DV53" s="642" t="e">
        <f>'CANARD STRUCT'!#REF!</f>
        <v>#REF!</v>
      </c>
      <c r="DW53" s="642" t="e">
        <f>'CANARD STRUCT'!#REF!*3.28084</f>
        <v>#REF!</v>
      </c>
      <c r="DX53" s="642" t="e">
        <f>'CANARD STRUCT'!#REF!</f>
        <v>#REF!</v>
      </c>
      <c r="DY53" s="642" t="e">
        <f>'CANARD STRUCT'!#REF!</f>
        <v>#REF!</v>
      </c>
      <c r="DZ53" s="642" t="e">
        <f>'CANARD STRUCT'!#REF!</f>
        <v>#REF!</v>
      </c>
      <c r="EA53" s="642" t="e">
        <f>'CANARD STRUCT'!#REF!</f>
        <v>#REF!</v>
      </c>
      <c r="EB53" s="642" t="e">
        <f>'CANARD STRUCT'!#REF!</f>
        <v>#REF!</v>
      </c>
      <c r="EC53" s="641" t="e">
        <f>'CANARD STRUCT'!#REF!</f>
        <v>#REF!</v>
      </c>
      <c r="ED53" s="690" t="e">
        <f>'CANARD STRUCT'!#REF!</f>
        <v>#REF!</v>
      </c>
      <c r="EE53" s="617" t="e">
        <f>'CANARD STRUCT'!#REF!*3.28084</f>
        <v>#REF!</v>
      </c>
      <c r="EF53" s="617" t="e">
        <f>'CANARD STRUCT'!#REF!*3.28084</f>
        <v>#REF!</v>
      </c>
      <c r="EG53" s="617" t="e">
        <f>'CANARD STRUCT'!#REF!*3.28084</f>
        <v>#REF!</v>
      </c>
      <c r="EH53" s="617" t="e">
        <f>'CANARD STRUCT'!#REF!</f>
        <v>#REF!</v>
      </c>
      <c r="EI53" s="691" t="e">
        <f>'CANARD STRUCT'!#REF!*0.224809*3.28084^2</f>
        <v>#REF!</v>
      </c>
      <c r="EJ53" s="691" t="e">
        <f>'CANARD STRUCT'!#REF!*0.224809*3.28084^2</f>
        <v>#REF!</v>
      </c>
      <c r="EK53" s="691" t="e">
        <f>'CANARD STRUCT'!#REF!*0.224809*3.28084^2</f>
        <v>#REF!</v>
      </c>
      <c r="EL53" s="691" t="e">
        <f>'CANARD STRUCT'!#REF!*0.224809*3.28084^2</f>
        <v>#REF!</v>
      </c>
      <c r="EM53" s="691" t="e">
        <f>'CANARD STRUCT'!#REF!*0.224809*3.28084^2</f>
        <v>#REF!</v>
      </c>
      <c r="EN53" s="691" t="e">
        <f>'CANARD STRUCT'!#REF!*0.224809*3.28084^2</f>
        <v>#REF!</v>
      </c>
      <c r="EO53" s="617" t="e">
        <f>'CANARD STRUCT'!#REF!</f>
        <v>#REF!</v>
      </c>
      <c r="EP53" s="691" t="e">
        <f>'CANARD STRUCT'!#REF!*0.224809</f>
        <v>#REF!</v>
      </c>
      <c r="EQ53" s="691" t="e">
        <f>'CANARD STRUCT'!#REF!*0.224809</f>
        <v>#REF!</v>
      </c>
      <c r="ER53" s="617" t="e">
        <f>'CANARD STRUCT'!#REF!*2.20462*3.28084</f>
        <v>#REF!</v>
      </c>
      <c r="ES53" s="617" t="e">
        <f>'CANARD STRUCT'!#REF!*2.20462*3.28084</f>
        <v>#REF!</v>
      </c>
      <c r="ET53" s="617" t="e">
        <f>'CANARD STRUCT'!#REF!*2.20462/3.28084</f>
        <v>#REF!</v>
      </c>
      <c r="EU53" s="617" t="e">
        <f>'CANARD STRUCT'!#REF!*3.28084</f>
        <v>#REF!</v>
      </c>
      <c r="EV53" s="617" t="e">
        <f>'CANARD STRUCT'!#REF!*3.28084</f>
        <v>#REF!</v>
      </c>
      <c r="EW53" s="617" t="e">
        <f>'CANARD STRUCT'!#REF!*2.20462*3.28084</f>
        <v>#REF!</v>
      </c>
      <c r="EX53" s="617" t="e">
        <f>'CANARD STRUCT'!#REF!*2.20462*3.28084</f>
        <v>#REF!</v>
      </c>
      <c r="EY53" s="617" t="e">
        <f>'CANARD STRUCT'!#REF!*2.20462/3.28084</f>
        <v>#REF!</v>
      </c>
      <c r="EZ53" s="617" t="e">
        <f>'CANARD STRUCT'!#REF!*3.28084</f>
        <v>#REF!</v>
      </c>
      <c r="FA53" s="617" t="e">
        <f>'CANARD STRUCT'!#REF!*3.28084</f>
        <v>#REF!</v>
      </c>
      <c r="FB53" s="617" t="e">
        <f>'CANARD STRUCT'!#REF!*3.28084</f>
        <v>#REF!</v>
      </c>
      <c r="FC53" s="617" t="e">
        <f>'CANARD STRUCT'!#REF!*3.28084</f>
        <v>#REF!</v>
      </c>
      <c r="FD53" s="617" t="e">
        <f>'CANARD STRUCT'!#REF!*3.28084</f>
        <v>#REF!</v>
      </c>
      <c r="FE53" s="617" t="e">
        <f>'CANARD STRUCT'!#REF!*3.28084</f>
        <v>#REF!</v>
      </c>
      <c r="FF53" s="617" t="e">
        <f>'CANARD STRUCT'!#REF!</f>
        <v>#REF!</v>
      </c>
      <c r="FG53" s="617" t="e">
        <f>'CANARD STRUCT'!#REF!</f>
        <v>#REF!</v>
      </c>
      <c r="FH53" s="617" t="e">
        <f>'CANARD STRUCT'!#REF!*3.28084</f>
        <v>#REF!</v>
      </c>
      <c r="FI53" s="617" t="e">
        <f>'CANARD STRUCT'!#REF!*3.28084</f>
        <v>#REF!</v>
      </c>
      <c r="FJ53" s="617" t="e">
        <f>'CANARD STRUCT'!#REF!*3.28084^3</f>
        <v>#REF!</v>
      </c>
      <c r="FK53" s="617" t="e">
        <f>'CANARD STRUCT'!#REF!*3.28084</f>
        <v>#REF!</v>
      </c>
      <c r="FL53" s="617" t="e">
        <f>'CANARD STRUCT'!#REF!</f>
        <v>#REF!</v>
      </c>
      <c r="FM53" s="617" t="e">
        <f>'CANARD STRUCT'!#REF!</f>
        <v>#REF!</v>
      </c>
      <c r="FN53" s="617" t="e">
        <f>'CANARD STRUCT'!#REF!*3.28084</f>
        <v>#REF!</v>
      </c>
      <c r="FO53" s="617" t="e">
        <f>'CANARD STRUCT'!#REF!</f>
        <v>#REF!</v>
      </c>
      <c r="FP53" s="617" t="e">
        <f>'CANARD STRUCT'!#REF!</f>
        <v>#REF!</v>
      </c>
      <c r="FQ53" s="617" t="e">
        <f>'CANARD STRUCT'!#REF!</f>
        <v>#REF!</v>
      </c>
      <c r="FR53" s="617" t="e">
        <f>'CANARD STRUCT'!#REF!</f>
        <v>#REF!</v>
      </c>
      <c r="FS53" s="617" t="e">
        <f>'CANARD STRUCT'!#REF!</f>
        <v>#REF!</v>
      </c>
      <c r="FT53" s="616" t="e">
        <f>'CANARD STRUCT'!#REF!</f>
        <v>#REF!</v>
      </c>
      <c r="FU53" s="690" t="e">
        <f>'CANARD STRUCT'!#REF!</f>
        <v>#REF!</v>
      </c>
      <c r="FV53" s="617" t="e">
        <f>'CANARD STRUCT'!#REF!*3.28084</f>
        <v>#REF!</v>
      </c>
      <c r="FW53" s="617" t="e">
        <f>'CANARD STRUCT'!#REF!*3.28084</f>
        <v>#REF!</v>
      </c>
      <c r="FX53" s="617" t="e">
        <f>'CANARD STRUCT'!#REF!*3.28084</f>
        <v>#REF!</v>
      </c>
      <c r="FY53" s="617" t="e">
        <f>'CANARD STRUCT'!#REF!</f>
        <v>#REF!</v>
      </c>
      <c r="FZ53" s="691" t="e">
        <f>'CANARD STRUCT'!#REF!*0.224809*3.28084^2</f>
        <v>#REF!</v>
      </c>
      <c r="GA53" s="691" t="e">
        <f>'CANARD STRUCT'!#REF!*0.224809*3.28084^2</f>
        <v>#REF!</v>
      </c>
      <c r="GB53" s="691" t="e">
        <f>'CANARD STRUCT'!#REF!*0.224809*3.28084^2</f>
        <v>#REF!</v>
      </c>
      <c r="GC53" s="691" t="e">
        <f>'CANARD STRUCT'!#REF!*0.224809*3.28084^2</f>
        <v>#REF!</v>
      </c>
      <c r="GD53" s="691" t="e">
        <f>'CANARD STRUCT'!#REF!*0.224809*3.28084^2</f>
        <v>#REF!</v>
      </c>
      <c r="GE53" s="691" t="e">
        <f>'CANARD STRUCT'!#REF!*0.224809*3.28084^2</f>
        <v>#REF!</v>
      </c>
      <c r="GF53" s="617" t="e">
        <f>'CANARD STRUCT'!#REF!</f>
        <v>#REF!</v>
      </c>
      <c r="GG53" s="691" t="e">
        <f>'CANARD STRUCT'!#REF!*0.224809</f>
        <v>#REF!</v>
      </c>
      <c r="GH53" s="691" t="e">
        <f>'CANARD STRUCT'!#REF!*0.224809</f>
        <v>#REF!</v>
      </c>
      <c r="GI53" s="617" t="e">
        <f>'CANARD STRUCT'!#REF!*2.20462*3.28084</f>
        <v>#REF!</v>
      </c>
      <c r="GJ53" s="617" t="e">
        <f>'CANARD STRUCT'!#REF!*2.20462*3.28084</f>
        <v>#REF!</v>
      </c>
      <c r="GK53" s="617" t="e">
        <f>'CANARD STRUCT'!#REF!*2.20462/3.28084</f>
        <v>#REF!</v>
      </c>
      <c r="GL53" s="617" t="e">
        <f>'CANARD STRUCT'!#REF!*3.28084</f>
        <v>#REF!</v>
      </c>
      <c r="GM53" s="617" t="e">
        <f>'CANARD STRUCT'!#REF!*3.28084</f>
        <v>#REF!</v>
      </c>
      <c r="GN53" s="617" t="e">
        <f>'CANARD STRUCT'!#REF!*2.20462*3.28084</f>
        <v>#REF!</v>
      </c>
      <c r="GO53" s="617" t="e">
        <f>'CANARD STRUCT'!#REF!*2.20462*3.28084</f>
        <v>#REF!</v>
      </c>
      <c r="GP53" s="617" t="e">
        <f>'CANARD STRUCT'!#REF!*2.20462/3.28084</f>
        <v>#REF!</v>
      </c>
      <c r="GQ53" s="617" t="e">
        <f>'CANARD STRUCT'!#REF!*3.28084</f>
        <v>#REF!</v>
      </c>
      <c r="GR53" s="617" t="e">
        <f>'CANARD STRUCT'!#REF!*3.28084</f>
        <v>#REF!</v>
      </c>
      <c r="GS53" s="617" t="e">
        <f>'CANARD STRUCT'!#REF!*3.28084</f>
        <v>#REF!</v>
      </c>
      <c r="GT53" s="617" t="e">
        <f>'CANARD STRUCT'!#REF!*3.28084</f>
        <v>#REF!</v>
      </c>
      <c r="GU53" s="617" t="e">
        <f>'CANARD STRUCT'!#REF!*3.28084</f>
        <v>#REF!</v>
      </c>
      <c r="GV53" s="617" t="e">
        <f>'CANARD STRUCT'!#REF!*3.28084</f>
        <v>#REF!</v>
      </c>
      <c r="GW53" s="617" t="e">
        <f>'CANARD STRUCT'!#REF!</f>
        <v>#REF!</v>
      </c>
      <c r="GX53" s="617" t="e">
        <f>'CANARD STRUCT'!#REF!</f>
        <v>#REF!</v>
      </c>
      <c r="GY53" s="617" t="e">
        <f>'CANARD STRUCT'!#REF!*3.28084</f>
        <v>#REF!</v>
      </c>
      <c r="GZ53" s="617" t="e">
        <f>'CANARD STRUCT'!#REF!*3.28084</f>
        <v>#REF!</v>
      </c>
      <c r="HA53" s="617" t="e">
        <f>'CANARD STRUCT'!#REF!*3.28084^3</f>
        <v>#REF!</v>
      </c>
      <c r="HB53" s="617" t="e">
        <f>'CANARD STRUCT'!#REF!*3.28084</f>
        <v>#REF!</v>
      </c>
      <c r="HC53" s="617" t="e">
        <f>'CANARD STRUCT'!#REF!</f>
        <v>#REF!</v>
      </c>
      <c r="HD53" s="617" t="e">
        <f>'CANARD STRUCT'!#REF!</f>
        <v>#REF!</v>
      </c>
      <c r="HE53" s="617" t="e">
        <f>'CANARD STRUCT'!#REF!*3.28084</f>
        <v>#REF!</v>
      </c>
      <c r="HF53" s="617" t="e">
        <f>'CANARD STRUCT'!#REF!</f>
        <v>#REF!</v>
      </c>
      <c r="HG53" s="617" t="e">
        <f>'CANARD STRUCT'!#REF!</f>
        <v>#REF!</v>
      </c>
      <c r="HH53" s="617" t="e">
        <f>'CANARD STRUCT'!#REF!</f>
        <v>#REF!</v>
      </c>
      <c r="HI53" s="617" t="e">
        <f>'CANARD STRUCT'!#REF!</f>
        <v>#REF!</v>
      </c>
      <c r="HJ53" s="617" t="e">
        <f>'CANARD STRUCT'!#REF!</f>
        <v>#REF!</v>
      </c>
      <c r="HK53" s="616" t="e">
        <f>'CANARD STRUCT'!#REF!</f>
        <v>#REF!</v>
      </c>
    </row>
    <row r="54" spans="1:219" x14ac:dyDescent="0.25">
      <c r="A54" t="s">
        <v>891</v>
      </c>
      <c r="B54" s="663">
        <v>0.71453</v>
      </c>
      <c r="C54" s="664">
        <v>-4.5949999999999998</v>
      </c>
      <c r="D54" s="664">
        <v>0.1</v>
      </c>
      <c r="E54" s="669" t="e">
        <f>'CANARD STRUCT'!#REF!* 3.28084</f>
        <v>#REF!</v>
      </c>
      <c r="F54" s="669" t="e">
        <f>'CANARD STRUCT'!#REF!* 3.28084</f>
        <v>#REF!</v>
      </c>
      <c r="G54" s="669" t="e">
        <f>'CANARD STRUCT'!#REF!* 3.28084</f>
        <v>#REF!</v>
      </c>
      <c r="H54" s="670" t="e">
        <f>'CANARD STRUCT'!#REF!*2.20462</f>
        <v>#REF!</v>
      </c>
      <c r="I54" s="667">
        <v>10</v>
      </c>
      <c r="J54" s="204" t="e">
        <f t="shared" ref="J54:J63" si="0">E54</f>
        <v>#REF!</v>
      </c>
      <c r="K54" s="575">
        <v>1</v>
      </c>
      <c r="L54" s="626" t="e">
        <f ca="1">AB50/MAX(AX50:AX100)*MAX(AV50:AV100)</f>
        <v>#REF!</v>
      </c>
      <c r="M54">
        <v>7</v>
      </c>
      <c r="N54" t="e">
        <f>MIN(AA50:AA51)</f>
        <v>#REF!</v>
      </c>
      <c r="O54" s="576">
        <v>0</v>
      </c>
      <c r="P54" s="580"/>
      <c r="AU54" s="594"/>
      <c r="AV54" s="574">
        <f ca="1">100*(AX54-$AX$50)/(MAX($AX$50:INDEX(($AX$50:$AX$150),$F$35+1,1))-MIN($AX$50:INDEX(($AX$50:$AX$150),$F$35+1,1)))</f>
        <v>19.000000000000004</v>
      </c>
      <c r="AW54" s="659">
        <f ca="1">OFFSET('Trapezoidal Wing Summary'!C$45,((ROW('Trapezoidal Wing Summary'!$A49)-ROW('Trapezoidal Wing Summary'!$A$45))*100/$F$35),0)+$F$15</f>
        <v>10.456409127256</v>
      </c>
      <c r="AX54" s="659">
        <f ca="1">OFFSET('Trapezoidal Wing Summary'!D$45,((ROW('Trapezoidal Wing Summary'!$A49)-ROW('Trapezoidal Wing Summary'!$A$45))*100/$F$35),0)+$F$16</f>
        <v>1.8700788000000002</v>
      </c>
      <c r="AY54" s="659">
        <f ca="1">OFFSET('Trapezoidal Wing Summary'!E$45,((ROW('Trapezoidal Wing Summary'!$A49)-ROW('Trapezoidal Wing Summary'!$A$45))*100/$F$35),0)+$F$17</f>
        <v>12.850247130368</v>
      </c>
      <c r="AZ54" s="41">
        <f ca="1">OFFSET('Trapezoidal Wing Summary'!F$45,((ROW('Trapezoidal Wing Summary'!$A49)-ROW('Trapezoidal Wing Summary'!$A$45))*100/$F$35),0)</f>
        <v>0</v>
      </c>
      <c r="BA54" s="41">
        <f ca="1">OFFSET('Trapezoidal Wing Summary'!G$45,((ROW('Trapezoidal Wing Summary'!$A49)-ROW('Trapezoidal Wing Summary'!$A$45))*100/$F$35),0)</f>
        <v>173174.16069812648</v>
      </c>
      <c r="BB54" s="41">
        <f ca="1">OFFSET('Trapezoidal Wing Summary'!H$45,((ROW('Trapezoidal Wing Summary'!$A49)-ROW('Trapezoidal Wing Summary'!$A$45))*100/$F$35),0)</f>
        <v>156818.15098782096</v>
      </c>
      <c r="BC54" s="41">
        <f ca="1">OFFSET('Trapezoidal Wing Summary'!I$45,((ROW('Trapezoidal Wing Summary'!$A49)-ROW('Trapezoidal Wing Summary'!$A$45))*100/$F$35),0)</f>
        <v>0</v>
      </c>
      <c r="BD54" s="41">
        <f ca="1">OFFSET('Trapezoidal Wing Summary'!J$45,((ROW('Trapezoidal Wing Summary'!$A49)-ROW('Trapezoidal Wing Summary'!$A$45))*100/$F$35),0)</f>
        <v>0</v>
      </c>
      <c r="BE54" s="41">
        <f ca="1">OFFSET('Trapezoidal Wing Summary'!K$45,((ROW('Trapezoidal Wing Summary'!$A49)-ROW('Trapezoidal Wing Summary'!$A$45))*100/$F$35),0)</f>
        <v>0</v>
      </c>
      <c r="BF54" s="41">
        <f ca="1">OFFSET('Trapezoidal Wing Summary'!L$45,((ROW('Trapezoidal Wing Summary'!$A49)-ROW('Trapezoidal Wing Summary'!$A$45))*100/$F$35),0)</f>
        <v>2947241.0903842123</v>
      </c>
      <c r="BG54" s="41">
        <f ca="1">OFFSET('Trapezoidal Wing Summary'!M$45,((ROW('Trapezoidal Wing Summary'!$A49)-ROW('Trapezoidal Wing Summary'!$A$45))*100/$F$35),0)</f>
        <v>0</v>
      </c>
      <c r="BH54" s="41">
        <f ca="1">OFFSET('Trapezoidal Wing Summary'!N$45,((ROW('Trapezoidal Wing Summary'!$A49)-ROW('Trapezoidal Wing Summary'!$A$45))*100/$F$35),0)</f>
        <v>0</v>
      </c>
      <c r="BI54" s="41">
        <f ca="1">OFFSET('Trapezoidal Wing Summary'!O$45,((ROW('Trapezoidal Wing Summary'!$A49)-ROW('Trapezoidal Wing Summary'!$A$45))*100/$F$35),0)</f>
        <v>0</v>
      </c>
      <c r="BJ54" s="41">
        <f ca="1">OFFSET('Trapezoidal Wing Summary'!P$45,((ROW('Trapezoidal Wing Summary'!$A49)-ROW('Trapezoidal Wing Summary'!$A$45))*100/$F$35),0)</f>
        <v>0</v>
      </c>
      <c r="BK54" s="41">
        <f ca="1">OFFSET('Trapezoidal Wing Summary'!Q$45,((ROW('Trapezoidal Wing Summary'!$A49)-ROW('Trapezoidal Wing Summary'!$A$45))*100/$F$35),0)</f>
        <v>0</v>
      </c>
      <c r="BL54" s="41">
        <f ca="1">OFFSET('Trapezoidal Wing Summary'!R$45,((ROW('Trapezoidal Wing Summary'!$A49)-ROW('Trapezoidal Wing Summary'!$A$45))*100/$F$35),0)</f>
        <v>3.1061381354182322</v>
      </c>
      <c r="BM54" s="41">
        <f ca="1">OFFSET('Trapezoidal Wing Summary'!S$45,((ROW('Trapezoidal Wing Summary'!$A49)-ROW('Trapezoidal Wing Summary'!$A$45))*100/$F$35),0)</f>
        <v>0.3659259845176005</v>
      </c>
      <c r="BN54" s="41">
        <f ca="1">OFFSET('Trapezoidal Wing Summary'!T$45,((ROW('Trapezoidal Wing Summary'!$A49)-ROW('Trapezoidal Wing Summary'!$A$45))*100/$F$35),0)</f>
        <v>0</v>
      </c>
      <c r="BO54" s="41">
        <f ca="1">OFFSET('Trapezoidal Wing Summary'!U$45,((ROW('Trapezoidal Wing Summary'!$A49)-ROW('Trapezoidal Wing Summary'!$A$45))*100/$F$35),0)</f>
        <v>0</v>
      </c>
      <c r="BP54" s="41">
        <f ca="1">OFFSET('Trapezoidal Wing Summary'!V$45,((ROW('Trapezoidal Wing Summary'!$A49)-ROW('Trapezoidal Wing Summary'!$A$45))*100/$F$35),0)</f>
        <v>0</v>
      </c>
      <c r="BQ54" s="41">
        <f ca="1">OFFSET('Trapezoidal Wing Summary'!W$45,((ROW('Trapezoidal Wing Summary'!$A49)-ROW('Trapezoidal Wing Summary'!$A$45))*100/$F$35),0)</f>
        <v>0</v>
      </c>
      <c r="BR54" s="41">
        <f ca="1">OFFSET('Trapezoidal Wing Summary'!X$45,((ROW('Trapezoidal Wing Summary'!$A49)-ROW('Trapezoidal Wing Summary'!$A$45))*100/$F$35),0)</f>
        <v>0</v>
      </c>
      <c r="BS54" s="41">
        <f ca="1">OFFSET('Trapezoidal Wing Summary'!Y$45,((ROW('Trapezoidal Wing Summary'!$A49)-ROW('Trapezoidal Wing Summary'!$A$45))*100/$F$35),0)</f>
        <v>0</v>
      </c>
      <c r="BT54" s="41">
        <f ca="1">OFFSET('Trapezoidal Wing Summary'!Z$45,((ROW('Trapezoidal Wing Summary'!$A49)-ROW('Trapezoidal Wing Summary'!$A$45))*100/$F$35),0)</f>
        <v>0.1765826125500215</v>
      </c>
      <c r="BU54" s="41">
        <f ca="1">OFFSET('Trapezoidal Wing Summary'!AA$45,((ROW('Trapezoidal Wing Summary'!$A49)-ROW('Trapezoidal Wing Summary'!$A$45))*100/$F$35),0)</f>
        <v>0</v>
      </c>
      <c r="BV54" s="41">
        <f ca="1">OFFSET('Trapezoidal Wing Summary'!AB$45,((ROW('Trapezoidal Wing Summary'!$A49)-ROW('Trapezoidal Wing Summary'!$A$45))*100/$F$35),0)</f>
        <v>0</v>
      </c>
      <c r="BW54" s="41">
        <f ca="1">OFFSET('Trapezoidal Wing Summary'!AC$45,((ROW('Trapezoidal Wing Summary'!$A49)-ROW('Trapezoidal Wing Summary'!$A$45))*100/$F$35),0)</f>
        <v>0</v>
      </c>
      <c r="BX54" s="41">
        <f ca="1">OFFSET('Trapezoidal Wing Summary'!AD$45,((ROW('Trapezoidal Wing Summary'!$A49)-ROW('Trapezoidal Wing Summary'!$A$45))*100/$F$35),0)</f>
        <v>2E-3</v>
      </c>
      <c r="BY54" s="41">
        <f ca="1">OFFSET('Trapezoidal Wing Summary'!AE$45,((ROW('Trapezoidal Wing Summary'!$A49)-ROW('Trapezoidal Wing Summary'!$A$45))*100/$F$35),0)</f>
        <v>2E-3</v>
      </c>
      <c r="BZ54" s="41">
        <f ca="1">OFFSET('Trapezoidal Wing Summary'!AF$45,((ROW('Trapezoidal Wing Summary'!$A49)-ROW('Trapezoidal Wing Summary'!$A$45))*100/$F$35),0)</f>
        <v>0</v>
      </c>
      <c r="CA54" s="41">
        <f ca="1">OFFSET('Trapezoidal Wing Summary'!AG$45,((ROW('Trapezoidal Wing Summary'!$A49)-ROW('Trapezoidal Wing Summary'!$A$45))*100/$F$35),0)</f>
        <v>0.17509843080000001</v>
      </c>
      <c r="CB54" s="41">
        <f ca="1">OFFSET('Trapezoidal Wing Summary'!AH$45,((ROW('Trapezoidal Wing Summary'!$A49)-ROW('Trapezoidal Wing Summary'!$A$45))*100/$F$35),0)</f>
        <v>9.8752804883582308E-4</v>
      </c>
      <c r="CC54" s="41">
        <f ca="1">OFFSET('Trapezoidal Wing Summary'!AI$45,((ROW('Trapezoidal Wing Summary'!$A49)-ROW('Trapezoidal Wing Summary'!$A$45))*100/$F$35),0)</f>
        <v>0</v>
      </c>
      <c r="CD54" s="41">
        <f>'REF - ASWING AERO-Imperial'!$R$5</f>
        <v>5.4999999999999997E-3</v>
      </c>
      <c r="CE54" s="41">
        <f>'REF - ASWING AERO-Imperial'!$R$6</f>
        <v>5.4999999999999997E-3</v>
      </c>
      <c r="CF54" s="41">
        <f ca="1">OFFSET('Trapezoidal Wing Summary'!AL$45,((ROW('Trapezoidal Wing Summary'!$A49)-ROW('Trapezoidal Wing Summary'!$A$45))*100/$F$35),0)</f>
        <v>1.9455381200000001</v>
      </c>
      <c r="CG54" s="41">
        <f ca="1">OFFSET('Trapezoidal Wing Summary'!AM$45,((ROW('Trapezoidal Wing Summary'!$A49)-ROW('Trapezoidal Wing Summary'!$A$45))*100/$F$35),0)</f>
        <v>0.25</v>
      </c>
      <c r="CH54" s="41">
        <f ca="1">OFFSET('Trapezoidal Wing Summary'!AN$45,((ROW('Trapezoidal Wing Summary'!$A49)-ROW('Trapezoidal Wing Summary'!$A$45))*100/$F$35),0)</f>
        <v>5.9</v>
      </c>
      <c r="CI54" s="41">
        <f ca="1">OFFSET('Trapezoidal Wing Summary'!AO$45,((ROW('Trapezoidal Wing Summary'!$A49)-ROW('Trapezoidal Wing Summary'!$A$45))*100/$F$35),0)</f>
        <v>-0.15</v>
      </c>
      <c r="CJ54" s="41">
        <f ca="1">OFFSET('Trapezoidal Wing Summary'!AP$45,((ROW('Trapezoidal Wing Summary'!$A49)-ROW('Trapezoidal Wing Summary'!$A$45))*100/$F$35),0)</f>
        <v>2.25</v>
      </c>
      <c r="CK54" s="41">
        <f ca="1">OFFSET('Trapezoidal Wing Summary'!AQ$45,((ROW('Trapezoidal Wing Summary'!$A49)-ROW('Trapezoidal Wing Summary'!$A$45))*100/$F$35),0)</f>
        <v>-1.65</v>
      </c>
      <c r="CL54" s="41">
        <f ca="1">OFFSET('Trapezoidal Wing Summary'!AR$45,((ROW('Trapezoidal Wing Summary'!$A49)-ROW('Trapezoidal Wing Summary'!$A$45))*100/$F$35),0)</f>
        <v>5.9690260418206069</v>
      </c>
      <c r="CM54" s="644" t="e">
        <f>'CANARD STRUCT'!#REF!</f>
        <v>#REF!</v>
      </c>
      <c r="CN54" s="642" t="e">
        <f>'CANARD STRUCT'!#REF!*3.28084</f>
        <v>#REF!</v>
      </c>
      <c r="CO54" s="642" t="e">
        <f>'CANARD STRUCT'!#REF!*3.28084</f>
        <v>#REF!</v>
      </c>
      <c r="CP54" s="642" t="e">
        <f>'CANARD STRUCT'!#REF!*3.28084</f>
        <v>#REF!</v>
      </c>
      <c r="CQ54" s="642" t="e">
        <f>'CANARD STRUCT'!#REF!</f>
        <v>#REF!</v>
      </c>
      <c r="CR54" s="685" t="e">
        <f>'CANARD STRUCT'!#REF!*0.224809*3.28084^2</f>
        <v>#REF!</v>
      </c>
      <c r="CS54" s="685" t="e">
        <f>'CANARD STRUCT'!#REF!*0.224809*3.28084^2</f>
        <v>#REF!</v>
      </c>
      <c r="CT54" s="685" t="e">
        <f>'CANARD STRUCT'!#REF!*0.224809*3.28084^2</f>
        <v>#REF!</v>
      </c>
      <c r="CU54" s="685" t="e">
        <f>'CANARD STRUCT'!#REF!*0.224809*3.28084^2</f>
        <v>#REF!</v>
      </c>
      <c r="CV54" s="685" t="e">
        <f>'CANARD STRUCT'!#REF!*0.224809*3.28084^2</f>
        <v>#REF!</v>
      </c>
      <c r="CW54" s="685" t="e">
        <f>'CANARD STRUCT'!#REF!*0.224809*3.28084^2</f>
        <v>#REF!</v>
      </c>
      <c r="CX54" s="642" t="e">
        <f>'CANARD STRUCT'!#REF!</f>
        <v>#REF!</v>
      </c>
      <c r="CY54" s="642" t="e">
        <f>'CANARD STRUCT'!#REF!*0.224809</f>
        <v>#REF!</v>
      </c>
      <c r="CZ54" s="642" t="e">
        <f>'CANARD STRUCT'!#REF!*0.224809</f>
        <v>#REF!</v>
      </c>
      <c r="DA54" s="642" t="e">
        <f>'CANARD STRUCT'!#REF!*2.20462*3.28084</f>
        <v>#REF!</v>
      </c>
      <c r="DB54" s="642" t="e">
        <f>'CANARD STRUCT'!#REF!*2.20462*3.28084</f>
        <v>#REF!</v>
      </c>
      <c r="DC54" s="642" t="e">
        <f>'CANARD STRUCT'!#REF!*2.20462/3.28084</f>
        <v>#REF!</v>
      </c>
      <c r="DD54" s="642" t="e">
        <f>'CANARD STRUCT'!#REF!*3.28084</f>
        <v>#REF!</v>
      </c>
      <c r="DE54" s="642" t="e">
        <f>'CANARD STRUCT'!#REF!*3.28084</f>
        <v>#REF!</v>
      </c>
      <c r="DF54" s="642" t="e">
        <f>'CANARD STRUCT'!#REF!*2.20462*3.28084</f>
        <v>#REF!</v>
      </c>
      <c r="DG54" s="642" t="e">
        <f>'CANARD STRUCT'!#REF!*2.20462*3.28084</f>
        <v>#REF!</v>
      </c>
      <c r="DH54" s="642" t="e">
        <f>'CANARD STRUCT'!#REF!*2.20462/3.28084</f>
        <v>#REF!</v>
      </c>
      <c r="DI54" s="642" t="e">
        <f>'CANARD STRUCT'!#REF!*3.28084</f>
        <v>#REF!</v>
      </c>
      <c r="DJ54" s="642" t="e">
        <f>'CANARD STRUCT'!#REF!*3.28084</f>
        <v>#REF!</v>
      </c>
      <c r="DK54" s="642" t="e">
        <f>'CANARD STRUCT'!#REF!*3.28084</f>
        <v>#REF!</v>
      </c>
      <c r="DL54" s="642" t="e">
        <f>'CANARD STRUCT'!#REF!*3.28084</f>
        <v>#REF!</v>
      </c>
      <c r="DM54" s="642" t="e">
        <f>'CANARD STRUCT'!#REF!*3.28084</f>
        <v>#REF!</v>
      </c>
      <c r="DN54" s="642" t="e">
        <f>'CANARD STRUCT'!#REF!*3.28084</f>
        <v>#REF!</v>
      </c>
      <c r="DO54" s="642" t="e">
        <f>'CANARD STRUCT'!#REF!</f>
        <v>#REF!</v>
      </c>
      <c r="DP54" s="642" t="e">
        <f>'CANARD STRUCT'!#REF!</f>
        <v>#REF!</v>
      </c>
      <c r="DQ54" s="642" t="e">
        <f>'CANARD STRUCT'!#REF!*3.28084</f>
        <v>#REF!</v>
      </c>
      <c r="DR54" s="642" t="e">
        <f>'CANARD STRUCT'!#REF!*3.28084</f>
        <v>#REF!</v>
      </c>
      <c r="DS54" s="642" t="e">
        <f>'CANARD STRUCT'!#REF!*3.28084^3</f>
        <v>#REF!</v>
      </c>
      <c r="DT54" s="642" t="e">
        <f>'CANARD STRUCT'!#REF!*3.28084</f>
        <v>#REF!</v>
      </c>
      <c r="DU54" s="642" t="e">
        <f>'CANARD STRUCT'!#REF!</f>
        <v>#REF!</v>
      </c>
      <c r="DV54" s="642" t="e">
        <f>'CANARD STRUCT'!#REF!</f>
        <v>#REF!</v>
      </c>
      <c r="DW54" s="642" t="e">
        <f>'CANARD STRUCT'!#REF!*3.28084</f>
        <v>#REF!</v>
      </c>
      <c r="DX54" s="642" t="e">
        <f>'CANARD STRUCT'!#REF!</f>
        <v>#REF!</v>
      </c>
      <c r="DY54" s="642" t="e">
        <f>'CANARD STRUCT'!#REF!</f>
        <v>#REF!</v>
      </c>
      <c r="DZ54" s="642" t="e">
        <f>'CANARD STRUCT'!#REF!</f>
        <v>#REF!</v>
      </c>
      <c r="EA54" s="642" t="e">
        <f>'CANARD STRUCT'!#REF!</f>
        <v>#REF!</v>
      </c>
      <c r="EB54" s="642" t="e">
        <f>'CANARD STRUCT'!#REF!</f>
        <v>#REF!</v>
      </c>
      <c r="EC54" s="641" t="e">
        <f>'CANARD STRUCT'!#REF!</f>
        <v>#REF!</v>
      </c>
      <c r="ED54" s="690" t="e">
        <f>'CANARD STRUCT'!#REF!</f>
        <v>#REF!</v>
      </c>
      <c r="EE54" s="617" t="e">
        <f>'CANARD STRUCT'!#REF!*3.28084</f>
        <v>#REF!</v>
      </c>
      <c r="EF54" s="617" t="e">
        <f>'CANARD STRUCT'!#REF!*3.28084</f>
        <v>#REF!</v>
      </c>
      <c r="EG54" s="617" t="e">
        <f>'CANARD STRUCT'!#REF!*3.28084</f>
        <v>#REF!</v>
      </c>
      <c r="EH54" s="617" t="e">
        <f>'CANARD STRUCT'!#REF!</f>
        <v>#REF!</v>
      </c>
      <c r="EI54" s="691" t="e">
        <f>'CANARD STRUCT'!#REF!*0.224809*3.28084^2</f>
        <v>#REF!</v>
      </c>
      <c r="EJ54" s="691" t="e">
        <f>'CANARD STRUCT'!#REF!*0.224809*3.28084^2</f>
        <v>#REF!</v>
      </c>
      <c r="EK54" s="691" t="e">
        <f>'CANARD STRUCT'!#REF!*0.224809*3.28084^2</f>
        <v>#REF!</v>
      </c>
      <c r="EL54" s="691" t="e">
        <f>'CANARD STRUCT'!#REF!*0.224809*3.28084^2</f>
        <v>#REF!</v>
      </c>
      <c r="EM54" s="691" t="e">
        <f>'CANARD STRUCT'!#REF!*0.224809*3.28084^2</f>
        <v>#REF!</v>
      </c>
      <c r="EN54" s="691" t="e">
        <f>'CANARD STRUCT'!#REF!*0.224809*3.28084^2</f>
        <v>#REF!</v>
      </c>
      <c r="EO54" s="617" t="e">
        <f>'CANARD STRUCT'!#REF!</f>
        <v>#REF!</v>
      </c>
      <c r="EP54" s="691" t="e">
        <f>'CANARD STRUCT'!#REF!*0.224809</f>
        <v>#REF!</v>
      </c>
      <c r="EQ54" s="691" t="e">
        <f>'CANARD STRUCT'!#REF!*0.224809</f>
        <v>#REF!</v>
      </c>
      <c r="ER54" s="617" t="e">
        <f>'CANARD STRUCT'!#REF!*2.20462*3.28084</f>
        <v>#REF!</v>
      </c>
      <c r="ES54" s="617" t="e">
        <f>'CANARD STRUCT'!#REF!*2.20462*3.28084</f>
        <v>#REF!</v>
      </c>
      <c r="ET54" s="617" t="e">
        <f>'CANARD STRUCT'!#REF!*2.20462/3.28084</f>
        <v>#REF!</v>
      </c>
      <c r="EU54" s="617" t="e">
        <f>'CANARD STRUCT'!#REF!*3.28084</f>
        <v>#REF!</v>
      </c>
      <c r="EV54" s="617" t="e">
        <f>'CANARD STRUCT'!#REF!*3.28084</f>
        <v>#REF!</v>
      </c>
      <c r="EW54" s="617" t="e">
        <f>'CANARD STRUCT'!#REF!*2.20462*3.28084</f>
        <v>#REF!</v>
      </c>
      <c r="EX54" s="617" t="e">
        <f>'CANARD STRUCT'!#REF!*2.20462*3.28084</f>
        <v>#REF!</v>
      </c>
      <c r="EY54" s="617" t="e">
        <f>'CANARD STRUCT'!#REF!*2.20462/3.28084</f>
        <v>#REF!</v>
      </c>
      <c r="EZ54" s="617" t="e">
        <f>'CANARD STRUCT'!#REF!*3.28084</f>
        <v>#REF!</v>
      </c>
      <c r="FA54" s="617" t="e">
        <f>'CANARD STRUCT'!#REF!*3.28084</f>
        <v>#REF!</v>
      </c>
      <c r="FB54" s="617" t="e">
        <f>'CANARD STRUCT'!#REF!*3.28084</f>
        <v>#REF!</v>
      </c>
      <c r="FC54" s="617" t="e">
        <f>'CANARD STRUCT'!#REF!*3.28084</f>
        <v>#REF!</v>
      </c>
      <c r="FD54" s="617" t="e">
        <f>'CANARD STRUCT'!#REF!*3.28084</f>
        <v>#REF!</v>
      </c>
      <c r="FE54" s="617" t="e">
        <f>'CANARD STRUCT'!#REF!*3.28084</f>
        <v>#REF!</v>
      </c>
      <c r="FF54" s="617" t="e">
        <f>'CANARD STRUCT'!#REF!</f>
        <v>#REF!</v>
      </c>
      <c r="FG54" s="617" t="e">
        <f>'CANARD STRUCT'!#REF!</f>
        <v>#REF!</v>
      </c>
      <c r="FH54" s="617" t="e">
        <f>'CANARD STRUCT'!#REF!*3.28084</f>
        <v>#REF!</v>
      </c>
      <c r="FI54" s="617" t="e">
        <f>'CANARD STRUCT'!#REF!*3.28084</f>
        <v>#REF!</v>
      </c>
      <c r="FJ54" s="617" t="e">
        <f>'CANARD STRUCT'!#REF!*3.28084^3</f>
        <v>#REF!</v>
      </c>
      <c r="FK54" s="617" t="e">
        <f>'CANARD STRUCT'!#REF!*3.28084</f>
        <v>#REF!</v>
      </c>
      <c r="FL54" s="617" t="e">
        <f>'CANARD STRUCT'!#REF!</f>
        <v>#REF!</v>
      </c>
      <c r="FM54" s="617" t="e">
        <f>'CANARD STRUCT'!#REF!</f>
        <v>#REF!</v>
      </c>
      <c r="FN54" s="617" t="e">
        <f>'CANARD STRUCT'!#REF!*3.28084</f>
        <v>#REF!</v>
      </c>
      <c r="FO54" s="617" t="e">
        <f>'CANARD STRUCT'!#REF!</f>
        <v>#REF!</v>
      </c>
      <c r="FP54" s="617" t="e">
        <f>'CANARD STRUCT'!#REF!</f>
        <v>#REF!</v>
      </c>
      <c r="FQ54" s="617" t="e">
        <f>'CANARD STRUCT'!#REF!</f>
        <v>#REF!</v>
      </c>
      <c r="FR54" s="617" t="e">
        <f>'CANARD STRUCT'!#REF!</f>
        <v>#REF!</v>
      </c>
      <c r="FS54" s="617" t="e">
        <f>'CANARD STRUCT'!#REF!</f>
        <v>#REF!</v>
      </c>
      <c r="FT54" s="616" t="e">
        <f>'CANARD STRUCT'!#REF!</f>
        <v>#REF!</v>
      </c>
      <c r="FU54" s="690" t="e">
        <f>'CANARD STRUCT'!#REF!</f>
        <v>#REF!</v>
      </c>
      <c r="FV54" s="617" t="e">
        <f>'CANARD STRUCT'!#REF!*3.28084</f>
        <v>#REF!</v>
      </c>
      <c r="FW54" s="617" t="e">
        <f>'CANARD STRUCT'!#REF!*3.28084</f>
        <v>#REF!</v>
      </c>
      <c r="FX54" s="617" t="e">
        <f>'CANARD STRUCT'!#REF!*3.28084</f>
        <v>#REF!</v>
      </c>
      <c r="FY54" s="617" t="e">
        <f>'CANARD STRUCT'!#REF!</f>
        <v>#REF!</v>
      </c>
      <c r="FZ54" s="691" t="e">
        <f>'CANARD STRUCT'!#REF!*0.224809*3.28084^2</f>
        <v>#REF!</v>
      </c>
      <c r="GA54" s="691" t="e">
        <f>'CANARD STRUCT'!#REF!*0.224809*3.28084^2</f>
        <v>#REF!</v>
      </c>
      <c r="GB54" s="691" t="e">
        <f>'CANARD STRUCT'!#REF!*0.224809*3.28084^2</f>
        <v>#REF!</v>
      </c>
      <c r="GC54" s="691" t="e">
        <f>'CANARD STRUCT'!#REF!*0.224809*3.28084^2</f>
        <v>#REF!</v>
      </c>
      <c r="GD54" s="691" t="e">
        <f>'CANARD STRUCT'!#REF!*0.224809*3.28084^2</f>
        <v>#REF!</v>
      </c>
      <c r="GE54" s="691" t="e">
        <f>'CANARD STRUCT'!#REF!*0.224809*3.28084^2</f>
        <v>#REF!</v>
      </c>
      <c r="GF54" s="617" t="e">
        <f>'CANARD STRUCT'!#REF!</f>
        <v>#REF!</v>
      </c>
      <c r="GG54" s="691" t="e">
        <f>'CANARD STRUCT'!#REF!*0.224809</f>
        <v>#REF!</v>
      </c>
      <c r="GH54" s="691" t="e">
        <f>'CANARD STRUCT'!#REF!*0.224809</f>
        <v>#REF!</v>
      </c>
      <c r="GI54" s="617" t="e">
        <f>'CANARD STRUCT'!#REF!*2.20462*3.28084</f>
        <v>#REF!</v>
      </c>
      <c r="GJ54" s="617" t="e">
        <f>'CANARD STRUCT'!#REF!*2.20462*3.28084</f>
        <v>#REF!</v>
      </c>
      <c r="GK54" s="617" t="e">
        <f>'CANARD STRUCT'!#REF!*2.20462/3.28084</f>
        <v>#REF!</v>
      </c>
      <c r="GL54" s="617" t="e">
        <f>'CANARD STRUCT'!#REF!*3.28084</f>
        <v>#REF!</v>
      </c>
      <c r="GM54" s="617" t="e">
        <f>'CANARD STRUCT'!#REF!*3.28084</f>
        <v>#REF!</v>
      </c>
      <c r="GN54" s="617" t="e">
        <f>'CANARD STRUCT'!#REF!*2.20462*3.28084</f>
        <v>#REF!</v>
      </c>
      <c r="GO54" s="617" t="e">
        <f>'CANARD STRUCT'!#REF!*2.20462*3.28084</f>
        <v>#REF!</v>
      </c>
      <c r="GP54" s="617" t="e">
        <f>'CANARD STRUCT'!#REF!*2.20462/3.28084</f>
        <v>#REF!</v>
      </c>
      <c r="GQ54" s="617" t="e">
        <f>'CANARD STRUCT'!#REF!*3.28084</f>
        <v>#REF!</v>
      </c>
      <c r="GR54" s="617" t="e">
        <f>'CANARD STRUCT'!#REF!*3.28084</f>
        <v>#REF!</v>
      </c>
      <c r="GS54" s="617" t="e">
        <f>'CANARD STRUCT'!#REF!*3.28084</f>
        <v>#REF!</v>
      </c>
      <c r="GT54" s="617" t="e">
        <f>'CANARD STRUCT'!#REF!*3.28084</f>
        <v>#REF!</v>
      </c>
      <c r="GU54" s="617" t="e">
        <f>'CANARD STRUCT'!#REF!*3.28084</f>
        <v>#REF!</v>
      </c>
      <c r="GV54" s="617" t="e">
        <f>'CANARD STRUCT'!#REF!*3.28084</f>
        <v>#REF!</v>
      </c>
      <c r="GW54" s="617" t="e">
        <f>'CANARD STRUCT'!#REF!</f>
        <v>#REF!</v>
      </c>
      <c r="GX54" s="617" t="e">
        <f>'CANARD STRUCT'!#REF!</f>
        <v>#REF!</v>
      </c>
      <c r="GY54" s="617" t="e">
        <f>'CANARD STRUCT'!#REF!*3.28084</f>
        <v>#REF!</v>
      </c>
      <c r="GZ54" s="617" t="e">
        <f>'CANARD STRUCT'!#REF!*3.28084</f>
        <v>#REF!</v>
      </c>
      <c r="HA54" s="617" t="e">
        <f>'CANARD STRUCT'!#REF!*3.28084^3</f>
        <v>#REF!</v>
      </c>
      <c r="HB54" s="617" t="e">
        <f>'CANARD STRUCT'!#REF!*3.28084</f>
        <v>#REF!</v>
      </c>
      <c r="HC54" s="617" t="e">
        <f>'CANARD STRUCT'!#REF!</f>
        <v>#REF!</v>
      </c>
      <c r="HD54" s="617" t="e">
        <f>'CANARD STRUCT'!#REF!</f>
        <v>#REF!</v>
      </c>
      <c r="HE54" s="617" t="e">
        <f>'CANARD STRUCT'!#REF!*3.28084</f>
        <v>#REF!</v>
      </c>
      <c r="HF54" s="617" t="e">
        <f>'CANARD STRUCT'!#REF!</f>
        <v>#REF!</v>
      </c>
      <c r="HG54" s="617" t="e">
        <f>'CANARD STRUCT'!#REF!</f>
        <v>#REF!</v>
      </c>
      <c r="HH54" s="617" t="e">
        <f>'CANARD STRUCT'!#REF!</f>
        <v>#REF!</v>
      </c>
      <c r="HI54" s="617" t="e">
        <f>'CANARD STRUCT'!#REF!</f>
        <v>#REF!</v>
      </c>
      <c r="HJ54" s="617" t="e">
        <f>'CANARD STRUCT'!#REF!</f>
        <v>#REF!</v>
      </c>
      <c r="HK54" s="616" t="e">
        <f>'CANARD STRUCT'!#REF!</f>
        <v>#REF!</v>
      </c>
    </row>
    <row r="55" spans="1:219" x14ac:dyDescent="0.25">
      <c r="A55" t="s">
        <v>892</v>
      </c>
      <c r="B55" s="663">
        <v>0</v>
      </c>
      <c r="C55" s="664">
        <v>-1.56</v>
      </c>
      <c r="D55" s="664">
        <v>0.1</v>
      </c>
      <c r="E55" s="669" t="e">
        <f>'CANARD STRUCT'!#REF!* 3.28084</f>
        <v>#REF!</v>
      </c>
      <c r="F55" s="669" t="e">
        <f>'CANARD STRUCT'!#REF!* 3.28084</f>
        <v>#REF!</v>
      </c>
      <c r="G55" s="669" t="e">
        <f>'CANARD STRUCT'!#REF!* 3.28084</f>
        <v>#REF!</v>
      </c>
      <c r="H55" s="670" t="e">
        <f>'CANARD STRUCT'!#REF!*2.20462</f>
        <v>#REF!</v>
      </c>
      <c r="I55" s="667">
        <v>6</v>
      </c>
      <c r="J55" s="204" t="e">
        <f t="shared" si="0"/>
        <v>#REF!</v>
      </c>
      <c r="K55" s="575">
        <v>1</v>
      </c>
      <c r="L55" s="626" t="e">
        <f ca="1">AG50/MAX(AX50:AX100) *MAX(AV50:AV100)</f>
        <v>#REF!</v>
      </c>
      <c r="M55">
        <v>8</v>
      </c>
      <c r="N55" t="e">
        <f>MIN(AF50:AF51)</f>
        <v>#REF!</v>
      </c>
      <c r="O55" s="576">
        <v>0</v>
      </c>
      <c r="P55" s="580"/>
      <c r="AU55" s="594"/>
      <c r="AV55" s="574">
        <f ca="1">100*(AX55-$AX$50)/(MAX($AX$50:INDEX(($AX$50:$AX$150),$F$35+1,1))-MIN($AX$50:INDEX(($AX$50:$AX$150),$F$35+1,1)))</f>
        <v>23.000000000000004</v>
      </c>
      <c r="AW55" s="659">
        <f ca="1">OFFSET('Trapezoidal Wing Summary'!C$45,((ROW('Trapezoidal Wing Summary'!$A50)-ROW('Trapezoidal Wing Summary'!$A$45))*100/$F$35),0)+$F$15</f>
        <v>10.466251647256</v>
      </c>
      <c r="AX55" s="659">
        <f ca="1">OFFSET('Trapezoidal Wing Summary'!D$45,((ROW('Trapezoidal Wing Summary'!$A50)-ROW('Trapezoidal Wing Summary'!$A$45))*100/$F$35),0)+$F$16</f>
        <v>2.2637796000000003</v>
      </c>
      <c r="AY55" s="659">
        <f ca="1">OFFSET('Trapezoidal Wing Summary'!E$45,((ROW('Trapezoidal Wing Summary'!$A50)-ROW('Trapezoidal Wing Summary'!$A$45))*100/$F$35),0)+$F$17</f>
        <v>12.850247130368</v>
      </c>
      <c r="AZ55" s="41">
        <f ca="1">OFFSET('Trapezoidal Wing Summary'!F$45,((ROW('Trapezoidal Wing Summary'!$A50)-ROW('Trapezoidal Wing Summary'!$A$45))*100/$F$35),0)</f>
        <v>0</v>
      </c>
      <c r="BA55" s="41">
        <f ca="1">OFFSET('Trapezoidal Wing Summary'!G$45,((ROW('Trapezoidal Wing Summary'!$A50)-ROW('Trapezoidal Wing Summary'!$A$45))*100/$F$35),0)</f>
        <v>135893.48059887759</v>
      </c>
      <c r="BB55" s="41">
        <f ca="1">OFFSET('Trapezoidal Wing Summary'!H$45,((ROW('Trapezoidal Wing Summary'!$A50)-ROW('Trapezoidal Wing Summary'!$A$45))*100/$F$35),0)</f>
        <v>121017.01090176983</v>
      </c>
      <c r="BC55" s="41">
        <f ca="1">OFFSET('Trapezoidal Wing Summary'!I$45,((ROW('Trapezoidal Wing Summary'!$A50)-ROW('Trapezoidal Wing Summary'!$A$45))*100/$F$35),0)</f>
        <v>0</v>
      </c>
      <c r="BD55" s="41">
        <f ca="1">OFFSET('Trapezoidal Wing Summary'!J$45,((ROW('Trapezoidal Wing Summary'!$A50)-ROW('Trapezoidal Wing Summary'!$A$45))*100/$F$35),0)</f>
        <v>0</v>
      </c>
      <c r="BE55" s="41">
        <f ca="1">OFFSET('Trapezoidal Wing Summary'!K$45,((ROW('Trapezoidal Wing Summary'!$A50)-ROW('Trapezoidal Wing Summary'!$A$45))*100/$F$35),0)</f>
        <v>0</v>
      </c>
      <c r="BF55" s="41">
        <f ca="1">OFFSET('Trapezoidal Wing Summary'!L$45,((ROW('Trapezoidal Wing Summary'!$A50)-ROW('Trapezoidal Wing Summary'!$A$45))*100/$F$35),0)</f>
        <v>2771915.4591522906</v>
      </c>
      <c r="BG55" s="41">
        <f ca="1">OFFSET('Trapezoidal Wing Summary'!M$45,((ROW('Trapezoidal Wing Summary'!$A50)-ROW('Trapezoidal Wing Summary'!$A$45))*100/$F$35),0)</f>
        <v>0</v>
      </c>
      <c r="BH55" s="41">
        <f ca="1">OFFSET('Trapezoidal Wing Summary'!N$45,((ROW('Trapezoidal Wing Summary'!$A50)-ROW('Trapezoidal Wing Summary'!$A$45))*100/$F$35),0)</f>
        <v>0</v>
      </c>
      <c r="BI55" s="41">
        <f ca="1">OFFSET('Trapezoidal Wing Summary'!O$45,((ROW('Trapezoidal Wing Summary'!$A50)-ROW('Trapezoidal Wing Summary'!$A$45))*100/$F$35),0)</f>
        <v>0</v>
      </c>
      <c r="BJ55" s="41">
        <f ca="1">OFFSET('Trapezoidal Wing Summary'!P$45,((ROW('Trapezoidal Wing Summary'!$A50)-ROW('Trapezoidal Wing Summary'!$A$45))*100/$F$35),0)</f>
        <v>0</v>
      </c>
      <c r="BK55" s="41">
        <f ca="1">OFFSET('Trapezoidal Wing Summary'!Q$45,((ROW('Trapezoidal Wing Summary'!$A50)-ROW('Trapezoidal Wing Summary'!$A$45))*100/$F$35),0)</f>
        <v>0</v>
      </c>
      <c r="BL55" s="41">
        <f ca="1">OFFSET('Trapezoidal Wing Summary'!R$45,((ROW('Trapezoidal Wing Summary'!$A50)-ROW('Trapezoidal Wing Summary'!$A$45))*100/$F$35),0)</f>
        <v>2.9461827331861437</v>
      </c>
      <c r="BM55" s="41">
        <f ca="1">OFFSET('Trapezoidal Wing Summary'!S$45,((ROW('Trapezoidal Wing Summary'!$A50)-ROW('Trapezoidal Wing Summary'!$A$45))*100/$F$35),0)</f>
        <v>0.37015406085100189</v>
      </c>
      <c r="BN55" s="41">
        <f ca="1">OFFSET('Trapezoidal Wing Summary'!T$45,((ROW('Trapezoidal Wing Summary'!$A50)-ROW('Trapezoidal Wing Summary'!$A$45))*100/$F$35),0)</f>
        <v>0</v>
      </c>
      <c r="BO55" s="41">
        <f ca="1">OFFSET('Trapezoidal Wing Summary'!U$45,((ROW('Trapezoidal Wing Summary'!$A50)-ROW('Trapezoidal Wing Summary'!$A$45))*100/$F$35),0)</f>
        <v>0</v>
      </c>
      <c r="BP55" s="41">
        <f ca="1">OFFSET('Trapezoidal Wing Summary'!V$45,((ROW('Trapezoidal Wing Summary'!$A50)-ROW('Trapezoidal Wing Summary'!$A$45))*100/$F$35),0)</f>
        <v>0</v>
      </c>
      <c r="BQ55" s="41">
        <f ca="1">OFFSET('Trapezoidal Wing Summary'!W$45,((ROW('Trapezoidal Wing Summary'!$A50)-ROW('Trapezoidal Wing Summary'!$A$45))*100/$F$35),0)</f>
        <v>0</v>
      </c>
      <c r="BR55" s="41">
        <f ca="1">OFFSET('Trapezoidal Wing Summary'!X$45,((ROW('Trapezoidal Wing Summary'!$A50)-ROW('Trapezoidal Wing Summary'!$A$45))*100/$F$35),0)</f>
        <v>0</v>
      </c>
      <c r="BS55" s="41">
        <f ca="1">OFFSET('Trapezoidal Wing Summary'!Y$45,((ROW('Trapezoidal Wing Summary'!$A50)-ROW('Trapezoidal Wing Summary'!$A$45))*100/$F$35),0)</f>
        <v>0</v>
      </c>
      <c r="BT55" s="41">
        <f ca="1">OFFSET('Trapezoidal Wing Summary'!Z$45,((ROW('Trapezoidal Wing Summary'!$A50)-ROW('Trapezoidal Wing Summary'!$A$45))*100/$F$35),0)</f>
        <v>0.17341249876367321</v>
      </c>
      <c r="BU55" s="41">
        <f ca="1">OFFSET('Trapezoidal Wing Summary'!AA$45,((ROW('Trapezoidal Wing Summary'!$A50)-ROW('Trapezoidal Wing Summary'!$A$45))*100/$F$35),0)</f>
        <v>0</v>
      </c>
      <c r="BV55" s="41">
        <f ca="1">OFFSET('Trapezoidal Wing Summary'!AB$45,((ROW('Trapezoidal Wing Summary'!$A50)-ROW('Trapezoidal Wing Summary'!$A$45))*100/$F$35),0)</f>
        <v>0</v>
      </c>
      <c r="BW55" s="41">
        <f ca="1">OFFSET('Trapezoidal Wing Summary'!AC$45,((ROW('Trapezoidal Wing Summary'!$A50)-ROW('Trapezoidal Wing Summary'!$A$45))*100/$F$35),0)</f>
        <v>0</v>
      </c>
      <c r="BX55" s="41">
        <f ca="1">OFFSET('Trapezoidal Wing Summary'!AD$45,((ROW('Trapezoidal Wing Summary'!$A50)-ROW('Trapezoidal Wing Summary'!$A$45))*100/$F$35),0)</f>
        <v>2E-3</v>
      </c>
      <c r="BY55" s="41">
        <f ca="1">OFFSET('Trapezoidal Wing Summary'!AE$45,((ROW('Trapezoidal Wing Summary'!$A50)-ROW('Trapezoidal Wing Summary'!$A$45))*100/$F$35),0)</f>
        <v>2E-3</v>
      </c>
      <c r="BZ55" s="41">
        <f ca="1">OFFSET('Trapezoidal Wing Summary'!AF$45,((ROW('Trapezoidal Wing Summary'!$A50)-ROW('Trapezoidal Wing Summary'!$A$45))*100/$F$35),0)</f>
        <v>0</v>
      </c>
      <c r="CA55" s="41">
        <f ca="1">OFFSET('Trapezoidal Wing Summary'!AG$45,((ROW('Trapezoidal Wing Summary'!$A50)-ROW('Trapezoidal Wing Summary'!$A$45))*100/$F$35),0)</f>
        <v>0.1715551236</v>
      </c>
      <c r="CB55" s="41">
        <f ca="1">OFFSET('Trapezoidal Wing Summary'!AH$45,((ROW('Trapezoidal Wing Summary'!$A50)-ROW('Trapezoidal Wing Summary'!$A$45))*100/$F$35),0)</f>
        <v>9.4796503244163688E-4</v>
      </c>
      <c r="CC55" s="41">
        <f ca="1">OFFSET('Trapezoidal Wing Summary'!AI$45,((ROW('Trapezoidal Wing Summary'!$A50)-ROW('Trapezoidal Wing Summary'!$A$45))*100/$F$35),0)</f>
        <v>0</v>
      </c>
      <c r="CD55" s="41">
        <f>'REF - ASWING AERO-Imperial'!$R$5</f>
        <v>5.4999999999999997E-3</v>
      </c>
      <c r="CE55" s="41">
        <f>'REF - ASWING AERO-Imperial'!$R$6</f>
        <v>5.4999999999999997E-3</v>
      </c>
      <c r="CF55" s="41">
        <f ca="1">OFFSET('Trapezoidal Wing Summary'!AL$45,((ROW('Trapezoidal Wing Summary'!$A50)-ROW('Trapezoidal Wing Summary'!$A$45))*100/$F$35),0)</f>
        <v>1.9061680400000001</v>
      </c>
      <c r="CG55" s="41">
        <f ca="1">OFFSET('Trapezoidal Wing Summary'!AM$45,((ROW('Trapezoidal Wing Summary'!$A50)-ROW('Trapezoidal Wing Summary'!$A$45))*100/$F$35),0)</f>
        <v>0.25</v>
      </c>
      <c r="CH55" s="41">
        <f ca="1">OFFSET('Trapezoidal Wing Summary'!AN$45,((ROW('Trapezoidal Wing Summary'!$A50)-ROW('Trapezoidal Wing Summary'!$A$45))*100/$F$35),0)</f>
        <v>5.9</v>
      </c>
      <c r="CI55" s="41">
        <f ca="1">OFFSET('Trapezoidal Wing Summary'!AO$45,((ROW('Trapezoidal Wing Summary'!$A50)-ROW('Trapezoidal Wing Summary'!$A$45))*100/$F$35),0)</f>
        <v>-0.15</v>
      </c>
      <c r="CJ55" s="41">
        <f ca="1">OFFSET('Trapezoidal Wing Summary'!AP$45,((ROW('Trapezoidal Wing Summary'!$A50)-ROW('Trapezoidal Wing Summary'!$A$45))*100/$F$35),0)</f>
        <v>2.25</v>
      </c>
      <c r="CK55" s="41">
        <f ca="1">OFFSET('Trapezoidal Wing Summary'!AQ$45,((ROW('Trapezoidal Wing Summary'!$A50)-ROW('Trapezoidal Wing Summary'!$A$45))*100/$F$35),0)</f>
        <v>-1.65</v>
      </c>
      <c r="CL55" s="41">
        <f ca="1">OFFSET('Trapezoidal Wing Summary'!AR$45,((ROW('Trapezoidal Wing Summary'!$A50)-ROW('Trapezoidal Wing Summary'!$A$45))*100/$F$35),0)</f>
        <v>5.9690260418206069</v>
      </c>
      <c r="CM55" s="644" t="e">
        <f>'CANARD STRUCT'!#REF!</f>
        <v>#REF!</v>
      </c>
      <c r="CN55" s="642" t="e">
        <f>'CANARD STRUCT'!#REF!*3.28084</f>
        <v>#REF!</v>
      </c>
      <c r="CO55" s="642" t="e">
        <f>'CANARD STRUCT'!#REF!*3.28084</f>
        <v>#REF!</v>
      </c>
      <c r="CP55" s="642" t="e">
        <f>'CANARD STRUCT'!#REF!*3.28084</f>
        <v>#REF!</v>
      </c>
      <c r="CQ55" s="642" t="e">
        <f>'CANARD STRUCT'!#REF!</f>
        <v>#REF!</v>
      </c>
      <c r="CR55" s="685" t="e">
        <f>'CANARD STRUCT'!#REF!*0.224809*3.28084^2</f>
        <v>#REF!</v>
      </c>
      <c r="CS55" s="685" t="e">
        <f>'CANARD STRUCT'!#REF!*0.224809*3.28084^2</f>
        <v>#REF!</v>
      </c>
      <c r="CT55" s="685" t="e">
        <f>'CANARD STRUCT'!#REF!*0.224809*3.28084^2</f>
        <v>#REF!</v>
      </c>
      <c r="CU55" s="685" t="e">
        <f>'CANARD STRUCT'!#REF!*0.224809*3.28084^2</f>
        <v>#REF!</v>
      </c>
      <c r="CV55" s="685" t="e">
        <f>'CANARD STRUCT'!#REF!*0.224809*3.28084^2</f>
        <v>#REF!</v>
      </c>
      <c r="CW55" s="685" t="e">
        <f>'CANARD STRUCT'!#REF!*0.224809*3.28084^2</f>
        <v>#REF!</v>
      </c>
      <c r="CX55" s="642" t="e">
        <f>'CANARD STRUCT'!#REF!</f>
        <v>#REF!</v>
      </c>
      <c r="CY55" s="642" t="e">
        <f>'CANARD STRUCT'!#REF!*0.224809</f>
        <v>#REF!</v>
      </c>
      <c r="CZ55" s="642" t="e">
        <f>'CANARD STRUCT'!#REF!*0.224809</f>
        <v>#REF!</v>
      </c>
      <c r="DA55" s="642" t="e">
        <f>'CANARD STRUCT'!#REF!*2.20462*3.28084</f>
        <v>#REF!</v>
      </c>
      <c r="DB55" s="642" t="e">
        <f>'CANARD STRUCT'!#REF!*2.20462*3.28084</f>
        <v>#REF!</v>
      </c>
      <c r="DC55" s="642" t="e">
        <f>'CANARD STRUCT'!#REF!*2.20462/3.28084</f>
        <v>#REF!</v>
      </c>
      <c r="DD55" s="642" t="e">
        <f>'CANARD STRUCT'!#REF!*3.28084</f>
        <v>#REF!</v>
      </c>
      <c r="DE55" s="642" t="e">
        <f>'CANARD STRUCT'!#REF!*3.28084</f>
        <v>#REF!</v>
      </c>
      <c r="DF55" s="642" t="e">
        <f>'CANARD STRUCT'!#REF!*2.20462*3.28084</f>
        <v>#REF!</v>
      </c>
      <c r="DG55" s="642" t="e">
        <f>'CANARD STRUCT'!#REF!*2.20462*3.28084</f>
        <v>#REF!</v>
      </c>
      <c r="DH55" s="642" t="e">
        <f>'CANARD STRUCT'!#REF!*2.20462/3.28084</f>
        <v>#REF!</v>
      </c>
      <c r="DI55" s="642" t="e">
        <f>'CANARD STRUCT'!#REF!*3.28084</f>
        <v>#REF!</v>
      </c>
      <c r="DJ55" s="642" t="e">
        <f>'CANARD STRUCT'!#REF!*3.28084</f>
        <v>#REF!</v>
      </c>
      <c r="DK55" s="642" t="e">
        <f>'CANARD STRUCT'!#REF!*3.28084</f>
        <v>#REF!</v>
      </c>
      <c r="DL55" s="642" t="e">
        <f>'CANARD STRUCT'!#REF!*3.28084</f>
        <v>#REF!</v>
      </c>
      <c r="DM55" s="642" t="e">
        <f>'CANARD STRUCT'!#REF!*3.28084</f>
        <v>#REF!</v>
      </c>
      <c r="DN55" s="642" t="e">
        <f>'CANARD STRUCT'!#REF!*3.28084</f>
        <v>#REF!</v>
      </c>
      <c r="DO55" s="642" t="e">
        <f>'CANARD STRUCT'!#REF!</f>
        <v>#REF!</v>
      </c>
      <c r="DP55" s="642" t="e">
        <f>'CANARD STRUCT'!#REF!</f>
        <v>#REF!</v>
      </c>
      <c r="DQ55" s="642" t="e">
        <f>'CANARD STRUCT'!#REF!*3.28084</f>
        <v>#REF!</v>
      </c>
      <c r="DR55" s="642" t="e">
        <f>'CANARD STRUCT'!#REF!*3.28084</f>
        <v>#REF!</v>
      </c>
      <c r="DS55" s="642" t="e">
        <f>'CANARD STRUCT'!#REF!*3.28084^3</f>
        <v>#REF!</v>
      </c>
      <c r="DT55" s="642" t="e">
        <f>'CANARD STRUCT'!#REF!*3.28084</f>
        <v>#REF!</v>
      </c>
      <c r="DU55" s="642" t="e">
        <f>'CANARD STRUCT'!#REF!</f>
        <v>#REF!</v>
      </c>
      <c r="DV55" s="642" t="e">
        <f>'CANARD STRUCT'!#REF!</f>
        <v>#REF!</v>
      </c>
      <c r="DW55" s="642" t="e">
        <f>'CANARD STRUCT'!#REF!*3.28084</f>
        <v>#REF!</v>
      </c>
      <c r="DX55" s="642" t="e">
        <f>'CANARD STRUCT'!#REF!</f>
        <v>#REF!</v>
      </c>
      <c r="DY55" s="642" t="e">
        <f>'CANARD STRUCT'!#REF!</f>
        <v>#REF!</v>
      </c>
      <c r="DZ55" s="642" t="e">
        <f>'CANARD STRUCT'!#REF!</f>
        <v>#REF!</v>
      </c>
      <c r="EA55" s="642" t="e">
        <f>'CANARD STRUCT'!#REF!</f>
        <v>#REF!</v>
      </c>
      <c r="EB55" s="642" t="e">
        <f>'CANARD STRUCT'!#REF!</f>
        <v>#REF!</v>
      </c>
      <c r="EC55" s="641" t="e">
        <f>'CANARD STRUCT'!#REF!</f>
        <v>#REF!</v>
      </c>
      <c r="ED55" s="690" t="e">
        <f>'CANARD STRUCT'!#REF!</f>
        <v>#REF!</v>
      </c>
      <c r="EE55" s="617" t="e">
        <f>'CANARD STRUCT'!#REF!*3.28084</f>
        <v>#REF!</v>
      </c>
      <c r="EF55" s="617" t="e">
        <f>'CANARD STRUCT'!#REF!*3.28084</f>
        <v>#REF!</v>
      </c>
      <c r="EG55" s="617" t="e">
        <f>'CANARD STRUCT'!#REF!*3.28084</f>
        <v>#REF!</v>
      </c>
      <c r="EH55" s="617" t="e">
        <f>'CANARD STRUCT'!#REF!</f>
        <v>#REF!</v>
      </c>
      <c r="EI55" s="691" t="e">
        <f>'CANARD STRUCT'!#REF!*0.224809*3.28084^2</f>
        <v>#REF!</v>
      </c>
      <c r="EJ55" s="691" t="e">
        <f>'CANARD STRUCT'!#REF!*0.224809*3.28084^2</f>
        <v>#REF!</v>
      </c>
      <c r="EK55" s="691" t="e">
        <f>'CANARD STRUCT'!#REF!*0.224809*3.28084^2</f>
        <v>#REF!</v>
      </c>
      <c r="EL55" s="691" t="e">
        <f>'CANARD STRUCT'!#REF!*0.224809*3.28084^2</f>
        <v>#REF!</v>
      </c>
      <c r="EM55" s="691" t="e">
        <f>'CANARD STRUCT'!#REF!*0.224809*3.28084^2</f>
        <v>#REF!</v>
      </c>
      <c r="EN55" s="691" t="e">
        <f>'CANARD STRUCT'!#REF!*0.224809*3.28084^2</f>
        <v>#REF!</v>
      </c>
      <c r="EO55" s="617" t="e">
        <f>'CANARD STRUCT'!#REF!</f>
        <v>#REF!</v>
      </c>
      <c r="EP55" s="691" t="e">
        <f>'CANARD STRUCT'!#REF!*0.224809</f>
        <v>#REF!</v>
      </c>
      <c r="EQ55" s="691" t="e">
        <f>'CANARD STRUCT'!#REF!*0.224809</f>
        <v>#REF!</v>
      </c>
      <c r="ER55" s="617" t="e">
        <f>'CANARD STRUCT'!#REF!*2.20462*3.28084</f>
        <v>#REF!</v>
      </c>
      <c r="ES55" s="617" t="e">
        <f>'CANARD STRUCT'!#REF!*2.20462*3.28084</f>
        <v>#REF!</v>
      </c>
      <c r="ET55" s="617" t="e">
        <f>'CANARD STRUCT'!#REF!*2.20462/3.28084</f>
        <v>#REF!</v>
      </c>
      <c r="EU55" s="617" t="e">
        <f>'CANARD STRUCT'!#REF!*3.28084</f>
        <v>#REF!</v>
      </c>
      <c r="EV55" s="617" t="e">
        <f>'CANARD STRUCT'!#REF!*3.28084</f>
        <v>#REF!</v>
      </c>
      <c r="EW55" s="617" t="e">
        <f>'CANARD STRUCT'!#REF!*2.20462*3.28084</f>
        <v>#REF!</v>
      </c>
      <c r="EX55" s="617" t="e">
        <f>'CANARD STRUCT'!#REF!*2.20462*3.28084</f>
        <v>#REF!</v>
      </c>
      <c r="EY55" s="617" t="e">
        <f>'CANARD STRUCT'!#REF!*2.20462/3.28084</f>
        <v>#REF!</v>
      </c>
      <c r="EZ55" s="617" t="e">
        <f>'CANARD STRUCT'!#REF!*3.28084</f>
        <v>#REF!</v>
      </c>
      <c r="FA55" s="617" t="e">
        <f>'CANARD STRUCT'!#REF!*3.28084</f>
        <v>#REF!</v>
      </c>
      <c r="FB55" s="617" t="e">
        <f>'CANARD STRUCT'!#REF!*3.28084</f>
        <v>#REF!</v>
      </c>
      <c r="FC55" s="617" t="e">
        <f>'CANARD STRUCT'!#REF!*3.28084</f>
        <v>#REF!</v>
      </c>
      <c r="FD55" s="617" t="e">
        <f>'CANARD STRUCT'!#REF!*3.28084</f>
        <v>#REF!</v>
      </c>
      <c r="FE55" s="617" t="e">
        <f>'CANARD STRUCT'!#REF!*3.28084</f>
        <v>#REF!</v>
      </c>
      <c r="FF55" s="617" t="e">
        <f>'CANARD STRUCT'!#REF!</f>
        <v>#REF!</v>
      </c>
      <c r="FG55" s="617" t="e">
        <f>'CANARD STRUCT'!#REF!</f>
        <v>#REF!</v>
      </c>
      <c r="FH55" s="617" t="e">
        <f>'CANARD STRUCT'!#REF!*3.28084</f>
        <v>#REF!</v>
      </c>
      <c r="FI55" s="617" t="e">
        <f>'CANARD STRUCT'!#REF!*3.28084</f>
        <v>#REF!</v>
      </c>
      <c r="FJ55" s="617" t="e">
        <f>'CANARD STRUCT'!#REF!*3.28084^3</f>
        <v>#REF!</v>
      </c>
      <c r="FK55" s="617" t="e">
        <f>'CANARD STRUCT'!#REF!*3.28084</f>
        <v>#REF!</v>
      </c>
      <c r="FL55" s="617" t="e">
        <f>'CANARD STRUCT'!#REF!</f>
        <v>#REF!</v>
      </c>
      <c r="FM55" s="617" t="e">
        <f>'CANARD STRUCT'!#REF!</f>
        <v>#REF!</v>
      </c>
      <c r="FN55" s="617" t="e">
        <f>'CANARD STRUCT'!#REF!*3.28084</f>
        <v>#REF!</v>
      </c>
      <c r="FO55" s="617" t="e">
        <f>'CANARD STRUCT'!#REF!</f>
        <v>#REF!</v>
      </c>
      <c r="FP55" s="617" t="e">
        <f>'CANARD STRUCT'!#REF!</f>
        <v>#REF!</v>
      </c>
      <c r="FQ55" s="617" t="e">
        <f>'CANARD STRUCT'!#REF!</f>
        <v>#REF!</v>
      </c>
      <c r="FR55" s="617" t="e">
        <f>'CANARD STRUCT'!#REF!</f>
        <v>#REF!</v>
      </c>
      <c r="FS55" s="617" t="e">
        <f>'CANARD STRUCT'!#REF!</f>
        <v>#REF!</v>
      </c>
      <c r="FT55" s="616" t="e">
        <f>'CANARD STRUCT'!#REF!</f>
        <v>#REF!</v>
      </c>
      <c r="FU55" s="690" t="e">
        <f>'CANARD STRUCT'!#REF!</f>
        <v>#REF!</v>
      </c>
      <c r="FV55" s="617" t="e">
        <f>'CANARD STRUCT'!#REF!*3.28084</f>
        <v>#REF!</v>
      </c>
      <c r="FW55" s="617" t="e">
        <f>'CANARD STRUCT'!#REF!*3.28084</f>
        <v>#REF!</v>
      </c>
      <c r="FX55" s="617" t="e">
        <f>'CANARD STRUCT'!#REF!*3.28084</f>
        <v>#REF!</v>
      </c>
      <c r="FY55" s="617" t="e">
        <f>'CANARD STRUCT'!#REF!</f>
        <v>#REF!</v>
      </c>
      <c r="FZ55" s="691" t="e">
        <f>'CANARD STRUCT'!#REF!*0.224809*3.28084^2</f>
        <v>#REF!</v>
      </c>
      <c r="GA55" s="691" t="e">
        <f>'CANARD STRUCT'!#REF!*0.224809*3.28084^2</f>
        <v>#REF!</v>
      </c>
      <c r="GB55" s="691" t="e">
        <f>'CANARD STRUCT'!#REF!*0.224809*3.28084^2</f>
        <v>#REF!</v>
      </c>
      <c r="GC55" s="691" t="e">
        <f>'CANARD STRUCT'!#REF!*0.224809*3.28084^2</f>
        <v>#REF!</v>
      </c>
      <c r="GD55" s="691" t="e">
        <f>'CANARD STRUCT'!#REF!*0.224809*3.28084^2</f>
        <v>#REF!</v>
      </c>
      <c r="GE55" s="691" t="e">
        <f>'CANARD STRUCT'!#REF!*0.224809*3.28084^2</f>
        <v>#REF!</v>
      </c>
      <c r="GF55" s="617" t="e">
        <f>'CANARD STRUCT'!#REF!</f>
        <v>#REF!</v>
      </c>
      <c r="GG55" s="691" t="e">
        <f>'CANARD STRUCT'!#REF!*0.224809</f>
        <v>#REF!</v>
      </c>
      <c r="GH55" s="691" t="e">
        <f>'CANARD STRUCT'!#REF!*0.224809</f>
        <v>#REF!</v>
      </c>
      <c r="GI55" s="617" t="e">
        <f>'CANARD STRUCT'!#REF!*2.20462*3.28084</f>
        <v>#REF!</v>
      </c>
      <c r="GJ55" s="617" t="e">
        <f>'CANARD STRUCT'!#REF!*2.20462*3.28084</f>
        <v>#REF!</v>
      </c>
      <c r="GK55" s="617" t="e">
        <f>'CANARD STRUCT'!#REF!*2.20462/3.28084</f>
        <v>#REF!</v>
      </c>
      <c r="GL55" s="617" t="e">
        <f>'CANARD STRUCT'!#REF!*3.28084</f>
        <v>#REF!</v>
      </c>
      <c r="GM55" s="617" t="e">
        <f>'CANARD STRUCT'!#REF!*3.28084</f>
        <v>#REF!</v>
      </c>
      <c r="GN55" s="617" t="e">
        <f>'CANARD STRUCT'!#REF!*2.20462*3.28084</f>
        <v>#REF!</v>
      </c>
      <c r="GO55" s="617" t="e">
        <f>'CANARD STRUCT'!#REF!*2.20462*3.28084</f>
        <v>#REF!</v>
      </c>
      <c r="GP55" s="617" t="e">
        <f>'CANARD STRUCT'!#REF!*2.20462/3.28084</f>
        <v>#REF!</v>
      </c>
      <c r="GQ55" s="617" t="e">
        <f>'CANARD STRUCT'!#REF!*3.28084</f>
        <v>#REF!</v>
      </c>
      <c r="GR55" s="617" t="e">
        <f>'CANARD STRUCT'!#REF!*3.28084</f>
        <v>#REF!</v>
      </c>
      <c r="GS55" s="617" t="e">
        <f>'CANARD STRUCT'!#REF!*3.28084</f>
        <v>#REF!</v>
      </c>
      <c r="GT55" s="617" t="e">
        <f>'CANARD STRUCT'!#REF!*3.28084</f>
        <v>#REF!</v>
      </c>
      <c r="GU55" s="617" t="e">
        <f>'CANARD STRUCT'!#REF!*3.28084</f>
        <v>#REF!</v>
      </c>
      <c r="GV55" s="617" t="e">
        <f>'CANARD STRUCT'!#REF!*3.28084</f>
        <v>#REF!</v>
      </c>
      <c r="GW55" s="617" t="e">
        <f>'CANARD STRUCT'!#REF!</f>
        <v>#REF!</v>
      </c>
      <c r="GX55" s="617" t="e">
        <f>'CANARD STRUCT'!#REF!</f>
        <v>#REF!</v>
      </c>
      <c r="GY55" s="617" t="e">
        <f>'CANARD STRUCT'!#REF!*3.28084</f>
        <v>#REF!</v>
      </c>
      <c r="GZ55" s="617" t="e">
        <f>'CANARD STRUCT'!#REF!*3.28084</f>
        <v>#REF!</v>
      </c>
      <c r="HA55" s="617" t="e">
        <f>'CANARD STRUCT'!#REF!*3.28084^3</f>
        <v>#REF!</v>
      </c>
      <c r="HB55" s="617" t="e">
        <f>'CANARD STRUCT'!#REF!*3.28084</f>
        <v>#REF!</v>
      </c>
      <c r="HC55" s="617" t="e">
        <f>'CANARD STRUCT'!#REF!</f>
        <v>#REF!</v>
      </c>
      <c r="HD55" s="617" t="e">
        <f>'CANARD STRUCT'!#REF!</f>
        <v>#REF!</v>
      </c>
      <c r="HE55" s="617" t="e">
        <f>'CANARD STRUCT'!#REF!*3.28084</f>
        <v>#REF!</v>
      </c>
      <c r="HF55" s="617" t="e">
        <f>'CANARD STRUCT'!#REF!</f>
        <v>#REF!</v>
      </c>
      <c r="HG55" s="617" t="e">
        <f>'CANARD STRUCT'!#REF!</f>
        <v>#REF!</v>
      </c>
      <c r="HH55" s="617" t="e">
        <f>'CANARD STRUCT'!#REF!</f>
        <v>#REF!</v>
      </c>
      <c r="HI55" s="617" t="e">
        <f>'CANARD STRUCT'!#REF!</f>
        <v>#REF!</v>
      </c>
      <c r="HJ55" s="617" t="e">
        <f>'CANARD STRUCT'!#REF!</f>
        <v>#REF!</v>
      </c>
      <c r="HK55" s="616" t="e">
        <f>'CANARD STRUCT'!#REF!</f>
        <v>#REF!</v>
      </c>
    </row>
    <row r="56" spans="1:219" x14ac:dyDescent="0.25">
      <c r="A56" t="s">
        <v>893</v>
      </c>
      <c r="B56" s="663">
        <v>0</v>
      </c>
      <c r="C56" s="664">
        <v>1.56</v>
      </c>
      <c r="D56" s="664">
        <v>0.1</v>
      </c>
      <c r="E56" s="669" t="e">
        <f>'CANARD STRUCT'!#REF!* 3.28084</f>
        <v>#REF!</v>
      </c>
      <c r="F56" s="669" t="e">
        <f>'CANARD STRUCT'!#REF!* 3.28084</f>
        <v>#REF!</v>
      </c>
      <c r="G56" s="669" t="e">
        <f>'CANARD STRUCT'!#REF!* 3.28084</f>
        <v>#REF!</v>
      </c>
      <c r="H56" s="670" t="e">
        <f>'CANARD STRUCT'!#REF!*2.20462</f>
        <v>#REF!</v>
      </c>
      <c r="I56" s="667">
        <v>5</v>
      </c>
      <c r="J56" s="204" t="e">
        <f t="shared" si="0"/>
        <v>#REF!</v>
      </c>
      <c r="K56" s="575">
        <v>7</v>
      </c>
      <c r="L56" t="e">
        <f>AA51</f>
        <v>#REF!</v>
      </c>
      <c r="M56">
        <v>3</v>
      </c>
      <c r="N56" s="626" t="e">
        <f>0.5*(MAX(ED50:ED60)-MIN(ED50:ED60))+MIN(ED50:ED60)</f>
        <v>#REF!</v>
      </c>
      <c r="O56" s="576">
        <v>0</v>
      </c>
      <c r="P56" s="580"/>
      <c r="AU56" s="594"/>
      <c r="AV56" s="574">
        <f ca="1">100*(AX56-$AX$50)/(MAX($AX$50:INDEX(($AX$50:$AX$150),$F$35+1,1))-MIN($AX$50:INDEX(($AX$50:$AX$150),$F$35+1,1)))</f>
        <v>28.000000000000004</v>
      </c>
      <c r="AW56" s="659">
        <f ca="1">OFFSET('Trapezoidal Wing Summary'!C$45,((ROW('Trapezoidal Wing Summary'!$A51)-ROW('Trapezoidal Wing Summary'!$A$45))*100/$F$35),0)+$F$15</f>
        <v>10.478554797255999</v>
      </c>
      <c r="AX56" s="659">
        <f ca="1">OFFSET('Trapezoidal Wing Summary'!D$45,((ROW('Trapezoidal Wing Summary'!$A51)-ROW('Trapezoidal Wing Summary'!$A$45))*100/$F$35),0)+$F$16</f>
        <v>2.7559056000000002</v>
      </c>
      <c r="AY56" s="659">
        <f ca="1">OFFSET('Trapezoidal Wing Summary'!E$45,((ROW('Trapezoidal Wing Summary'!$A51)-ROW('Trapezoidal Wing Summary'!$A$45))*100/$F$35),0)+$F$17</f>
        <v>12.850247130368</v>
      </c>
      <c r="AZ56" s="41">
        <f ca="1">OFFSET('Trapezoidal Wing Summary'!F$45,((ROW('Trapezoidal Wing Summary'!$A51)-ROW('Trapezoidal Wing Summary'!$A$45))*100/$F$35),0)</f>
        <v>0</v>
      </c>
      <c r="BA56" s="41">
        <f ca="1">OFFSET('Trapezoidal Wing Summary'!G$45,((ROW('Trapezoidal Wing Summary'!$A51)-ROW('Trapezoidal Wing Summary'!$A$45))*100/$F$35),0)</f>
        <v>126495.22588884308</v>
      </c>
      <c r="BB56" s="41">
        <f ca="1">OFFSET('Trapezoidal Wing Summary'!H$45,((ROW('Trapezoidal Wing Summary'!$A51)-ROW('Trapezoidal Wing Summary'!$A$45))*100/$F$35),0)</f>
        <v>114848.94743304871</v>
      </c>
      <c r="BC56" s="41">
        <f ca="1">OFFSET('Trapezoidal Wing Summary'!I$45,((ROW('Trapezoidal Wing Summary'!$A51)-ROW('Trapezoidal Wing Summary'!$A$45))*100/$F$35),0)</f>
        <v>0</v>
      </c>
      <c r="BD56" s="41">
        <f ca="1">OFFSET('Trapezoidal Wing Summary'!J$45,((ROW('Trapezoidal Wing Summary'!$A51)-ROW('Trapezoidal Wing Summary'!$A$45))*100/$F$35),0)</f>
        <v>0</v>
      </c>
      <c r="BE56" s="41">
        <f ca="1">OFFSET('Trapezoidal Wing Summary'!K$45,((ROW('Trapezoidal Wing Summary'!$A51)-ROW('Trapezoidal Wing Summary'!$A$45))*100/$F$35),0)</f>
        <v>0</v>
      </c>
      <c r="BF56" s="41">
        <f ca="1">OFFSET('Trapezoidal Wing Summary'!L$45,((ROW('Trapezoidal Wing Summary'!$A51)-ROW('Trapezoidal Wing Summary'!$A$45))*100/$F$35),0)</f>
        <v>2562718.3402222195</v>
      </c>
      <c r="BG56" s="41">
        <f ca="1">OFFSET('Trapezoidal Wing Summary'!M$45,((ROW('Trapezoidal Wing Summary'!$A51)-ROW('Trapezoidal Wing Summary'!$A$45))*100/$F$35),0)</f>
        <v>0</v>
      </c>
      <c r="BH56" s="41">
        <f ca="1">OFFSET('Trapezoidal Wing Summary'!N$45,((ROW('Trapezoidal Wing Summary'!$A51)-ROW('Trapezoidal Wing Summary'!$A$45))*100/$F$35),0)</f>
        <v>0</v>
      </c>
      <c r="BI56" s="41">
        <f ca="1">OFFSET('Trapezoidal Wing Summary'!O$45,((ROW('Trapezoidal Wing Summary'!$A51)-ROW('Trapezoidal Wing Summary'!$A$45))*100/$F$35),0)</f>
        <v>0</v>
      </c>
      <c r="BJ56" s="41">
        <f ca="1">OFFSET('Trapezoidal Wing Summary'!P$45,((ROW('Trapezoidal Wing Summary'!$A51)-ROW('Trapezoidal Wing Summary'!$A$45))*100/$F$35),0)</f>
        <v>0</v>
      </c>
      <c r="BK56" s="41">
        <f ca="1">OFFSET('Trapezoidal Wing Summary'!Q$45,((ROW('Trapezoidal Wing Summary'!$A51)-ROW('Trapezoidal Wing Summary'!$A$45))*100/$F$35),0)</f>
        <v>0</v>
      </c>
      <c r="BL56" s="41">
        <f ca="1">OFFSET('Trapezoidal Wing Summary'!R$45,((ROW('Trapezoidal Wing Summary'!$A51)-ROW('Trapezoidal Wing Summary'!$A$45))*100/$F$35),0)</f>
        <v>2.8199417747166797</v>
      </c>
      <c r="BM56" s="41">
        <f ca="1">OFFSET('Trapezoidal Wing Summary'!S$45,((ROW('Trapezoidal Wing Summary'!$A51)-ROW('Trapezoidal Wing Summary'!$A$45))*100/$F$35),0)</f>
        <v>0.36704618579848014</v>
      </c>
      <c r="BN56" s="41">
        <f ca="1">OFFSET('Trapezoidal Wing Summary'!T$45,((ROW('Trapezoidal Wing Summary'!$A51)-ROW('Trapezoidal Wing Summary'!$A$45))*100/$F$35),0)</f>
        <v>0</v>
      </c>
      <c r="BO56" s="41">
        <f ca="1">OFFSET('Trapezoidal Wing Summary'!U$45,((ROW('Trapezoidal Wing Summary'!$A51)-ROW('Trapezoidal Wing Summary'!$A$45))*100/$F$35),0)</f>
        <v>0</v>
      </c>
      <c r="BP56" s="41">
        <f ca="1">OFFSET('Trapezoidal Wing Summary'!V$45,((ROW('Trapezoidal Wing Summary'!$A51)-ROW('Trapezoidal Wing Summary'!$A$45))*100/$F$35),0)</f>
        <v>0</v>
      </c>
      <c r="BQ56" s="41">
        <f ca="1">OFFSET('Trapezoidal Wing Summary'!W$45,((ROW('Trapezoidal Wing Summary'!$A51)-ROW('Trapezoidal Wing Summary'!$A$45))*100/$F$35),0)</f>
        <v>0</v>
      </c>
      <c r="BR56" s="41">
        <f ca="1">OFFSET('Trapezoidal Wing Summary'!X$45,((ROW('Trapezoidal Wing Summary'!$A51)-ROW('Trapezoidal Wing Summary'!$A$45))*100/$F$35),0)</f>
        <v>0</v>
      </c>
      <c r="BS56" s="41">
        <f ca="1">OFFSET('Trapezoidal Wing Summary'!Y$45,((ROW('Trapezoidal Wing Summary'!$A51)-ROW('Trapezoidal Wing Summary'!$A$45))*100/$F$35),0)</f>
        <v>0</v>
      </c>
      <c r="BT56" s="41">
        <f ca="1">OFFSET('Trapezoidal Wing Summary'!Z$45,((ROW('Trapezoidal Wing Summary'!$A51)-ROW('Trapezoidal Wing Summary'!$A$45))*100/$F$35),0)</f>
        <v>0.16948209920366841</v>
      </c>
      <c r="BU56" s="41">
        <f ca="1">OFFSET('Trapezoidal Wing Summary'!AA$45,((ROW('Trapezoidal Wing Summary'!$A51)-ROW('Trapezoidal Wing Summary'!$A$45))*100/$F$35),0)</f>
        <v>0</v>
      </c>
      <c r="BV56" s="41">
        <f ca="1">OFFSET('Trapezoidal Wing Summary'!AB$45,((ROW('Trapezoidal Wing Summary'!$A51)-ROW('Trapezoidal Wing Summary'!$A$45))*100/$F$35),0)</f>
        <v>0</v>
      </c>
      <c r="BW56" s="41">
        <f ca="1">OFFSET('Trapezoidal Wing Summary'!AC$45,((ROW('Trapezoidal Wing Summary'!$A51)-ROW('Trapezoidal Wing Summary'!$A$45))*100/$F$35),0)</f>
        <v>0</v>
      </c>
      <c r="BX56" s="41">
        <f ca="1">OFFSET('Trapezoidal Wing Summary'!AD$45,((ROW('Trapezoidal Wing Summary'!$A51)-ROW('Trapezoidal Wing Summary'!$A$45))*100/$F$35),0)</f>
        <v>2E-3</v>
      </c>
      <c r="BY56" s="41">
        <f ca="1">OFFSET('Trapezoidal Wing Summary'!AE$45,((ROW('Trapezoidal Wing Summary'!$A51)-ROW('Trapezoidal Wing Summary'!$A$45))*100/$F$35),0)</f>
        <v>2E-3</v>
      </c>
      <c r="BZ56" s="41">
        <f ca="1">OFFSET('Trapezoidal Wing Summary'!AF$45,((ROW('Trapezoidal Wing Summary'!$A51)-ROW('Trapezoidal Wing Summary'!$A$45))*100/$F$35),0)</f>
        <v>0</v>
      </c>
      <c r="CA56" s="41">
        <f ca="1">OFFSET('Trapezoidal Wing Summary'!AG$45,((ROW('Trapezoidal Wing Summary'!$A51)-ROW('Trapezoidal Wing Summary'!$A$45))*100/$F$35),0)</f>
        <v>0.1671259896</v>
      </c>
      <c r="CB56" s="41">
        <f ca="1">OFFSET('Trapezoidal Wing Summary'!AH$45,((ROW('Trapezoidal Wing Summary'!$A51)-ROW('Trapezoidal Wing Summary'!$A$45))*100/$F$35),0)</f>
        <v>8.99648614421906E-4</v>
      </c>
      <c r="CC56" s="41">
        <f ca="1">OFFSET('Trapezoidal Wing Summary'!AI$45,((ROW('Trapezoidal Wing Summary'!$A51)-ROW('Trapezoidal Wing Summary'!$A$45))*100/$F$35),0)</f>
        <v>0</v>
      </c>
      <c r="CD56" s="41">
        <f>'REF - ASWING AERO-Imperial'!$R$5</f>
        <v>5.4999999999999997E-3</v>
      </c>
      <c r="CE56" s="41">
        <f>'REF - ASWING AERO-Imperial'!$R$6</f>
        <v>5.4999999999999997E-3</v>
      </c>
      <c r="CF56" s="41">
        <f ca="1">OFFSET('Trapezoidal Wing Summary'!AL$45,((ROW('Trapezoidal Wing Summary'!$A51)-ROW('Trapezoidal Wing Summary'!$A$45))*100/$F$35),0)</f>
        <v>1.8569554400000001</v>
      </c>
      <c r="CG56" s="41">
        <f ca="1">OFFSET('Trapezoidal Wing Summary'!AM$45,((ROW('Trapezoidal Wing Summary'!$A51)-ROW('Trapezoidal Wing Summary'!$A$45))*100/$F$35),0)</f>
        <v>0.25</v>
      </c>
      <c r="CH56" s="41">
        <f ca="1">OFFSET('Trapezoidal Wing Summary'!AN$45,((ROW('Trapezoidal Wing Summary'!$A51)-ROW('Trapezoidal Wing Summary'!$A$45))*100/$F$35),0)</f>
        <v>5.9</v>
      </c>
      <c r="CI56" s="41">
        <f ca="1">OFFSET('Trapezoidal Wing Summary'!AO$45,((ROW('Trapezoidal Wing Summary'!$A51)-ROW('Trapezoidal Wing Summary'!$A$45))*100/$F$35),0)</f>
        <v>-0.15</v>
      </c>
      <c r="CJ56" s="41">
        <f ca="1">OFFSET('Trapezoidal Wing Summary'!AP$45,((ROW('Trapezoidal Wing Summary'!$A51)-ROW('Trapezoidal Wing Summary'!$A$45))*100/$F$35),0)</f>
        <v>2.25</v>
      </c>
      <c r="CK56" s="41">
        <f ca="1">OFFSET('Trapezoidal Wing Summary'!AQ$45,((ROW('Trapezoidal Wing Summary'!$A51)-ROW('Trapezoidal Wing Summary'!$A$45))*100/$F$35),0)</f>
        <v>-1.65</v>
      </c>
      <c r="CL56" s="41">
        <f ca="1">OFFSET('Trapezoidal Wing Summary'!AR$45,((ROW('Trapezoidal Wing Summary'!$A51)-ROW('Trapezoidal Wing Summary'!$A$45))*100/$F$35),0)</f>
        <v>5.9690260418206069</v>
      </c>
      <c r="CM56" s="644" t="e">
        <f>'CANARD STRUCT'!#REF!</f>
        <v>#REF!</v>
      </c>
      <c r="CN56" s="642" t="e">
        <f>'CANARD STRUCT'!#REF!*3.28084</f>
        <v>#REF!</v>
      </c>
      <c r="CO56" s="642" t="e">
        <f>'CANARD STRUCT'!#REF!*3.28084</f>
        <v>#REF!</v>
      </c>
      <c r="CP56" s="642" t="e">
        <f>'CANARD STRUCT'!#REF!*3.28084</f>
        <v>#REF!</v>
      </c>
      <c r="CQ56" s="642" t="e">
        <f>'CANARD STRUCT'!#REF!</f>
        <v>#REF!</v>
      </c>
      <c r="CR56" s="685" t="e">
        <f>'CANARD STRUCT'!#REF!*0.224809*3.28084^2</f>
        <v>#REF!</v>
      </c>
      <c r="CS56" s="685" t="e">
        <f>'CANARD STRUCT'!#REF!*0.224809*3.28084^2</f>
        <v>#REF!</v>
      </c>
      <c r="CT56" s="685" t="e">
        <f>'CANARD STRUCT'!#REF!*0.224809*3.28084^2</f>
        <v>#REF!</v>
      </c>
      <c r="CU56" s="685" t="e">
        <f>'CANARD STRUCT'!#REF!*0.224809*3.28084^2</f>
        <v>#REF!</v>
      </c>
      <c r="CV56" s="685" t="e">
        <f>'CANARD STRUCT'!#REF!*0.224809*3.28084^2</f>
        <v>#REF!</v>
      </c>
      <c r="CW56" s="685" t="e">
        <f>'CANARD STRUCT'!#REF!*0.224809*3.28084^2</f>
        <v>#REF!</v>
      </c>
      <c r="CX56" s="642" t="e">
        <f>'CANARD STRUCT'!#REF!</f>
        <v>#REF!</v>
      </c>
      <c r="CY56" s="642" t="e">
        <f>'CANARD STRUCT'!#REF!*0.224809</f>
        <v>#REF!</v>
      </c>
      <c r="CZ56" s="642" t="e">
        <f>'CANARD STRUCT'!#REF!*0.224809</f>
        <v>#REF!</v>
      </c>
      <c r="DA56" s="642" t="e">
        <f>'CANARD STRUCT'!#REF!*2.20462*3.28084</f>
        <v>#REF!</v>
      </c>
      <c r="DB56" s="642" t="e">
        <f>'CANARD STRUCT'!#REF!*2.20462*3.28084</f>
        <v>#REF!</v>
      </c>
      <c r="DC56" s="642" t="e">
        <f>'CANARD STRUCT'!#REF!*2.20462/3.28084</f>
        <v>#REF!</v>
      </c>
      <c r="DD56" s="642" t="e">
        <f>'CANARD STRUCT'!#REF!*3.28084</f>
        <v>#REF!</v>
      </c>
      <c r="DE56" s="642" t="e">
        <f>'CANARD STRUCT'!#REF!*3.28084</f>
        <v>#REF!</v>
      </c>
      <c r="DF56" s="642" t="e">
        <f>'CANARD STRUCT'!#REF!*2.20462*3.28084</f>
        <v>#REF!</v>
      </c>
      <c r="DG56" s="642" t="e">
        <f>'CANARD STRUCT'!#REF!*2.20462*3.28084</f>
        <v>#REF!</v>
      </c>
      <c r="DH56" s="642" t="e">
        <f>'CANARD STRUCT'!#REF!*2.20462/3.28084</f>
        <v>#REF!</v>
      </c>
      <c r="DI56" s="642" t="e">
        <f>'CANARD STRUCT'!#REF!*3.28084</f>
        <v>#REF!</v>
      </c>
      <c r="DJ56" s="642" t="e">
        <f>'CANARD STRUCT'!#REF!*3.28084</f>
        <v>#REF!</v>
      </c>
      <c r="DK56" s="642" t="e">
        <f>'CANARD STRUCT'!#REF!*3.28084</f>
        <v>#REF!</v>
      </c>
      <c r="DL56" s="642" t="e">
        <f>'CANARD STRUCT'!#REF!*3.28084</f>
        <v>#REF!</v>
      </c>
      <c r="DM56" s="642" t="e">
        <f>'CANARD STRUCT'!#REF!*3.28084</f>
        <v>#REF!</v>
      </c>
      <c r="DN56" s="642" t="e">
        <f>'CANARD STRUCT'!#REF!*3.28084</f>
        <v>#REF!</v>
      </c>
      <c r="DO56" s="642" t="e">
        <f>'CANARD STRUCT'!#REF!</f>
        <v>#REF!</v>
      </c>
      <c r="DP56" s="642" t="e">
        <f>'CANARD STRUCT'!#REF!</f>
        <v>#REF!</v>
      </c>
      <c r="DQ56" s="642" t="e">
        <f>'CANARD STRUCT'!#REF!*3.28084</f>
        <v>#REF!</v>
      </c>
      <c r="DR56" s="642" t="e">
        <f>'CANARD STRUCT'!#REF!*3.28084</f>
        <v>#REF!</v>
      </c>
      <c r="DS56" s="642" t="e">
        <f>'CANARD STRUCT'!#REF!*3.28084^3</f>
        <v>#REF!</v>
      </c>
      <c r="DT56" s="642" t="e">
        <f>'CANARD STRUCT'!#REF!*3.28084</f>
        <v>#REF!</v>
      </c>
      <c r="DU56" s="642" t="e">
        <f>'CANARD STRUCT'!#REF!</f>
        <v>#REF!</v>
      </c>
      <c r="DV56" s="642" t="e">
        <f>'CANARD STRUCT'!#REF!</f>
        <v>#REF!</v>
      </c>
      <c r="DW56" s="642" t="e">
        <f>'CANARD STRUCT'!#REF!*3.28084</f>
        <v>#REF!</v>
      </c>
      <c r="DX56" s="642" t="e">
        <f>'CANARD STRUCT'!#REF!</f>
        <v>#REF!</v>
      </c>
      <c r="DY56" s="642" t="e">
        <f>'CANARD STRUCT'!#REF!</f>
        <v>#REF!</v>
      </c>
      <c r="DZ56" s="642" t="e">
        <f>'CANARD STRUCT'!#REF!</f>
        <v>#REF!</v>
      </c>
      <c r="EA56" s="642" t="e">
        <f>'CANARD STRUCT'!#REF!</f>
        <v>#REF!</v>
      </c>
      <c r="EB56" s="642" t="e">
        <f>'CANARD STRUCT'!#REF!</f>
        <v>#REF!</v>
      </c>
      <c r="EC56" s="641" t="e">
        <f>'CANARD STRUCT'!#REF!</f>
        <v>#REF!</v>
      </c>
      <c r="ED56" s="690" t="e">
        <f>'CANARD STRUCT'!#REF!</f>
        <v>#REF!</v>
      </c>
      <c r="EE56" s="617" t="e">
        <f>'CANARD STRUCT'!#REF!*3.28084</f>
        <v>#REF!</v>
      </c>
      <c r="EF56" s="617" t="e">
        <f>'CANARD STRUCT'!#REF!*3.28084</f>
        <v>#REF!</v>
      </c>
      <c r="EG56" s="617" t="e">
        <f>'CANARD STRUCT'!#REF!*3.28084</f>
        <v>#REF!</v>
      </c>
      <c r="EH56" s="617" t="e">
        <f>'CANARD STRUCT'!#REF!</f>
        <v>#REF!</v>
      </c>
      <c r="EI56" s="691" t="e">
        <f>'CANARD STRUCT'!#REF!*0.224809*3.28084^2</f>
        <v>#REF!</v>
      </c>
      <c r="EJ56" s="691" t="e">
        <f>'CANARD STRUCT'!#REF!*0.224809*3.28084^2</f>
        <v>#REF!</v>
      </c>
      <c r="EK56" s="691" t="e">
        <f>'CANARD STRUCT'!#REF!*0.224809*3.28084^2</f>
        <v>#REF!</v>
      </c>
      <c r="EL56" s="691" t="e">
        <f>'CANARD STRUCT'!#REF!*0.224809*3.28084^2</f>
        <v>#REF!</v>
      </c>
      <c r="EM56" s="691" t="e">
        <f>'CANARD STRUCT'!#REF!*0.224809*3.28084^2</f>
        <v>#REF!</v>
      </c>
      <c r="EN56" s="691" t="e">
        <f>'CANARD STRUCT'!#REF!*0.224809*3.28084^2</f>
        <v>#REF!</v>
      </c>
      <c r="EO56" s="617" t="e">
        <f>'CANARD STRUCT'!#REF!</f>
        <v>#REF!</v>
      </c>
      <c r="EP56" s="691" t="e">
        <f>'CANARD STRUCT'!#REF!*0.224809</f>
        <v>#REF!</v>
      </c>
      <c r="EQ56" s="691" t="e">
        <f>'CANARD STRUCT'!#REF!*0.224809</f>
        <v>#REF!</v>
      </c>
      <c r="ER56" s="617" t="e">
        <f>'CANARD STRUCT'!#REF!*2.20462*3.28084</f>
        <v>#REF!</v>
      </c>
      <c r="ES56" s="617" t="e">
        <f>'CANARD STRUCT'!#REF!*2.20462*3.28084</f>
        <v>#REF!</v>
      </c>
      <c r="ET56" s="617" t="e">
        <f>'CANARD STRUCT'!#REF!*2.20462/3.28084</f>
        <v>#REF!</v>
      </c>
      <c r="EU56" s="617" t="e">
        <f>'CANARD STRUCT'!#REF!*3.28084</f>
        <v>#REF!</v>
      </c>
      <c r="EV56" s="617" t="e">
        <f>'CANARD STRUCT'!#REF!*3.28084</f>
        <v>#REF!</v>
      </c>
      <c r="EW56" s="617" t="e">
        <f>'CANARD STRUCT'!#REF!*2.20462*3.28084</f>
        <v>#REF!</v>
      </c>
      <c r="EX56" s="617" t="e">
        <f>'CANARD STRUCT'!#REF!*2.20462*3.28084</f>
        <v>#REF!</v>
      </c>
      <c r="EY56" s="617" t="e">
        <f>'CANARD STRUCT'!#REF!*2.20462/3.28084</f>
        <v>#REF!</v>
      </c>
      <c r="EZ56" s="617" t="e">
        <f>'CANARD STRUCT'!#REF!*3.28084</f>
        <v>#REF!</v>
      </c>
      <c r="FA56" s="617" t="e">
        <f>'CANARD STRUCT'!#REF!*3.28084</f>
        <v>#REF!</v>
      </c>
      <c r="FB56" s="617" t="e">
        <f>'CANARD STRUCT'!#REF!*3.28084</f>
        <v>#REF!</v>
      </c>
      <c r="FC56" s="617" t="e">
        <f>'CANARD STRUCT'!#REF!*3.28084</f>
        <v>#REF!</v>
      </c>
      <c r="FD56" s="617" t="e">
        <f>'CANARD STRUCT'!#REF!*3.28084</f>
        <v>#REF!</v>
      </c>
      <c r="FE56" s="617" t="e">
        <f>'CANARD STRUCT'!#REF!*3.28084</f>
        <v>#REF!</v>
      </c>
      <c r="FF56" s="617" t="e">
        <f>'CANARD STRUCT'!#REF!</f>
        <v>#REF!</v>
      </c>
      <c r="FG56" s="617" t="e">
        <f>'CANARD STRUCT'!#REF!</f>
        <v>#REF!</v>
      </c>
      <c r="FH56" s="617" t="e">
        <f>'CANARD STRUCT'!#REF!*3.28084</f>
        <v>#REF!</v>
      </c>
      <c r="FI56" s="617" t="e">
        <f>'CANARD STRUCT'!#REF!*3.28084</f>
        <v>#REF!</v>
      </c>
      <c r="FJ56" s="617" t="e">
        <f>'CANARD STRUCT'!#REF!*3.28084^3</f>
        <v>#REF!</v>
      </c>
      <c r="FK56" s="617" t="e">
        <f>'CANARD STRUCT'!#REF!*3.28084</f>
        <v>#REF!</v>
      </c>
      <c r="FL56" s="617" t="e">
        <f>'CANARD STRUCT'!#REF!</f>
        <v>#REF!</v>
      </c>
      <c r="FM56" s="617" t="e">
        <f>'CANARD STRUCT'!#REF!</f>
        <v>#REF!</v>
      </c>
      <c r="FN56" s="617" t="e">
        <f>'CANARD STRUCT'!#REF!*3.28084</f>
        <v>#REF!</v>
      </c>
      <c r="FO56" s="617" t="e">
        <f>'CANARD STRUCT'!#REF!</f>
        <v>#REF!</v>
      </c>
      <c r="FP56" s="617" t="e">
        <f>'CANARD STRUCT'!#REF!</f>
        <v>#REF!</v>
      </c>
      <c r="FQ56" s="617" t="e">
        <f>'CANARD STRUCT'!#REF!</f>
        <v>#REF!</v>
      </c>
      <c r="FR56" s="617" t="e">
        <f>'CANARD STRUCT'!#REF!</f>
        <v>#REF!</v>
      </c>
      <c r="FS56" s="617" t="e">
        <f>'CANARD STRUCT'!#REF!</f>
        <v>#REF!</v>
      </c>
      <c r="FT56" s="616" t="e">
        <f>'CANARD STRUCT'!#REF!</f>
        <v>#REF!</v>
      </c>
      <c r="FU56" s="690" t="e">
        <f>'CANARD STRUCT'!#REF!</f>
        <v>#REF!</v>
      </c>
      <c r="FV56" s="617" t="e">
        <f>'CANARD STRUCT'!#REF!*3.28084</f>
        <v>#REF!</v>
      </c>
      <c r="FW56" s="617" t="e">
        <f>'CANARD STRUCT'!#REF!*3.28084</f>
        <v>#REF!</v>
      </c>
      <c r="FX56" s="617" t="e">
        <f>'CANARD STRUCT'!#REF!*3.28084</f>
        <v>#REF!</v>
      </c>
      <c r="FY56" s="617" t="e">
        <f>'CANARD STRUCT'!#REF!</f>
        <v>#REF!</v>
      </c>
      <c r="FZ56" s="691" t="e">
        <f>'CANARD STRUCT'!#REF!*0.224809*3.28084^2</f>
        <v>#REF!</v>
      </c>
      <c r="GA56" s="691" t="e">
        <f>'CANARD STRUCT'!#REF!*0.224809*3.28084^2</f>
        <v>#REF!</v>
      </c>
      <c r="GB56" s="691" t="e">
        <f>'CANARD STRUCT'!#REF!*0.224809*3.28084^2</f>
        <v>#REF!</v>
      </c>
      <c r="GC56" s="691" t="e">
        <f>'CANARD STRUCT'!#REF!*0.224809*3.28084^2</f>
        <v>#REF!</v>
      </c>
      <c r="GD56" s="691" t="e">
        <f>'CANARD STRUCT'!#REF!*0.224809*3.28084^2</f>
        <v>#REF!</v>
      </c>
      <c r="GE56" s="691" t="e">
        <f>'CANARD STRUCT'!#REF!*0.224809*3.28084^2</f>
        <v>#REF!</v>
      </c>
      <c r="GF56" s="617" t="e">
        <f>'CANARD STRUCT'!#REF!</f>
        <v>#REF!</v>
      </c>
      <c r="GG56" s="691" t="e">
        <f>'CANARD STRUCT'!#REF!*0.224809</f>
        <v>#REF!</v>
      </c>
      <c r="GH56" s="691" t="e">
        <f>'CANARD STRUCT'!#REF!*0.224809</f>
        <v>#REF!</v>
      </c>
      <c r="GI56" s="617" t="e">
        <f>'CANARD STRUCT'!#REF!*2.20462*3.28084</f>
        <v>#REF!</v>
      </c>
      <c r="GJ56" s="617" t="e">
        <f>'CANARD STRUCT'!#REF!*2.20462*3.28084</f>
        <v>#REF!</v>
      </c>
      <c r="GK56" s="617" t="e">
        <f>'CANARD STRUCT'!#REF!*2.20462/3.28084</f>
        <v>#REF!</v>
      </c>
      <c r="GL56" s="617" t="e">
        <f>'CANARD STRUCT'!#REF!*3.28084</f>
        <v>#REF!</v>
      </c>
      <c r="GM56" s="617" t="e">
        <f>'CANARD STRUCT'!#REF!*3.28084</f>
        <v>#REF!</v>
      </c>
      <c r="GN56" s="617" t="e">
        <f>'CANARD STRUCT'!#REF!*2.20462*3.28084</f>
        <v>#REF!</v>
      </c>
      <c r="GO56" s="617" t="e">
        <f>'CANARD STRUCT'!#REF!*2.20462*3.28084</f>
        <v>#REF!</v>
      </c>
      <c r="GP56" s="617" t="e">
        <f>'CANARD STRUCT'!#REF!*2.20462/3.28084</f>
        <v>#REF!</v>
      </c>
      <c r="GQ56" s="617" t="e">
        <f>'CANARD STRUCT'!#REF!*3.28084</f>
        <v>#REF!</v>
      </c>
      <c r="GR56" s="617" t="e">
        <f>'CANARD STRUCT'!#REF!*3.28084</f>
        <v>#REF!</v>
      </c>
      <c r="GS56" s="617" t="e">
        <f>'CANARD STRUCT'!#REF!*3.28084</f>
        <v>#REF!</v>
      </c>
      <c r="GT56" s="617" t="e">
        <f>'CANARD STRUCT'!#REF!*3.28084</f>
        <v>#REF!</v>
      </c>
      <c r="GU56" s="617" t="e">
        <f>'CANARD STRUCT'!#REF!*3.28084</f>
        <v>#REF!</v>
      </c>
      <c r="GV56" s="617" t="e">
        <f>'CANARD STRUCT'!#REF!*3.28084</f>
        <v>#REF!</v>
      </c>
      <c r="GW56" s="617" t="e">
        <f>'CANARD STRUCT'!#REF!</f>
        <v>#REF!</v>
      </c>
      <c r="GX56" s="617" t="e">
        <f>'CANARD STRUCT'!#REF!</f>
        <v>#REF!</v>
      </c>
      <c r="GY56" s="617" t="e">
        <f>'CANARD STRUCT'!#REF!*3.28084</f>
        <v>#REF!</v>
      </c>
      <c r="GZ56" s="617" t="e">
        <f>'CANARD STRUCT'!#REF!*3.28084</f>
        <v>#REF!</v>
      </c>
      <c r="HA56" s="617" t="e">
        <f>'CANARD STRUCT'!#REF!*3.28084^3</f>
        <v>#REF!</v>
      </c>
      <c r="HB56" s="617" t="e">
        <f>'CANARD STRUCT'!#REF!*3.28084</f>
        <v>#REF!</v>
      </c>
      <c r="HC56" s="617" t="e">
        <f>'CANARD STRUCT'!#REF!</f>
        <v>#REF!</v>
      </c>
      <c r="HD56" s="617" t="e">
        <f>'CANARD STRUCT'!#REF!</f>
        <v>#REF!</v>
      </c>
      <c r="HE56" s="617" t="e">
        <f>'CANARD STRUCT'!#REF!*3.28084</f>
        <v>#REF!</v>
      </c>
      <c r="HF56" s="617" t="e">
        <f>'CANARD STRUCT'!#REF!</f>
        <v>#REF!</v>
      </c>
      <c r="HG56" s="617" t="e">
        <f>'CANARD STRUCT'!#REF!</f>
        <v>#REF!</v>
      </c>
      <c r="HH56" s="617" t="e">
        <f>'CANARD STRUCT'!#REF!</f>
        <v>#REF!</v>
      </c>
      <c r="HI56" s="617" t="e">
        <f>'CANARD STRUCT'!#REF!</f>
        <v>#REF!</v>
      </c>
      <c r="HJ56" s="617" t="e">
        <f>'CANARD STRUCT'!#REF!</f>
        <v>#REF!</v>
      </c>
      <c r="HK56" s="616" t="e">
        <f>'CANARD STRUCT'!#REF!</f>
        <v>#REF!</v>
      </c>
    </row>
    <row r="57" spans="1:219" x14ac:dyDescent="0.25">
      <c r="A57" t="s">
        <v>894</v>
      </c>
      <c r="B57" s="663">
        <v>0.71453</v>
      </c>
      <c r="C57" s="664">
        <v>4.5949999999999998</v>
      </c>
      <c r="D57" s="664">
        <v>0.1</v>
      </c>
      <c r="E57" s="669" t="e">
        <f>'CANARD STRUCT'!#REF!* 3.28084</f>
        <v>#REF!</v>
      </c>
      <c r="F57" s="669" t="e">
        <f>'CANARD STRUCT'!#REF!* 3.28084</f>
        <v>#REF!</v>
      </c>
      <c r="G57" s="669" t="e">
        <f>'CANARD STRUCT'!#REF!* 3.28084</f>
        <v>#REF!</v>
      </c>
      <c r="H57" s="670" t="e">
        <f>'CANARD STRUCT'!#REF!*2.20462</f>
        <v>#REF!</v>
      </c>
      <c r="I57" s="667">
        <v>9</v>
      </c>
      <c r="J57" s="204" t="e">
        <f t="shared" si="0"/>
        <v>#REF!</v>
      </c>
      <c r="K57" s="575">
        <v>8</v>
      </c>
      <c r="L57" t="e">
        <f>AF51</f>
        <v>#REF!</v>
      </c>
      <c r="M57">
        <v>4</v>
      </c>
      <c r="N57" s="626" t="e">
        <f>N56</f>
        <v>#REF!</v>
      </c>
      <c r="O57" s="576">
        <v>0</v>
      </c>
      <c r="P57" s="580"/>
      <c r="AU57" s="594"/>
      <c r="AV57" s="574">
        <f ca="1">100*(AX57-$AX$50)/(MAX($AX$50:INDEX(($AX$50:$AX$150),$F$35+1,1))-MIN($AX$50:INDEX(($AX$50:$AX$150),$F$35+1,1)))</f>
        <v>33.000000000000007</v>
      </c>
      <c r="AW57" s="659">
        <f ca="1">OFFSET('Trapezoidal Wing Summary'!C$45,((ROW('Trapezoidal Wing Summary'!$A52)-ROW('Trapezoidal Wing Summary'!$A$45))*100/$F$35),0)+$F$15</f>
        <v>10.490857947256</v>
      </c>
      <c r="AX57" s="659">
        <f ca="1">OFFSET('Trapezoidal Wing Summary'!D$45,((ROW('Trapezoidal Wing Summary'!$A52)-ROW('Trapezoidal Wing Summary'!$A$45))*100/$F$35),0)+$F$16</f>
        <v>3.2480316000000005</v>
      </c>
      <c r="AY57" s="659">
        <f ca="1">OFFSET('Trapezoidal Wing Summary'!E$45,((ROW('Trapezoidal Wing Summary'!$A52)-ROW('Trapezoidal Wing Summary'!$A$45))*100/$F$35),0)+$F$17</f>
        <v>12.850247130368</v>
      </c>
      <c r="AZ57" s="41">
        <f ca="1">OFFSET('Trapezoidal Wing Summary'!F$45,((ROW('Trapezoidal Wing Summary'!$A52)-ROW('Trapezoidal Wing Summary'!$A$45))*100/$F$35),0)</f>
        <v>0</v>
      </c>
      <c r="BA57" s="41">
        <f ca="1">OFFSET('Trapezoidal Wing Summary'!G$45,((ROW('Trapezoidal Wing Summary'!$A52)-ROW('Trapezoidal Wing Summary'!$A$45))*100/$F$35),0)</f>
        <v>94566.592879618751</v>
      </c>
      <c r="BB57" s="41">
        <f ca="1">OFFSET('Trapezoidal Wing Summary'!H$45,((ROW('Trapezoidal Wing Summary'!$A52)-ROW('Trapezoidal Wing Summary'!$A$45))*100/$F$35),0)</f>
        <v>84693.810029086584</v>
      </c>
      <c r="BC57" s="41">
        <f ca="1">OFFSET('Trapezoidal Wing Summary'!I$45,((ROW('Trapezoidal Wing Summary'!$A52)-ROW('Trapezoidal Wing Summary'!$A$45))*100/$F$35),0)</f>
        <v>0</v>
      </c>
      <c r="BD57" s="41">
        <f ca="1">OFFSET('Trapezoidal Wing Summary'!J$45,((ROW('Trapezoidal Wing Summary'!$A52)-ROW('Trapezoidal Wing Summary'!$A$45))*100/$F$35),0)</f>
        <v>0</v>
      </c>
      <c r="BE57" s="41">
        <f ca="1">OFFSET('Trapezoidal Wing Summary'!K$45,((ROW('Trapezoidal Wing Summary'!$A52)-ROW('Trapezoidal Wing Summary'!$A$45))*100/$F$35),0)</f>
        <v>0</v>
      </c>
      <c r="BF57" s="41">
        <f ca="1">OFFSET('Trapezoidal Wing Summary'!L$45,((ROW('Trapezoidal Wing Summary'!$A52)-ROW('Trapezoidal Wing Summary'!$A$45))*100/$F$35),0)</f>
        <v>2364320.6748978253</v>
      </c>
      <c r="BG57" s="41">
        <f ca="1">OFFSET('Trapezoidal Wing Summary'!M$45,((ROW('Trapezoidal Wing Summary'!$A52)-ROW('Trapezoidal Wing Summary'!$A$45))*100/$F$35),0)</f>
        <v>0</v>
      </c>
      <c r="BH57" s="41">
        <f ca="1">OFFSET('Trapezoidal Wing Summary'!N$45,((ROW('Trapezoidal Wing Summary'!$A52)-ROW('Trapezoidal Wing Summary'!$A$45))*100/$F$35),0)</f>
        <v>0</v>
      </c>
      <c r="BI57" s="41">
        <f ca="1">OFFSET('Trapezoidal Wing Summary'!O$45,((ROW('Trapezoidal Wing Summary'!$A52)-ROW('Trapezoidal Wing Summary'!$A$45))*100/$F$35),0)</f>
        <v>0</v>
      </c>
      <c r="BJ57" s="41">
        <f ca="1">OFFSET('Trapezoidal Wing Summary'!P$45,((ROW('Trapezoidal Wing Summary'!$A52)-ROW('Trapezoidal Wing Summary'!$A$45))*100/$F$35),0)</f>
        <v>0</v>
      </c>
      <c r="BK57" s="41">
        <f ca="1">OFFSET('Trapezoidal Wing Summary'!Q$45,((ROW('Trapezoidal Wing Summary'!$A52)-ROW('Trapezoidal Wing Summary'!$A$45))*100/$F$35),0)</f>
        <v>0</v>
      </c>
      <c r="BL57" s="41">
        <f ca="1">OFFSET('Trapezoidal Wing Summary'!R$45,((ROW('Trapezoidal Wing Summary'!$A52)-ROW('Trapezoidal Wing Summary'!$A$45))*100/$F$35),0)</f>
        <v>2.6593934982695924</v>
      </c>
      <c r="BM57" s="41">
        <f ca="1">OFFSET('Trapezoidal Wing Summary'!S$45,((ROW('Trapezoidal Wing Summary'!$A52)-ROW('Trapezoidal Wing Summary'!$A$45))*100/$F$35),0)</f>
        <v>0.36866993185911717</v>
      </c>
      <c r="BN57" s="41">
        <f ca="1">OFFSET('Trapezoidal Wing Summary'!T$45,((ROW('Trapezoidal Wing Summary'!$A52)-ROW('Trapezoidal Wing Summary'!$A$45))*100/$F$35),0)</f>
        <v>0</v>
      </c>
      <c r="BO57" s="41">
        <f ca="1">OFFSET('Trapezoidal Wing Summary'!U$45,((ROW('Trapezoidal Wing Summary'!$A52)-ROW('Trapezoidal Wing Summary'!$A$45))*100/$F$35),0)</f>
        <v>0</v>
      </c>
      <c r="BP57" s="41">
        <f ca="1">OFFSET('Trapezoidal Wing Summary'!V$45,((ROW('Trapezoidal Wing Summary'!$A52)-ROW('Trapezoidal Wing Summary'!$A$45))*100/$F$35),0)</f>
        <v>0</v>
      </c>
      <c r="BQ57" s="41">
        <f ca="1">OFFSET('Trapezoidal Wing Summary'!W$45,((ROW('Trapezoidal Wing Summary'!$A52)-ROW('Trapezoidal Wing Summary'!$A$45))*100/$F$35),0)</f>
        <v>0</v>
      </c>
      <c r="BR57" s="41">
        <f ca="1">OFFSET('Trapezoidal Wing Summary'!X$45,((ROW('Trapezoidal Wing Summary'!$A52)-ROW('Trapezoidal Wing Summary'!$A$45))*100/$F$35),0)</f>
        <v>0</v>
      </c>
      <c r="BS57" s="41">
        <f ca="1">OFFSET('Trapezoidal Wing Summary'!Y$45,((ROW('Trapezoidal Wing Summary'!$A52)-ROW('Trapezoidal Wing Summary'!$A$45))*100/$F$35),0)</f>
        <v>0</v>
      </c>
      <c r="BT57" s="41">
        <f ca="1">OFFSET('Trapezoidal Wing Summary'!Z$45,((ROW('Trapezoidal Wing Summary'!$A52)-ROW('Trapezoidal Wing Summary'!$A$45))*100/$F$35),0)</f>
        <v>0.16558869553660782</v>
      </c>
      <c r="BU57" s="41">
        <f ca="1">OFFSET('Trapezoidal Wing Summary'!AA$45,((ROW('Trapezoidal Wing Summary'!$A52)-ROW('Trapezoidal Wing Summary'!$A$45))*100/$F$35),0)</f>
        <v>0</v>
      </c>
      <c r="BV57" s="41">
        <f ca="1">OFFSET('Trapezoidal Wing Summary'!AB$45,((ROW('Trapezoidal Wing Summary'!$A52)-ROW('Trapezoidal Wing Summary'!$A$45))*100/$F$35),0)</f>
        <v>0</v>
      </c>
      <c r="BW57" s="41">
        <f ca="1">OFFSET('Trapezoidal Wing Summary'!AC$45,((ROW('Trapezoidal Wing Summary'!$A52)-ROW('Trapezoidal Wing Summary'!$A$45))*100/$F$35),0)</f>
        <v>0</v>
      </c>
      <c r="BX57" s="41">
        <f ca="1">OFFSET('Trapezoidal Wing Summary'!AD$45,((ROW('Trapezoidal Wing Summary'!$A52)-ROW('Trapezoidal Wing Summary'!$A$45))*100/$F$35),0)</f>
        <v>2E-3</v>
      </c>
      <c r="BY57" s="41">
        <f ca="1">OFFSET('Trapezoidal Wing Summary'!AE$45,((ROW('Trapezoidal Wing Summary'!$A52)-ROW('Trapezoidal Wing Summary'!$A$45))*100/$F$35),0)</f>
        <v>2E-3</v>
      </c>
      <c r="BZ57" s="41">
        <f ca="1">OFFSET('Trapezoidal Wing Summary'!AF$45,((ROW('Trapezoidal Wing Summary'!$A52)-ROW('Trapezoidal Wing Summary'!$A$45))*100/$F$35),0)</f>
        <v>0</v>
      </c>
      <c r="CA57" s="41">
        <f ca="1">OFFSET('Trapezoidal Wing Summary'!AG$45,((ROW('Trapezoidal Wing Summary'!$A52)-ROW('Trapezoidal Wing Summary'!$A$45))*100/$F$35),0)</f>
        <v>0.1626968556</v>
      </c>
      <c r="CB57" s="41">
        <f ca="1">OFFSET('Trapezoidal Wing Summary'!AH$45,((ROW('Trapezoidal Wing Summary'!$A52)-ROW('Trapezoidal Wing Summary'!$A$45))*100/$F$35),0)</f>
        <v>8.5259592137217684E-4</v>
      </c>
      <c r="CC57" s="41">
        <f ca="1">OFFSET('Trapezoidal Wing Summary'!AI$45,((ROW('Trapezoidal Wing Summary'!$A52)-ROW('Trapezoidal Wing Summary'!$A$45))*100/$F$35),0)</f>
        <v>0</v>
      </c>
      <c r="CD57" s="41">
        <f>'REF - ASWING AERO-Imperial'!$R$5</f>
        <v>5.4999999999999997E-3</v>
      </c>
      <c r="CE57" s="41">
        <f>'REF - ASWING AERO-Imperial'!$R$6</f>
        <v>5.4999999999999997E-3</v>
      </c>
      <c r="CF57" s="41">
        <f ca="1">OFFSET('Trapezoidal Wing Summary'!AL$45,((ROW('Trapezoidal Wing Summary'!$A52)-ROW('Trapezoidal Wing Summary'!$A$45))*100/$F$35),0)</f>
        <v>1.80774284</v>
      </c>
      <c r="CG57" s="41">
        <f ca="1">OFFSET('Trapezoidal Wing Summary'!AM$45,((ROW('Trapezoidal Wing Summary'!$A52)-ROW('Trapezoidal Wing Summary'!$A$45))*100/$F$35),0)</f>
        <v>0.25</v>
      </c>
      <c r="CH57" s="41">
        <f ca="1">OFFSET('Trapezoidal Wing Summary'!AN$45,((ROW('Trapezoidal Wing Summary'!$A52)-ROW('Trapezoidal Wing Summary'!$A$45))*100/$F$35),0)</f>
        <v>5.9</v>
      </c>
      <c r="CI57" s="41">
        <f ca="1">OFFSET('Trapezoidal Wing Summary'!AO$45,((ROW('Trapezoidal Wing Summary'!$A52)-ROW('Trapezoidal Wing Summary'!$A$45))*100/$F$35),0)</f>
        <v>-0.15</v>
      </c>
      <c r="CJ57" s="41">
        <f ca="1">OFFSET('Trapezoidal Wing Summary'!AP$45,((ROW('Trapezoidal Wing Summary'!$A52)-ROW('Trapezoidal Wing Summary'!$A$45))*100/$F$35),0)</f>
        <v>2.25</v>
      </c>
      <c r="CK57" s="41">
        <f ca="1">OFFSET('Trapezoidal Wing Summary'!AQ$45,((ROW('Trapezoidal Wing Summary'!$A52)-ROW('Trapezoidal Wing Summary'!$A$45))*100/$F$35),0)</f>
        <v>-1.65</v>
      </c>
      <c r="CL57" s="41">
        <f ca="1">OFFSET('Trapezoidal Wing Summary'!AR$45,((ROW('Trapezoidal Wing Summary'!$A52)-ROW('Trapezoidal Wing Summary'!$A$45))*100/$F$35),0)</f>
        <v>5.9690260418206069</v>
      </c>
      <c r="CM57" s="644" t="e">
        <f>'CANARD STRUCT'!#REF!</f>
        <v>#REF!</v>
      </c>
      <c r="CN57" s="642" t="e">
        <f>'CANARD STRUCT'!#REF!*3.28084</f>
        <v>#REF!</v>
      </c>
      <c r="CO57" s="642" t="e">
        <f>'CANARD STRUCT'!#REF!*3.28084</f>
        <v>#REF!</v>
      </c>
      <c r="CP57" s="642" t="e">
        <f>'CANARD STRUCT'!#REF!*3.28084</f>
        <v>#REF!</v>
      </c>
      <c r="CQ57" s="642" t="e">
        <f>'CANARD STRUCT'!#REF!</f>
        <v>#REF!</v>
      </c>
      <c r="CR57" s="685" t="e">
        <f>'CANARD STRUCT'!#REF!*0.224809*3.28084^2</f>
        <v>#REF!</v>
      </c>
      <c r="CS57" s="685" t="e">
        <f>'CANARD STRUCT'!#REF!*0.224809*3.28084^2</f>
        <v>#REF!</v>
      </c>
      <c r="CT57" s="685" t="e">
        <f>'CANARD STRUCT'!#REF!*0.224809*3.28084^2</f>
        <v>#REF!</v>
      </c>
      <c r="CU57" s="685" t="e">
        <f>'CANARD STRUCT'!#REF!*0.224809*3.28084^2</f>
        <v>#REF!</v>
      </c>
      <c r="CV57" s="685" t="e">
        <f>'CANARD STRUCT'!#REF!*0.224809*3.28084^2</f>
        <v>#REF!</v>
      </c>
      <c r="CW57" s="685" t="e">
        <f>'CANARD STRUCT'!#REF!*0.224809*3.28084^2</f>
        <v>#REF!</v>
      </c>
      <c r="CX57" s="642" t="e">
        <f>'CANARD STRUCT'!#REF!</f>
        <v>#REF!</v>
      </c>
      <c r="CY57" s="642" t="e">
        <f>'CANARD STRUCT'!#REF!*0.224809</f>
        <v>#REF!</v>
      </c>
      <c r="CZ57" s="642" t="e">
        <f>'CANARD STRUCT'!#REF!*0.224809</f>
        <v>#REF!</v>
      </c>
      <c r="DA57" s="642" t="e">
        <f>'CANARD STRUCT'!#REF!*2.20462*3.28084</f>
        <v>#REF!</v>
      </c>
      <c r="DB57" s="642" t="e">
        <f>'CANARD STRUCT'!#REF!*2.20462*3.28084</f>
        <v>#REF!</v>
      </c>
      <c r="DC57" s="642" t="e">
        <f>'CANARD STRUCT'!#REF!*2.20462/3.28084</f>
        <v>#REF!</v>
      </c>
      <c r="DD57" s="642" t="e">
        <f>'CANARD STRUCT'!#REF!*3.28084</f>
        <v>#REF!</v>
      </c>
      <c r="DE57" s="642" t="e">
        <f>'CANARD STRUCT'!#REF!*3.28084</f>
        <v>#REF!</v>
      </c>
      <c r="DF57" s="642" t="e">
        <f>'CANARD STRUCT'!#REF!*2.20462*3.28084</f>
        <v>#REF!</v>
      </c>
      <c r="DG57" s="642" t="e">
        <f>'CANARD STRUCT'!#REF!*2.20462*3.28084</f>
        <v>#REF!</v>
      </c>
      <c r="DH57" s="642" t="e">
        <f>'CANARD STRUCT'!#REF!*2.20462/3.28084</f>
        <v>#REF!</v>
      </c>
      <c r="DI57" s="642" t="e">
        <f>'CANARD STRUCT'!#REF!*3.28084</f>
        <v>#REF!</v>
      </c>
      <c r="DJ57" s="642" t="e">
        <f>'CANARD STRUCT'!#REF!*3.28084</f>
        <v>#REF!</v>
      </c>
      <c r="DK57" s="642" t="e">
        <f>'CANARD STRUCT'!#REF!*3.28084</f>
        <v>#REF!</v>
      </c>
      <c r="DL57" s="642" t="e">
        <f>'CANARD STRUCT'!#REF!*3.28084</f>
        <v>#REF!</v>
      </c>
      <c r="DM57" s="642" t="e">
        <f>'CANARD STRUCT'!#REF!*3.28084</f>
        <v>#REF!</v>
      </c>
      <c r="DN57" s="642" t="e">
        <f>'CANARD STRUCT'!#REF!*3.28084</f>
        <v>#REF!</v>
      </c>
      <c r="DO57" s="642" t="e">
        <f>'CANARD STRUCT'!#REF!</f>
        <v>#REF!</v>
      </c>
      <c r="DP57" s="642" t="e">
        <f>'CANARD STRUCT'!#REF!</f>
        <v>#REF!</v>
      </c>
      <c r="DQ57" s="642" t="e">
        <f>'CANARD STRUCT'!#REF!*3.28084</f>
        <v>#REF!</v>
      </c>
      <c r="DR57" s="642" t="e">
        <f>'CANARD STRUCT'!#REF!*3.28084</f>
        <v>#REF!</v>
      </c>
      <c r="DS57" s="642" t="e">
        <f>'CANARD STRUCT'!#REF!*3.28084^3</f>
        <v>#REF!</v>
      </c>
      <c r="DT57" s="642" t="e">
        <f>'CANARD STRUCT'!#REF!*3.28084</f>
        <v>#REF!</v>
      </c>
      <c r="DU57" s="642" t="e">
        <f>'CANARD STRUCT'!#REF!</f>
        <v>#REF!</v>
      </c>
      <c r="DV57" s="642" t="e">
        <f>'CANARD STRUCT'!#REF!</f>
        <v>#REF!</v>
      </c>
      <c r="DW57" s="642" t="e">
        <f>'CANARD STRUCT'!#REF!*3.28084</f>
        <v>#REF!</v>
      </c>
      <c r="DX57" s="642" t="e">
        <f>'CANARD STRUCT'!#REF!</f>
        <v>#REF!</v>
      </c>
      <c r="DY57" s="642" t="e">
        <f>'CANARD STRUCT'!#REF!</f>
        <v>#REF!</v>
      </c>
      <c r="DZ57" s="642" t="e">
        <f>'CANARD STRUCT'!#REF!</f>
        <v>#REF!</v>
      </c>
      <c r="EA57" s="642" t="e">
        <f>'CANARD STRUCT'!#REF!</f>
        <v>#REF!</v>
      </c>
      <c r="EB57" s="642" t="e">
        <f>'CANARD STRUCT'!#REF!</f>
        <v>#REF!</v>
      </c>
      <c r="EC57" s="641" t="e">
        <f>'CANARD STRUCT'!#REF!</f>
        <v>#REF!</v>
      </c>
      <c r="ED57" s="690" t="e">
        <f>'CANARD STRUCT'!#REF!</f>
        <v>#REF!</v>
      </c>
      <c r="EE57" s="617" t="e">
        <f>'CANARD STRUCT'!#REF!*3.28084</f>
        <v>#REF!</v>
      </c>
      <c r="EF57" s="617" t="e">
        <f>'CANARD STRUCT'!#REF!*3.28084</f>
        <v>#REF!</v>
      </c>
      <c r="EG57" s="617" t="e">
        <f>'CANARD STRUCT'!#REF!*3.28084</f>
        <v>#REF!</v>
      </c>
      <c r="EH57" s="617" t="e">
        <f>'CANARD STRUCT'!#REF!</f>
        <v>#REF!</v>
      </c>
      <c r="EI57" s="691" t="e">
        <f>'CANARD STRUCT'!#REF!*0.224809*3.28084^2</f>
        <v>#REF!</v>
      </c>
      <c r="EJ57" s="691" t="e">
        <f>'CANARD STRUCT'!#REF!*0.224809*3.28084^2</f>
        <v>#REF!</v>
      </c>
      <c r="EK57" s="691" t="e">
        <f>'CANARD STRUCT'!#REF!*0.224809*3.28084^2</f>
        <v>#REF!</v>
      </c>
      <c r="EL57" s="691" t="e">
        <f>'CANARD STRUCT'!#REF!*0.224809*3.28084^2</f>
        <v>#REF!</v>
      </c>
      <c r="EM57" s="691" t="e">
        <f>'CANARD STRUCT'!#REF!*0.224809*3.28084^2</f>
        <v>#REF!</v>
      </c>
      <c r="EN57" s="691" t="e">
        <f>'CANARD STRUCT'!#REF!*0.224809*3.28084^2</f>
        <v>#REF!</v>
      </c>
      <c r="EO57" s="617" t="e">
        <f>'CANARD STRUCT'!#REF!</f>
        <v>#REF!</v>
      </c>
      <c r="EP57" s="691" t="e">
        <f>'CANARD STRUCT'!#REF!*0.224809</f>
        <v>#REF!</v>
      </c>
      <c r="EQ57" s="691" t="e">
        <f>'CANARD STRUCT'!#REF!*0.224809</f>
        <v>#REF!</v>
      </c>
      <c r="ER57" s="617" t="e">
        <f>'CANARD STRUCT'!#REF!*2.20462*3.28084</f>
        <v>#REF!</v>
      </c>
      <c r="ES57" s="617" t="e">
        <f>'CANARD STRUCT'!#REF!*2.20462*3.28084</f>
        <v>#REF!</v>
      </c>
      <c r="ET57" s="617" t="e">
        <f>'CANARD STRUCT'!#REF!*2.20462/3.28084</f>
        <v>#REF!</v>
      </c>
      <c r="EU57" s="617" t="e">
        <f>'CANARD STRUCT'!#REF!*3.28084</f>
        <v>#REF!</v>
      </c>
      <c r="EV57" s="617" t="e">
        <f>'CANARD STRUCT'!#REF!*3.28084</f>
        <v>#REF!</v>
      </c>
      <c r="EW57" s="617" t="e">
        <f>'CANARD STRUCT'!#REF!*2.20462*3.28084</f>
        <v>#REF!</v>
      </c>
      <c r="EX57" s="617" t="e">
        <f>'CANARD STRUCT'!#REF!*2.20462*3.28084</f>
        <v>#REF!</v>
      </c>
      <c r="EY57" s="617" t="e">
        <f>'CANARD STRUCT'!#REF!*2.20462/3.28084</f>
        <v>#REF!</v>
      </c>
      <c r="EZ57" s="617" t="e">
        <f>'CANARD STRUCT'!#REF!*3.28084</f>
        <v>#REF!</v>
      </c>
      <c r="FA57" s="617" t="e">
        <f>'CANARD STRUCT'!#REF!*3.28084</f>
        <v>#REF!</v>
      </c>
      <c r="FB57" s="617" t="e">
        <f>'CANARD STRUCT'!#REF!*3.28084</f>
        <v>#REF!</v>
      </c>
      <c r="FC57" s="617" t="e">
        <f>'CANARD STRUCT'!#REF!*3.28084</f>
        <v>#REF!</v>
      </c>
      <c r="FD57" s="617" t="e">
        <f>'CANARD STRUCT'!#REF!*3.28084</f>
        <v>#REF!</v>
      </c>
      <c r="FE57" s="617" t="e">
        <f>'CANARD STRUCT'!#REF!*3.28084</f>
        <v>#REF!</v>
      </c>
      <c r="FF57" s="617" t="e">
        <f>'CANARD STRUCT'!#REF!</f>
        <v>#REF!</v>
      </c>
      <c r="FG57" s="617" t="e">
        <f>'CANARD STRUCT'!#REF!</f>
        <v>#REF!</v>
      </c>
      <c r="FH57" s="617" t="e">
        <f>'CANARD STRUCT'!#REF!*3.28084</f>
        <v>#REF!</v>
      </c>
      <c r="FI57" s="617" t="e">
        <f>'CANARD STRUCT'!#REF!*3.28084</f>
        <v>#REF!</v>
      </c>
      <c r="FJ57" s="617" t="e">
        <f>'CANARD STRUCT'!#REF!*3.28084^3</f>
        <v>#REF!</v>
      </c>
      <c r="FK57" s="617" t="e">
        <f>'CANARD STRUCT'!#REF!*3.28084</f>
        <v>#REF!</v>
      </c>
      <c r="FL57" s="617" t="e">
        <f>'CANARD STRUCT'!#REF!</f>
        <v>#REF!</v>
      </c>
      <c r="FM57" s="617" t="e">
        <f>'CANARD STRUCT'!#REF!</f>
        <v>#REF!</v>
      </c>
      <c r="FN57" s="617" t="e">
        <f>'CANARD STRUCT'!#REF!*3.28084</f>
        <v>#REF!</v>
      </c>
      <c r="FO57" s="617" t="e">
        <f>'CANARD STRUCT'!#REF!</f>
        <v>#REF!</v>
      </c>
      <c r="FP57" s="617" t="e">
        <f>'CANARD STRUCT'!#REF!</f>
        <v>#REF!</v>
      </c>
      <c r="FQ57" s="617" t="e">
        <f>'CANARD STRUCT'!#REF!</f>
        <v>#REF!</v>
      </c>
      <c r="FR57" s="617" t="e">
        <f>'CANARD STRUCT'!#REF!</f>
        <v>#REF!</v>
      </c>
      <c r="FS57" s="617" t="e">
        <f>'CANARD STRUCT'!#REF!</f>
        <v>#REF!</v>
      </c>
      <c r="FT57" s="616" t="e">
        <f>'CANARD STRUCT'!#REF!</f>
        <v>#REF!</v>
      </c>
      <c r="FU57" s="690" t="e">
        <f>'CANARD STRUCT'!#REF!</f>
        <v>#REF!</v>
      </c>
      <c r="FV57" s="617" t="e">
        <f>'CANARD STRUCT'!#REF!*3.28084</f>
        <v>#REF!</v>
      </c>
      <c r="FW57" s="617" t="e">
        <f>'CANARD STRUCT'!#REF!*3.28084</f>
        <v>#REF!</v>
      </c>
      <c r="FX57" s="617" t="e">
        <f>'CANARD STRUCT'!#REF!*3.28084</f>
        <v>#REF!</v>
      </c>
      <c r="FY57" s="617" t="e">
        <f>'CANARD STRUCT'!#REF!</f>
        <v>#REF!</v>
      </c>
      <c r="FZ57" s="691" t="e">
        <f>'CANARD STRUCT'!#REF!*0.224809*3.28084^2</f>
        <v>#REF!</v>
      </c>
      <c r="GA57" s="691" t="e">
        <f>'CANARD STRUCT'!#REF!*0.224809*3.28084^2</f>
        <v>#REF!</v>
      </c>
      <c r="GB57" s="691" t="e">
        <f>'CANARD STRUCT'!#REF!*0.224809*3.28084^2</f>
        <v>#REF!</v>
      </c>
      <c r="GC57" s="691" t="e">
        <f>'CANARD STRUCT'!#REF!*0.224809*3.28084^2</f>
        <v>#REF!</v>
      </c>
      <c r="GD57" s="691" t="e">
        <f>'CANARD STRUCT'!#REF!*0.224809*3.28084^2</f>
        <v>#REF!</v>
      </c>
      <c r="GE57" s="691" t="e">
        <f>'CANARD STRUCT'!#REF!*0.224809*3.28084^2</f>
        <v>#REF!</v>
      </c>
      <c r="GF57" s="617" t="e">
        <f>'CANARD STRUCT'!#REF!</f>
        <v>#REF!</v>
      </c>
      <c r="GG57" s="691" t="e">
        <f>'CANARD STRUCT'!#REF!*0.224809</f>
        <v>#REF!</v>
      </c>
      <c r="GH57" s="691" t="e">
        <f>'CANARD STRUCT'!#REF!*0.224809</f>
        <v>#REF!</v>
      </c>
      <c r="GI57" s="617" t="e">
        <f>'CANARD STRUCT'!#REF!*2.20462*3.28084</f>
        <v>#REF!</v>
      </c>
      <c r="GJ57" s="617" t="e">
        <f>'CANARD STRUCT'!#REF!*2.20462*3.28084</f>
        <v>#REF!</v>
      </c>
      <c r="GK57" s="617" t="e">
        <f>'CANARD STRUCT'!#REF!*2.20462/3.28084</f>
        <v>#REF!</v>
      </c>
      <c r="GL57" s="617" t="e">
        <f>'CANARD STRUCT'!#REF!*3.28084</f>
        <v>#REF!</v>
      </c>
      <c r="GM57" s="617" t="e">
        <f>'CANARD STRUCT'!#REF!*3.28084</f>
        <v>#REF!</v>
      </c>
      <c r="GN57" s="617" t="e">
        <f>'CANARD STRUCT'!#REF!*2.20462*3.28084</f>
        <v>#REF!</v>
      </c>
      <c r="GO57" s="617" t="e">
        <f>'CANARD STRUCT'!#REF!*2.20462*3.28084</f>
        <v>#REF!</v>
      </c>
      <c r="GP57" s="617" t="e">
        <f>'CANARD STRUCT'!#REF!*2.20462/3.28084</f>
        <v>#REF!</v>
      </c>
      <c r="GQ57" s="617" t="e">
        <f>'CANARD STRUCT'!#REF!*3.28084</f>
        <v>#REF!</v>
      </c>
      <c r="GR57" s="617" t="e">
        <f>'CANARD STRUCT'!#REF!*3.28084</f>
        <v>#REF!</v>
      </c>
      <c r="GS57" s="617" t="e">
        <f>'CANARD STRUCT'!#REF!*3.28084</f>
        <v>#REF!</v>
      </c>
      <c r="GT57" s="617" t="e">
        <f>'CANARD STRUCT'!#REF!*3.28084</f>
        <v>#REF!</v>
      </c>
      <c r="GU57" s="617" t="e">
        <f>'CANARD STRUCT'!#REF!*3.28084</f>
        <v>#REF!</v>
      </c>
      <c r="GV57" s="617" t="e">
        <f>'CANARD STRUCT'!#REF!*3.28084</f>
        <v>#REF!</v>
      </c>
      <c r="GW57" s="617" t="e">
        <f>'CANARD STRUCT'!#REF!</f>
        <v>#REF!</v>
      </c>
      <c r="GX57" s="617" t="e">
        <f>'CANARD STRUCT'!#REF!</f>
        <v>#REF!</v>
      </c>
      <c r="GY57" s="617" t="e">
        <f>'CANARD STRUCT'!#REF!*3.28084</f>
        <v>#REF!</v>
      </c>
      <c r="GZ57" s="617" t="e">
        <f>'CANARD STRUCT'!#REF!*3.28084</f>
        <v>#REF!</v>
      </c>
      <c r="HA57" s="617" t="e">
        <f>'CANARD STRUCT'!#REF!*3.28084^3</f>
        <v>#REF!</v>
      </c>
      <c r="HB57" s="617" t="e">
        <f>'CANARD STRUCT'!#REF!*3.28084</f>
        <v>#REF!</v>
      </c>
      <c r="HC57" s="617" t="e">
        <f>'CANARD STRUCT'!#REF!</f>
        <v>#REF!</v>
      </c>
      <c r="HD57" s="617" t="e">
        <f>'CANARD STRUCT'!#REF!</f>
        <v>#REF!</v>
      </c>
      <c r="HE57" s="617" t="e">
        <f>'CANARD STRUCT'!#REF!*3.28084</f>
        <v>#REF!</v>
      </c>
      <c r="HF57" s="617" t="e">
        <f>'CANARD STRUCT'!#REF!</f>
        <v>#REF!</v>
      </c>
      <c r="HG57" s="617" t="e">
        <f>'CANARD STRUCT'!#REF!</f>
        <v>#REF!</v>
      </c>
      <c r="HH57" s="617" t="e">
        <f>'CANARD STRUCT'!#REF!</f>
        <v>#REF!</v>
      </c>
      <c r="HI57" s="617" t="e">
        <f>'CANARD STRUCT'!#REF!</f>
        <v>#REF!</v>
      </c>
      <c r="HJ57" s="617" t="e">
        <f>'CANARD STRUCT'!#REF!</f>
        <v>#REF!</v>
      </c>
      <c r="HK57" s="616" t="e">
        <f>'CANARD STRUCT'!#REF!</f>
        <v>#REF!</v>
      </c>
    </row>
    <row r="58" spans="1:219" x14ac:dyDescent="0.25">
      <c r="A58" t="s">
        <v>895</v>
      </c>
      <c r="B58" s="663">
        <v>4.7394999999999996</v>
      </c>
      <c r="C58" s="664">
        <v>-4.5949999999999998</v>
      </c>
      <c r="D58" s="664">
        <v>0.1</v>
      </c>
      <c r="E58" s="669" t="e">
        <f>'CANARD STRUCT'!#REF!* 3.28084</f>
        <v>#REF!</v>
      </c>
      <c r="F58" s="669" t="e">
        <f>'CANARD STRUCT'!#REF!* 3.28084</f>
        <v>#REF!</v>
      </c>
      <c r="G58" s="669" t="e">
        <f>'CANARD STRUCT'!#REF!* 3.28084</f>
        <v>#REF!</v>
      </c>
      <c r="H58" s="670" t="e">
        <f>'CANARD STRUCT'!#REF!*2.20462</f>
        <v>#REF!</v>
      </c>
      <c r="I58" s="667">
        <v>10</v>
      </c>
      <c r="J58" s="204" t="e">
        <f t="shared" si="0"/>
        <v>#REF!</v>
      </c>
      <c r="K58" s="575">
        <v>1</v>
      </c>
      <c r="L58" s="626" t="e">
        <f>AL50/MAX('REF - ASWING AERO-Imperial'!D24:D50)*100</f>
        <v>#REF!</v>
      </c>
      <c r="M58">
        <v>9</v>
      </c>
      <c r="N58" t="e">
        <f>'REF - ASWING AERO-Imperial'!A33+'Inputs-Imperial'!E12*'REF - ASWING AERO-Imperial'!F33</f>
        <v>#REF!</v>
      </c>
      <c r="O58" s="576">
        <v>0</v>
      </c>
      <c r="P58" s="580"/>
      <c r="AU58" s="594"/>
      <c r="AV58" s="574">
        <f ca="1">100*(AX58-$AX$50)/(MAX($AX$50:INDEX(($AX$50:$AX$150),$F$35+1,1))-MIN($AX$50:INDEX(($AX$50:$AX$150),$F$35+1,1)))</f>
        <v>38.000000000000007</v>
      </c>
      <c r="AW58" s="659">
        <f ca="1">OFFSET('Trapezoidal Wing Summary'!C$45,((ROW('Trapezoidal Wing Summary'!$A53)-ROW('Trapezoidal Wing Summary'!$A$45))*100/$F$35),0)+$F$15</f>
        <v>10.503161097255999</v>
      </c>
      <c r="AX58" s="659">
        <f ca="1">OFFSET('Trapezoidal Wing Summary'!D$45,((ROW('Trapezoidal Wing Summary'!$A53)-ROW('Trapezoidal Wing Summary'!$A$45))*100/$F$35),0)+$F$16</f>
        <v>3.7401576000000003</v>
      </c>
      <c r="AY58" s="659">
        <f ca="1">OFFSET('Trapezoidal Wing Summary'!E$45,((ROW('Trapezoidal Wing Summary'!$A53)-ROW('Trapezoidal Wing Summary'!$A$45))*100/$F$35),0)+$F$17</f>
        <v>12.850247130368</v>
      </c>
      <c r="AZ58" s="41">
        <f ca="1">OFFSET('Trapezoidal Wing Summary'!F$45,((ROW('Trapezoidal Wing Summary'!$A53)-ROW('Trapezoidal Wing Summary'!$A$45))*100/$F$35),0)</f>
        <v>0</v>
      </c>
      <c r="BA58" s="41">
        <f ca="1">OFFSET('Trapezoidal Wing Summary'!G$45,((ROW('Trapezoidal Wing Summary'!$A53)-ROW('Trapezoidal Wing Summary'!$A$45))*100/$F$35),0)</f>
        <v>87693.258184536229</v>
      </c>
      <c r="BB58" s="41">
        <f ca="1">OFFSET('Trapezoidal Wing Summary'!H$45,((ROW('Trapezoidal Wing Summary'!$A53)-ROW('Trapezoidal Wing Summary'!$A$45))*100/$F$35),0)</f>
        <v>80145.298751046503</v>
      </c>
      <c r="BC58" s="41">
        <f ca="1">OFFSET('Trapezoidal Wing Summary'!I$45,((ROW('Trapezoidal Wing Summary'!$A53)-ROW('Trapezoidal Wing Summary'!$A$45))*100/$F$35),0)</f>
        <v>0</v>
      </c>
      <c r="BD58" s="41">
        <f ca="1">OFFSET('Trapezoidal Wing Summary'!J$45,((ROW('Trapezoidal Wing Summary'!$A53)-ROW('Trapezoidal Wing Summary'!$A$45))*100/$F$35),0)</f>
        <v>0</v>
      </c>
      <c r="BE58" s="41">
        <f ca="1">OFFSET('Trapezoidal Wing Summary'!K$45,((ROW('Trapezoidal Wing Summary'!$A53)-ROW('Trapezoidal Wing Summary'!$A$45))*100/$F$35),0)</f>
        <v>0</v>
      </c>
      <c r="BF58" s="41">
        <f ca="1">OFFSET('Trapezoidal Wing Summary'!L$45,((ROW('Trapezoidal Wing Summary'!$A53)-ROW('Trapezoidal Wing Summary'!$A$45))*100/$F$35),0)</f>
        <v>2176436.2585782488</v>
      </c>
      <c r="BG58" s="41">
        <f ca="1">OFFSET('Trapezoidal Wing Summary'!M$45,((ROW('Trapezoidal Wing Summary'!$A53)-ROW('Trapezoidal Wing Summary'!$A$45))*100/$F$35),0)</f>
        <v>0</v>
      </c>
      <c r="BH58" s="41">
        <f ca="1">OFFSET('Trapezoidal Wing Summary'!N$45,((ROW('Trapezoidal Wing Summary'!$A53)-ROW('Trapezoidal Wing Summary'!$A$45))*100/$F$35),0)</f>
        <v>0</v>
      </c>
      <c r="BI58" s="41">
        <f ca="1">OFFSET('Trapezoidal Wing Summary'!O$45,((ROW('Trapezoidal Wing Summary'!$A53)-ROW('Trapezoidal Wing Summary'!$A$45))*100/$F$35),0)</f>
        <v>0</v>
      </c>
      <c r="BJ58" s="41">
        <f ca="1">OFFSET('Trapezoidal Wing Summary'!P$45,((ROW('Trapezoidal Wing Summary'!$A53)-ROW('Trapezoidal Wing Summary'!$A$45))*100/$F$35),0)</f>
        <v>0</v>
      </c>
      <c r="BK58" s="41">
        <f ca="1">OFFSET('Trapezoidal Wing Summary'!Q$45,((ROW('Trapezoidal Wing Summary'!$A53)-ROW('Trapezoidal Wing Summary'!$A$45))*100/$F$35),0)</f>
        <v>0</v>
      </c>
      <c r="BL58" s="41">
        <f ca="1">OFFSET('Trapezoidal Wing Summary'!R$45,((ROW('Trapezoidal Wing Summary'!$A53)-ROW('Trapezoidal Wing Summary'!$A$45))*100/$F$35),0)</f>
        <v>2.5960344852489898</v>
      </c>
      <c r="BM58" s="41">
        <f ca="1">OFFSET('Trapezoidal Wing Summary'!S$45,((ROW('Trapezoidal Wing Summary'!$A53)-ROW('Trapezoidal Wing Summary'!$A$45))*100/$F$35),0)</f>
        <v>0.3573604397750253</v>
      </c>
      <c r="BN58" s="41">
        <f ca="1">OFFSET('Trapezoidal Wing Summary'!T$45,((ROW('Trapezoidal Wing Summary'!$A53)-ROW('Trapezoidal Wing Summary'!$A$45))*100/$F$35),0)</f>
        <v>0</v>
      </c>
      <c r="BO58" s="41">
        <f ca="1">OFFSET('Trapezoidal Wing Summary'!U$45,((ROW('Trapezoidal Wing Summary'!$A53)-ROW('Trapezoidal Wing Summary'!$A$45))*100/$F$35),0)</f>
        <v>0</v>
      </c>
      <c r="BP58" s="41">
        <f ca="1">OFFSET('Trapezoidal Wing Summary'!V$45,((ROW('Trapezoidal Wing Summary'!$A53)-ROW('Trapezoidal Wing Summary'!$A$45))*100/$F$35),0)</f>
        <v>0</v>
      </c>
      <c r="BQ58" s="41">
        <f ca="1">OFFSET('Trapezoidal Wing Summary'!W$45,((ROW('Trapezoidal Wing Summary'!$A53)-ROW('Trapezoidal Wing Summary'!$A$45))*100/$F$35),0)</f>
        <v>0</v>
      </c>
      <c r="BR58" s="41">
        <f ca="1">OFFSET('Trapezoidal Wing Summary'!X$45,((ROW('Trapezoidal Wing Summary'!$A53)-ROW('Trapezoidal Wing Summary'!$A$45))*100/$F$35),0)</f>
        <v>0</v>
      </c>
      <c r="BS58" s="41">
        <f ca="1">OFFSET('Trapezoidal Wing Summary'!Y$45,((ROW('Trapezoidal Wing Summary'!$A53)-ROW('Trapezoidal Wing Summary'!$A$45))*100/$F$35),0)</f>
        <v>0</v>
      </c>
      <c r="BT58" s="41">
        <f ca="1">OFFSET('Trapezoidal Wing Summary'!Z$45,((ROW('Trapezoidal Wing Summary'!$A53)-ROW('Trapezoidal Wing Summary'!$A$45))*100/$F$35),0)</f>
        <v>0.1617334234528966</v>
      </c>
      <c r="BU58" s="41">
        <f ca="1">OFFSET('Trapezoidal Wing Summary'!AA$45,((ROW('Trapezoidal Wing Summary'!$A53)-ROW('Trapezoidal Wing Summary'!$A$45))*100/$F$35),0)</f>
        <v>0</v>
      </c>
      <c r="BV58" s="41">
        <f ca="1">OFFSET('Trapezoidal Wing Summary'!AB$45,((ROW('Trapezoidal Wing Summary'!$A53)-ROW('Trapezoidal Wing Summary'!$A$45))*100/$F$35),0)</f>
        <v>0</v>
      </c>
      <c r="BW58" s="41">
        <f ca="1">OFFSET('Trapezoidal Wing Summary'!AC$45,((ROW('Trapezoidal Wing Summary'!$A53)-ROW('Trapezoidal Wing Summary'!$A$45))*100/$F$35),0)</f>
        <v>0</v>
      </c>
      <c r="BX58" s="41">
        <f ca="1">OFFSET('Trapezoidal Wing Summary'!AD$45,((ROW('Trapezoidal Wing Summary'!$A53)-ROW('Trapezoidal Wing Summary'!$A$45))*100/$F$35),0)</f>
        <v>2E-3</v>
      </c>
      <c r="BY58" s="41">
        <f ca="1">OFFSET('Trapezoidal Wing Summary'!AE$45,((ROW('Trapezoidal Wing Summary'!$A53)-ROW('Trapezoidal Wing Summary'!$A$45))*100/$F$35),0)</f>
        <v>2E-3</v>
      </c>
      <c r="BZ58" s="41">
        <f ca="1">OFFSET('Trapezoidal Wing Summary'!AF$45,((ROW('Trapezoidal Wing Summary'!$A53)-ROW('Trapezoidal Wing Summary'!$A$45))*100/$F$35),0)</f>
        <v>0</v>
      </c>
      <c r="CA58" s="41">
        <f ca="1">OFFSET('Trapezoidal Wing Summary'!AG$45,((ROW('Trapezoidal Wing Summary'!$A53)-ROW('Trapezoidal Wing Summary'!$A$45))*100/$F$35),0)</f>
        <v>0.15826772159999999</v>
      </c>
      <c r="CB58" s="41">
        <f ca="1">OFFSET('Trapezoidal Wing Summary'!AH$45,((ROW('Trapezoidal Wing Summary'!$A53)-ROW('Trapezoidal Wing Summary'!$A$45))*100/$F$35),0)</f>
        <v>8.0680695329244951E-4</v>
      </c>
      <c r="CC58" s="41">
        <f ca="1">OFFSET('Trapezoidal Wing Summary'!AI$45,((ROW('Trapezoidal Wing Summary'!$A53)-ROW('Trapezoidal Wing Summary'!$A$45))*100/$F$35),0)</f>
        <v>0</v>
      </c>
      <c r="CD58" s="41">
        <f>'REF - ASWING AERO-Imperial'!$R$5</f>
        <v>5.4999999999999997E-3</v>
      </c>
      <c r="CE58" s="41">
        <f>'REF - ASWING AERO-Imperial'!$R$6</f>
        <v>5.4999999999999997E-3</v>
      </c>
      <c r="CF58" s="41">
        <f ca="1">OFFSET('Trapezoidal Wing Summary'!AL$45,((ROW('Trapezoidal Wing Summary'!$A53)-ROW('Trapezoidal Wing Summary'!$A$45))*100/$F$35),0)</f>
        <v>1.75853024</v>
      </c>
      <c r="CG58" s="41">
        <f ca="1">OFFSET('Trapezoidal Wing Summary'!AM$45,((ROW('Trapezoidal Wing Summary'!$A53)-ROW('Trapezoidal Wing Summary'!$A$45))*100/$F$35),0)</f>
        <v>0.25</v>
      </c>
      <c r="CH58" s="41">
        <f ca="1">OFFSET('Trapezoidal Wing Summary'!AN$45,((ROW('Trapezoidal Wing Summary'!$A53)-ROW('Trapezoidal Wing Summary'!$A$45))*100/$F$35),0)</f>
        <v>5.9</v>
      </c>
      <c r="CI58" s="41">
        <f ca="1">OFFSET('Trapezoidal Wing Summary'!AO$45,((ROW('Trapezoidal Wing Summary'!$A53)-ROW('Trapezoidal Wing Summary'!$A$45))*100/$F$35),0)</f>
        <v>-0.15</v>
      </c>
      <c r="CJ58" s="41">
        <f ca="1">OFFSET('Trapezoidal Wing Summary'!AP$45,((ROW('Trapezoidal Wing Summary'!$A53)-ROW('Trapezoidal Wing Summary'!$A$45))*100/$F$35),0)</f>
        <v>2.25</v>
      </c>
      <c r="CK58" s="41">
        <f ca="1">OFFSET('Trapezoidal Wing Summary'!AQ$45,((ROW('Trapezoidal Wing Summary'!$A53)-ROW('Trapezoidal Wing Summary'!$A$45))*100/$F$35),0)</f>
        <v>-1.65</v>
      </c>
      <c r="CL58" s="41">
        <f ca="1">OFFSET('Trapezoidal Wing Summary'!AR$45,((ROW('Trapezoidal Wing Summary'!$A53)-ROW('Trapezoidal Wing Summary'!$A$45))*100/$F$35),0)</f>
        <v>5.9690260418206069</v>
      </c>
      <c r="CM58" s="644" t="e">
        <f>'CANARD STRUCT'!#REF!</f>
        <v>#REF!</v>
      </c>
      <c r="CN58" s="642" t="e">
        <f>'CANARD STRUCT'!#REF!*3.28084</f>
        <v>#REF!</v>
      </c>
      <c r="CO58" s="642" t="e">
        <f>'CANARD STRUCT'!#REF!*3.28084</f>
        <v>#REF!</v>
      </c>
      <c r="CP58" s="642" t="e">
        <f>'CANARD STRUCT'!#REF!*3.28084</f>
        <v>#REF!</v>
      </c>
      <c r="CQ58" s="642" t="e">
        <f>'CANARD STRUCT'!#REF!</f>
        <v>#REF!</v>
      </c>
      <c r="CR58" s="685" t="e">
        <f>'CANARD STRUCT'!#REF!*0.224809*3.28084^2</f>
        <v>#REF!</v>
      </c>
      <c r="CS58" s="685" t="e">
        <f>'CANARD STRUCT'!#REF!*0.224809*3.28084^2</f>
        <v>#REF!</v>
      </c>
      <c r="CT58" s="685" t="e">
        <f>'CANARD STRUCT'!#REF!*0.224809*3.28084^2</f>
        <v>#REF!</v>
      </c>
      <c r="CU58" s="685" t="e">
        <f>'CANARD STRUCT'!#REF!*0.224809*3.28084^2</f>
        <v>#REF!</v>
      </c>
      <c r="CV58" s="685" t="e">
        <f>'CANARD STRUCT'!#REF!*0.224809*3.28084^2</f>
        <v>#REF!</v>
      </c>
      <c r="CW58" s="685" t="e">
        <f>'CANARD STRUCT'!#REF!*0.224809*3.28084^2</f>
        <v>#REF!</v>
      </c>
      <c r="CX58" s="642" t="e">
        <f>'CANARD STRUCT'!#REF!</f>
        <v>#REF!</v>
      </c>
      <c r="CY58" s="642" t="e">
        <f>'CANARD STRUCT'!#REF!*0.224809</f>
        <v>#REF!</v>
      </c>
      <c r="CZ58" s="642" t="e">
        <f>'CANARD STRUCT'!#REF!*0.224809</f>
        <v>#REF!</v>
      </c>
      <c r="DA58" s="642" t="e">
        <f>'CANARD STRUCT'!#REF!*2.20462*3.28084</f>
        <v>#REF!</v>
      </c>
      <c r="DB58" s="642" t="e">
        <f>'CANARD STRUCT'!#REF!*2.20462*3.28084</f>
        <v>#REF!</v>
      </c>
      <c r="DC58" s="642" t="e">
        <f>'CANARD STRUCT'!#REF!*2.20462/3.28084</f>
        <v>#REF!</v>
      </c>
      <c r="DD58" s="642" t="e">
        <f>'CANARD STRUCT'!#REF!*3.28084</f>
        <v>#REF!</v>
      </c>
      <c r="DE58" s="642" t="e">
        <f>'CANARD STRUCT'!#REF!*3.28084</f>
        <v>#REF!</v>
      </c>
      <c r="DF58" s="642" t="e">
        <f>'CANARD STRUCT'!#REF!*2.20462*3.28084</f>
        <v>#REF!</v>
      </c>
      <c r="DG58" s="642" t="e">
        <f>'CANARD STRUCT'!#REF!*2.20462*3.28084</f>
        <v>#REF!</v>
      </c>
      <c r="DH58" s="642" t="e">
        <f>'CANARD STRUCT'!#REF!*2.20462/3.28084</f>
        <v>#REF!</v>
      </c>
      <c r="DI58" s="642" t="e">
        <f>'CANARD STRUCT'!#REF!*3.28084</f>
        <v>#REF!</v>
      </c>
      <c r="DJ58" s="642" t="e">
        <f>'CANARD STRUCT'!#REF!*3.28084</f>
        <v>#REF!</v>
      </c>
      <c r="DK58" s="642" t="e">
        <f>'CANARD STRUCT'!#REF!*3.28084</f>
        <v>#REF!</v>
      </c>
      <c r="DL58" s="642" t="e">
        <f>'CANARD STRUCT'!#REF!*3.28084</f>
        <v>#REF!</v>
      </c>
      <c r="DM58" s="642" t="e">
        <f>'CANARD STRUCT'!#REF!*3.28084</f>
        <v>#REF!</v>
      </c>
      <c r="DN58" s="642" t="e">
        <f>'CANARD STRUCT'!#REF!*3.28084</f>
        <v>#REF!</v>
      </c>
      <c r="DO58" s="642" t="e">
        <f>'CANARD STRUCT'!#REF!</f>
        <v>#REF!</v>
      </c>
      <c r="DP58" s="642" t="e">
        <f>'CANARD STRUCT'!#REF!</f>
        <v>#REF!</v>
      </c>
      <c r="DQ58" s="642" t="e">
        <f>'CANARD STRUCT'!#REF!*3.28084</f>
        <v>#REF!</v>
      </c>
      <c r="DR58" s="642" t="e">
        <f>'CANARD STRUCT'!#REF!*3.28084</f>
        <v>#REF!</v>
      </c>
      <c r="DS58" s="642" t="e">
        <f>'CANARD STRUCT'!#REF!*3.28084^3</f>
        <v>#REF!</v>
      </c>
      <c r="DT58" s="642" t="e">
        <f>'CANARD STRUCT'!#REF!*3.28084</f>
        <v>#REF!</v>
      </c>
      <c r="DU58" s="642" t="e">
        <f>'CANARD STRUCT'!#REF!</f>
        <v>#REF!</v>
      </c>
      <c r="DV58" s="642" t="e">
        <f>'CANARD STRUCT'!#REF!</f>
        <v>#REF!</v>
      </c>
      <c r="DW58" s="642" t="e">
        <f>'CANARD STRUCT'!#REF!*3.28084</f>
        <v>#REF!</v>
      </c>
      <c r="DX58" s="642" t="e">
        <f>'CANARD STRUCT'!#REF!</f>
        <v>#REF!</v>
      </c>
      <c r="DY58" s="642" t="e">
        <f>'CANARD STRUCT'!#REF!</f>
        <v>#REF!</v>
      </c>
      <c r="DZ58" s="642" t="e">
        <f>'CANARD STRUCT'!#REF!</f>
        <v>#REF!</v>
      </c>
      <c r="EA58" s="642" t="e">
        <f>'CANARD STRUCT'!#REF!</f>
        <v>#REF!</v>
      </c>
      <c r="EB58" s="642" t="e">
        <f>'CANARD STRUCT'!#REF!</f>
        <v>#REF!</v>
      </c>
      <c r="EC58" s="641" t="e">
        <f>'CANARD STRUCT'!#REF!</f>
        <v>#REF!</v>
      </c>
      <c r="ED58" s="690" t="e">
        <f>'CANARD STRUCT'!#REF!</f>
        <v>#REF!</v>
      </c>
      <c r="EE58" s="617" t="e">
        <f>'CANARD STRUCT'!#REF!*3.28084</f>
        <v>#REF!</v>
      </c>
      <c r="EF58" s="617" t="e">
        <f>'CANARD STRUCT'!#REF!*3.28084</f>
        <v>#REF!</v>
      </c>
      <c r="EG58" s="617" t="e">
        <f>'CANARD STRUCT'!#REF!*3.28084</f>
        <v>#REF!</v>
      </c>
      <c r="EH58" s="617" t="e">
        <f>'CANARD STRUCT'!#REF!</f>
        <v>#REF!</v>
      </c>
      <c r="EI58" s="691" t="e">
        <f>'CANARD STRUCT'!#REF!*0.224809*3.28084^2</f>
        <v>#REF!</v>
      </c>
      <c r="EJ58" s="691" t="e">
        <f>'CANARD STRUCT'!#REF!*0.224809*3.28084^2</f>
        <v>#REF!</v>
      </c>
      <c r="EK58" s="691" t="e">
        <f>'CANARD STRUCT'!#REF!*0.224809*3.28084^2</f>
        <v>#REF!</v>
      </c>
      <c r="EL58" s="691" t="e">
        <f>'CANARD STRUCT'!#REF!*0.224809*3.28084^2</f>
        <v>#REF!</v>
      </c>
      <c r="EM58" s="691" t="e">
        <f>'CANARD STRUCT'!#REF!*0.224809*3.28084^2</f>
        <v>#REF!</v>
      </c>
      <c r="EN58" s="691" t="e">
        <f>'CANARD STRUCT'!#REF!*0.224809*3.28084^2</f>
        <v>#REF!</v>
      </c>
      <c r="EO58" s="617" t="e">
        <f>'CANARD STRUCT'!#REF!</f>
        <v>#REF!</v>
      </c>
      <c r="EP58" s="691" t="e">
        <f>'CANARD STRUCT'!#REF!*0.224809</f>
        <v>#REF!</v>
      </c>
      <c r="EQ58" s="691" t="e">
        <f>'CANARD STRUCT'!#REF!*0.224809</f>
        <v>#REF!</v>
      </c>
      <c r="ER58" s="617" t="e">
        <f>'CANARD STRUCT'!#REF!*2.20462*3.28084</f>
        <v>#REF!</v>
      </c>
      <c r="ES58" s="617" t="e">
        <f>'CANARD STRUCT'!#REF!*2.20462*3.28084</f>
        <v>#REF!</v>
      </c>
      <c r="ET58" s="617" t="e">
        <f>'CANARD STRUCT'!#REF!*2.20462/3.28084</f>
        <v>#REF!</v>
      </c>
      <c r="EU58" s="617" t="e">
        <f>'CANARD STRUCT'!#REF!*3.28084</f>
        <v>#REF!</v>
      </c>
      <c r="EV58" s="617" t="e">
        <f>'CANARD STRUCT'!#REF!*3.28084</f>
        <v>#REF!</v>
      </c>
      <c r="EW58" s="617" t="e">
        <f>'CANARD STRUCT'!#REF!*2.20462*3.28084</f>
        <v>#REF!</v>
      </c>
      <c r="EX58" s="617" t="e">
        <f>'CANARD STRUCT'!#REF!*2.20462*3.28084</f>
        <v>#REF!</v>
      </c>
      <c r="EY58" s="617" t="e">
        <f>'CANARD STRUCT'!#REF!*2.20462/3.28084</f>
        <v>#REF!</v>
      </c>
      <c r="EZ58" s="617" t="e">
        <f>'CANARD STRUCT'!#REF!*3.28084</f>
        <v>#REF!</v>
      </c>
      <c r="FA58" s="617" t="e">
        <f>'CANARD STRUCT'!#REF!*3.28084</f>
        <v>#REF!</v>
      </c>
      <c r="FB58" s="617" t="e">
        <f>'CANARD STRUCT'!#REF!*3.28084</f>
        <v>#REF!</v>
      </c>
      <c r="FC58" s="617" t="e">
        <f>'CANARD STRUCT'!#REF!*3.28084</f>
        <v>#REF!</v>
      </c>
      <c r="FD58" s="617" t="e">
        <f>'CANARD STRUCT'!#REF!*3.28084</f>
        <v>#REF!</v>
      </c>
      <c r="FE58" s="617" t="e">
        <f>'CANARD STRUCT'!#REF!*3.28084</f>
        <v>#REF!</v>
      </c>
      <c r="FF58" s="617" t="e">
        <f>'CANARD STRUCT'!#REF!</f>
        <v>#REF!</v>
      </c>
      <c r="FG58" s="617" t="e">
        <f>'CANARD STRUCT'!#REF!</f>
        <v>#REF!</v>
      </c>
      <c r="FH58" s="617" t="e">
        <f>'CANARD STRUCT'!#REF!*3.28084</f>
        <v>#REF!</v>
      </c>
      <c r="FI58" s="617" t="e">
        <f>'CANARD STRUCT'!#REF!*3.28084</f>
        <v>#REF!</v>
      </c>
      <c r="FJ58" s="617" t="e">
        <f>'CANARD STRUCT'!#REF!*3.28084^3</f>
        <v>#REF!</v>
      </c>
      <c r="FK58" s="617" t="e">
        <f>'CANARD STRUCT'!#REF!*3.28084</f>
        <v>#REF!</v>
      </c>
      <c r="FL58" s="617" t="e">
        <f>'CANARD STRUCT'!#REF!</f>
        <v>#REF!</v>
      </c>
      <c r="FM58" s="617" t="e">
        <f>'CANARD STRUCT'!#REF!</f>
        <v>#REF!</v>
      </c>
      <c r="FN58" s="617" t="e">
        <f>'CANARD STRUCT'!#REF!*3.28084</f>
        <v>#REF!</v>
      </c>
      <c r="FO58" s="617" t="e">
        <f>'CANARD STRUCT'!#REF!</f>
        <v>#REF!</v>
      </c>
      <c r="FP58" s="617" t="e">
        <f>'CANARD STRUCT'!#REF!</f>
        <v>#REF!</v>
      </c>
      <c r="FQ58" s="617" t="e">
        <f>'CANARD STRUCT'!#REF!</f>
        <v>#REF!</v>
      </c>
      <c r="FR58" s="617" t="e">
        <f>'CANARD STRUCT'!#REF!</f>
        <v>#REF!</v>
      </c>
      <c r="FS58" s="617" t="e">
        <f>'CANARD STRUCT'!#REF!</f>
        <v>#REF!</v>
      </c>
      <c r="FT58" s="616" t="e">
        <f>'CANARD STRUCT'!#REF!</f>
        <v>#REF!</v>
      </c>
      <c r="FU58" s="690" t="e">
        <f>'CANARD STRUCT'!#REF!</f>
        <v>#REF!</v>
      </c>
      <c r="FV58" s="617" t="e">
        <f>'CANARD STRUCT'!#REF!*3.28084</f>
        <v>#REF!</v>
      </c>
      <c r="FW58" s="617" t="e">
        <f>'CANARD STRUCT'!#REF!*3.28084</f>
        <v>#REF!</v>
      </c>
      <c r="FX58" s="617" t="e">
        <f>'CANARD STRUCT'!#REF!*3.28084</f>
        <v>#REF!</v>
      </c>
      <c r="FY58" s="617" t="e">
        <f>'CANARD STRUCT'!#REF!</f>
        <v>#REF!</v>
      </c>
      <c r="FZ58" s="691" t="e">
        <f>'CANARD STRUCT'!#REF!*0.224809*3.28084^2</f>
        <v>#REF!</v>
      </c>
      <c r="GA58" s="691" t="e">
        <f>'CANARD STRUCT'!#REF!*0.224809*3.28084^2</f>
        <v>#REF!</v>
      </c>
      <c r="GB58" s="691" t="e">
        <f>'CANARD STRUCT'!#REF!*0.224809*3.28084^2</f>
        <v>#REF!</v>
      </c>
      <c r="GC58" s="691" t="e">
        <f>'CANARD STRUCT'!#REF!*0.224809*3.28084^2</f>
        <v>#REF!</v>
      </c>
      <c r="GD58" s="691" t="e">
        <f>'CANARD STRUCT'!#REF!*0.224809*3.28084^2</f>
        <v>#REF!</v>
      </c>
      <c r="GE58" s="691" t="e">
        <f>'CANARD STRUCT'!#REF!*0.224809*3.28084^2</f>
        <v>#REF!</v>
      </c>
      <c r="GF58" s="617" t="e">
        <f>'CANARD STRUCT'!#REF!</f>
        <v>#REF!</v>
      </c>
      <c r="GG58" s="691" t="e">
        <f>'CANARD STRUCT'!#REF!*0.224809</f>
        <v>#REF!</v>
      </c>
      <c r="GH58" s="691" t="e">
        <f>'CANARD STRUCT'!#REF!*0.224809</f>
        <v>#REF!</v>
      </c>
      <c r="GI58" s="617" t="e">
        <f>'CANARD STRUCT'!#REF!*2.20462*3.28084</f>
        <v>#REF!</v>
      </c>
      <c r="GJ58" s="617" t="e">
        <f>'CANARD STRUCT'!#REF!*2.20462*3.28084</f>
        <v>#REF!</v>
      </c>
      <c r="GK58" s="617" t="e">
        <f>'CANARD STRUCT'!#REF!*2.20462/3.28084</f>
        <v>#REF!</v>
      </c>
      <c r="GL58" s="617" t="e">
        <f>'CANARD STRUCT'!#REF!*3.28084</f>
        <v>#REF!</v>
      </c>
      <c r="GM58" s="617" t="e">
        <f>'CANARD STRUCT'!#REF!*3.28084</f>
        <v>#REF!</v>
      </c>
      <c r="GN58" s="617" t="e">
        <f>'CANARD STRUCT'!#REF!*2.20462*3.28084</f>
        <v>#REF!</v>
      </c>
      <c r="GO58" s="617" t="e">
        <f>'CANARD STRUCT'!#REF!*2.20462*3.28084</f>
        <v>#REF!</v>
      </c>
      <c r="GP58" s="617" t="e">
        <f>'CANARD STRUCT'!#REF!*2.20462/3.28084</f>
        <v>#REF!</v>
      </c>
      <c r="GQ58" s="617" t="e">
        <f>'CANARD STRUCT'!#REF!*3.28084</f>
        <v>#REF!</v>
      </c>
      <c r="GR58" s="617" t="e">
        <f>'CANARD STRUCT'!#REF!*3.28084</f>
        <v>#REF!</v>
      </c>
      <c r="GS58" s="617" t="e">
        <f>'CANARD STRUCT'!#REF!*3.28084</f>
        <v>#REF!</v>
      </c>
      <c r="GT58" s="617" t="e">
        <f>'CANARD STRUCT'!#REF!*3.28084</f>
        <v>#REF!</v>
      </c>
      <c r="GU58" s="617" t="e">
        <f>'CANARD STRUCT'!#REF!*3.28084</f>
        <v>#REF!</v>
      </c>
      <c r="GV58" s="617" t="e">
        <f>'CANARD STRUCT'!#REF!*3.28084</f>
        <v>#REF!</v>
      </c>
      <c r="GW58" s="617" t="e">
        <f>'CANARD STRUCT'!#REF!</f>
        <v>#REF!</v>
      </c>
      <c r="GX58" s="617" t="e">
        <f>'CANARD STRUCT'!#REF!</f>
        <v>#REF!</v>
      </c>
      <c r="GY58" s="617" t="e">
        <f>'CANARD STRUCT'!#REF!*3.28084</f>
        <v>#REF!</v>
      </c>
      <c r="GZ58" s="617" t="e">
        <f>'CANARD STRUCT'!#REF!*3.28084</f>
        <v>#REF!</v>
      </c>
      <c r="HA58" s="617" t="e">
        <f>'CANARD STRUCT'!#REF!*3.28084^3</f>
        <v>#REF!</v>
      </c>
      <c r="HB58" s="617" t="e">
        <f>'CANARD STRUCT'!#REF!*3.28084</f>
        <v>#REF!</v>
      </c>
      <c r="HC58" s="617" t="e">
        <f>'CANARD STRUCT'!#REF!</f>
        <v>#REF!</v>
      </c>
      <c r="HD58" s="617" t="e">
        <f>'CANARD STRUCT'!#REF!</f>
        <v>#REF!</v>
      </c>
      <c r="HE58" s="617" t="e">
        <f>'CANARD STRUCT'!#REF!*3.28084</f>
        <v>#REF!</v>
      </c>
      <c r="HF58" s="617" t="e">
        <f>'CANARD STRUCT'!#REF!</f>
        <v>#REF!</v>
      </c>
      <c r="HG58" s="617" t="e">
        <f>'CANARD STRUCT'!#REF!</f>
        <v>#REF!</v>
      </c>
      <c r="HH58" s="617" t="e">
        <f>'CANARD STRUCT'!#REF!</f>
        <v>#REF!</v>
      </c>
      <c r="HI58" s="617" t="e">
        <f>'CANARD STRUCT'!#REF!</f>
        <v>#REF!</v>
      </c>
      <c r="HJ58" s="617" t="e">
        <f>'CANARD STRUCT'!#REF!</f>
        <v>#REF!</v>
      </c>
      <c r="HK58" s="616" t="e">
        <f>'CANARD STRUCT'!#REF!</f>
        <v>#REF!</v>
      </c>
    </row>
    <row r="59" spans="1:219" x14ac:dyDescent="0.25">
      <c r="A59" t="s">
        <v>896</v>
      </c>
      <c r="B59" s="663">
        <v>4.84</v>
      </c>
      <c r="C59" s="664">
        <v>-1.56</v>
      </c>
      <c r="D59" s="664">
        <v>0.1</v>
      </c>
      <c r="E59" s="669" t="e">
        <f>'CANARD STRUCT'!#REF!* 3.28084</f>
        <v>#REF!</v>
      </c>
      <c r="F59" s="669" t="e">
        <f>'CANARD STRUCT'!#REF!* 3.28084</f>
        <v>#REF!</v>
      </c>
      <c r="G59" s="669" t="e">
        <f>'CANARD STRUCT'!#REF!* 3.28084</f>
        <v>#REF!</v>
      </c>
      <c r="H59" s="670" t="e">
        <f>'CANARD STRUCT'!#REF!*2.20462</f>
        <v>#REF!</v>
      </c>
      <c r="I59" s="667">
        <v>8</v>
      </c>
      <c r="J59" s="665" t="e">
        <f t="shared" si="0"/>
        <v>#REF!</v>
      </c>
      <c r="K59" s="575">
        <v>1</v>
      </c>
      <c r="L59" s="626" t="e">
        <f>AQ50/MAX('REF - ASWING AERO-Imperial'!D24:D57)*100</f>
        <v>#REF!</v>
      </c>
      <c r="M59">
        <v>10</v>
      </c>
      <c r="N59" t="e">
        <f>'REF - ASWING AERO-Imperial'!A33+'Inputs-Imperial'!E12*'REF - ASWING AERO-Imperial'!F33</f>
        <v>#REF!</v>
      </c>
      <c r="O59" s="576">
        <v>0</v>
      </c>
      <c r="P59" s="580"/>
      <c r="AU59" s="594"/>
      <c r="AV59" s="574">
        <f ca="1">100*(AX59-$AX$50)/(MAX($AX$50:INDEX(($AX$50:$AX$150),$F$35+1,1))-MIN($AX$50:INDEX(($AX$50:$AX$150),$F$35+1,1)))</f>
        <v>42</v>
      </c>
      <c r="AW59" s="659">
        <f ca="1">OFFSET('Trapezoidal Wing Summary'!C$45,((ROW('Trapezoidal Wing Summary'!$A54)-ROW('Trapezoidal Wing Summary'!$A$45))*100/$F$35),0)+$F$15</f>
        <v>10.513003617255999</v>
      </c>
      <c r="AX59" s="659">
        <f ca="1">OFFSET('Trapezoidal Wing Summary'!D$45,((ROW('Trapezoidal Wing Summary'!$A54)-ROW('Trapezoidal Wing Summary'!$A$45))*100/$F$35),0)+$F$16</f>
        <v>4.1338584000000003</v>
      </c>
      <c r="AY59" s="659">
        <f ca="1">OFFSET('Trapezoidal Wing Summary'!E$45,((ROW('Trapezoidal Wing Summary'!$A54)-ROW('Trapezoidal Wing Summary'!$A$45))*100/$F$35),0)+$F$17</f>
        <v>12.850247130368</v>
      </c>
      <c r="AZ59" s="41">
        <f ca="1">OFFSET('Trapezoidal Wing Summary'!F$45,((ROW('Trapezoidal Wing Summary'!$A54)-ROW('Trapezoidal Wing Summary'!$A$45))*100/$F$35),0)</f>
        <v>0</v>
      </c>
      <c r="BA59" s="41">
        <f ca="1">OFFSET('Trapezoidal Wing Summary'!G$45,((ROW('Trapezoidal Wing Summary'!$A54)-ROW('Trapezoidal Wing Summary'!$A$45))*100/$F$35),0)</f>
        <v>63653.79781274213</v>
      </c>
      <c r="BB59" s="41">
        <f ca="1">OFFSET('Trapezoidal Wing Summary'!H$45,((ROW('Trapezoidal Wing Summary'!$A54)-ROW('Trapezoidal Wing Summary'!$A$45))*100/$F$35),0)</f>
        <v>57105.85256105494</v>
      </c>
      <c r="BC59" s="41">
        <f ca="1">OFFSET('Trapezoidal Wing Summary'!I$45,((ROW('Trapezoidal Wing Summary'!$A54)-ROW('Trapezoidal Wing Summary'!$A$45))*100/$F$35),0)</f>
        <v>0</v>
      </c>
      <c r="BD59" s="41">
        <f ca="1">OFFSET('Trapezoidal Wing Summary'!J$45,((ROW('Trapezoidal Wing Summary'!$A54)-ROW('Trapezoidal Wing Summary'!$A$45))*100/$F$35),0)</f>
        <v>0</v>
      </c>
      <c r="BE59" s="41">
        <f ca="1">OFFSET('Trapezoidal Wing Summary'!K$45,((ROW('Trapezoidal Wing Summary'!$A54)-ROW('Trapezoidal Wing Summary'!$A$45))*100/$F$35),0)</f>
        <v>0</v>
      </c>
      <c r="BF59" s="41">
        <f ca="1">OFFSET('Trapezoidal Wing Summary'!L$45,((ROW('Trapezoidal Wing Summary'!$A54)-ROW('Trapezoidal Wing Summary'!$A$45))*100/$F$35),0)</f>
        <v>2033505.9353142816</v>
      </c>
      <c r="BG59" s="41">
        <f ca="1">OFFSET('Trapezoidal Wing Summary'!M$45,((ROW('Trapezoidal Wing Summary'!$A54)-ROW('Trapezoidal Wing Summary'!$A$45))*100/$F$35),0)</f>
        <v>0</v>
      </c>
      <c r="BH59" s="41">
        <f ca="1">OFFSET('Trapezoidal Wing Summary'!N$45,((ROW('Trapezoidal Wing Summary'!$A54)-ROW('Trapezoidal Wing Summary'!$A$45))*100/$F$35),0)</f>
        <v>0</v>
      </c>
      <c r="BI59" s="41">
        <f ca="1">OFFSET('Trapezoidal Wing Summary'!O$45,((ROW('Trapezoidal Wing Summary'!$A54)-ROW('Trapezoidal Wing Summary'!$A$45))*100/$F$35),0)</f>
        <v>0</v>
      </c>
      <c r="BJ59" s="41">
        <f ca="1">OFFSET('Trapezoidal Wing Summary'!P$45,((ROW('Trapezoidal Wing Summary'!$A54)-ROW('Trapezoidal Wing Summary'!$A$45))*100/$F$35),0)</f>
        <v>0</v>
      </c>
      <c r="BK59" s="41">
        <f ca="1">OFFSET('Trapezoidal Wing Summary'!Q$45,((ROW('Trapezoidal Wing Summary'!$A54)-ROW('Trapezoidal Wing Summary'!$A$45))*100/$F$35),0)</f>
        <v>0</v>
      </c>
      <c r="BL59" s="41">
        <f ca="1">OFFSET('Trapezoidal Wing Summary'!R$45,((ROW('Trapezoidal Wing Summary'!$A54)-ROW('Trapezoidal Wing Summary'!$A$45))*100/$F$35),0)</f>
        <v>2.4596760195343257</v>
      </c>
      <c r="BM59" s="41">
        <f ca="1">OFFSET('Trapezoidal Wing Summary'!S$45,((ROW('Trapezoidal Wing Summary'!$A54)-ROW('Trapezoidal Wing Summary'!$A$45))*100/$F$35),0)</f>
        <v>0.36030994161675384</v>
      </c>
      <c r="BN59" s="41">
        <f ca="1">OFFSET('Trapezoidal Wing Summary'!T$45,((ROW('Trapezoidal Wing Summary'!$A54)-ROW('Trapezoidal Wing Summary'!$A$45))*100/$F$35),0)</f>
        <v>0</v>
      </c>
      <c r="BO59" s="41">
        <f ca="1">OFFSET('Trapezoidal Wing Summary'!U$45,((ROW('Trapezoidal Wing Summary'!$A54)-ROW('Trapezoidal Wing Summary'!$A$45))*100/$F$35),0)</f>
        <v>0</v>
      </c>
      <c r="BP59" s="41">
        <f ca="1">OFFSET('Trapezoidal Wing Summary'!V$45,((ROW('Trapezoidal Wing Summary'!$A54)-ROW('Trapezoidal Wing Summary'!$A$45))*100/$F$35),0)</f>
        <v>0</v>
      </c>
      <c r="BQ59" s="41">
        <f ca="1">OFFSET('Trapezoidal Wing Summary'!W$45,((ROW('Trapezoidal Wing Summary'!$A54)-ROW('Trapezoidal Wing Summary'!$A$45))*100/$F$35),0)</f>
        <v>0</v>
      </c>
      <c r="BR59" s="41">
        <f ca="1">OFFSET('Trapezoidal Wing Summary'!X$45,((ROW('Trapezoidal Wing Summary'!$A54)-ROW('Trapezoidal Wing Summary'!$A$45))*100/$F$35),0)</f>
        <v>0</v>
      </c>
      <c r="BS59" s="41">
        <f ca="1">OFFSET('Trapezoidal Wing Summary'!Y$45,((ROW('Trapezoidal Wing Summary'!$A54)-ROW('Trapezoidal Wing Summary'!$A$45))*100/$F$35),0)</f>
        <v>0</v>
      </c>
      <c r="BT59" s="41">
        <f ca="1">OFFSET('Trapezoidal Wing Summary'!Z$45,((ROW('Trapezoidal Wing Summary'!$A54)-ROW('Trapezoidal Wing Summary'!$A$45))*100/$F$35),0)</f>
        <v>0.15867732857662453</v>
      </c>
      <c r="BU59" s="41">
        <f ca="1">OFFSET('Trapezoidal Wing Summary'!AA$45,((ROW('Trapezoidal Wing Summary'!$A54)-ROW('Trapezoidal Wing Summary'!$A$45))*100/$F$35),0)</f>
        <v>0</v>
      </c>
      <c r="BV59" s="41">
        <f ca="1">OFFSET('Trapezoidal Wing Summary'!AB$45,((ROW('Trapezoidal Wing Summary'!$A54)-ROW('Trapezoidal Wing Summary'!$A$45))*100/$F$35),0)</f>
        <v>0</v>
      </c>
      <c r="BW59" s="41">
        <f ca="1">OFFSET('Trapezoidal Wing Summary'!AC$45,((ROW('Trapezoidal Wing Summary'!$A54)-ROW('Trapezoidal Wing Summary'!$A$45))*100/$F$35),0)</f>
        <v>0</v>
      </c>
      <c r="BX59" s="41">
        <f ca="1">OFFSET('Trapezoidal Wing Summary'!AD$45,((ROW('Trapezoidal Wing Summary'!$A54)-ROW('Trapezoidal Wing Summary'!$A$45))*100/$F$35),0)</f>
        <v>2E-3</v>
      </c>
      <c r="BY59" s="41">
        <f ca="1">OFFSET('Trapezoidal Wing Summary'!AE$45,((ROW('Trapezoidal Wing Summary'!$A54)-ROW('Trapezoidal Wing Summary'!$A$45))*100/$F$35),0)</f>
        <v>2E-3</v>
      </c>
      <c r="BZ59" s="41">
        <f ca="1">OFFSET('Trapezoidal Wing Summary'!AF$45,((ROW('Trapezoidal Wing Summary'!$A54)-ROW('Trapezoidal Wing Summary'!$A$45))*100/$F$35),0)</f>
        <v>0</v>
      </c>
      <c r="CA59" s="41">
        <f ca="1">OFFSET('Trapezoidal Wing Summary'!AG$45,((ROW('Trapezoidal Wing Summary'!$A54)-ROW('Trapezoidal Wing Summary'!$A$45))*100/$F$35),0)</f>
        <v>0.15472441439999998</v>
      </c>
      <c r="CB59" s="41">
        <f ca="1">OFFSET('Trapezoidal Wing Summary'!AH$45,((ROW('Trapezoidal Wing Summary'!$A54)-ROW('Trapezoidal Wing Summary'!$A$45))*100/$F$35),0)</f>
        <v>7.7108566080706859E-4</v>
      </c>
      <c r="CC59" s="41">
        <f ca="1">OFFSET('Trapezoidal Wing Summary'!AI$45,((ROW('Trapezoidal Wing Summary'!$A54)-ROW('Trapezoidal Wing Summary'!$A$45))*100/$F$35),0)</f>
        <v>0</v>
      </c>
      <c r="CD59" s="41">
        <f>'REF - ASWING AERO-Imperial'!$R$5</f>
        <v>5.4999999999999997E-3</v>
      </c>
      <c r="CE59" s="41">
        <f>'REF - ASWING AERO-Imperial'!$R$6</f>
        <v>5.4999999999999997E-3</v>
      </c>
      <c r="CF59" s="41">
        <f ca="1">OFFSET('Trapezoidal Wing Summary'!AL$45,((ROW('Trapezoidal Wing Summary'!$A54)-ROW('Trapezoidal Wing Summary'!$A$45))*100/$F$35),0)</f>
        <v>1.7191601599999999</v>
      </c>
      <c r="CG59" s="41">
        <f ca="1">OFFSET('Trapezoidal Wing Summary'!AM$45,((ROW('Trapezoidal Wing Summary'!$A54)-ROW('Trapezoidal Wing Summary'!$A$45))*100/$F$35),0)</f>
        <v>0.25</v>
      </c>
      <c r="CH59" s="41">
        <f ca="1">OFFSET('Trapezoidal Wing Summary'!AN$45,((ROW('Trapezoidal Wing Summary'!$A54)-ROW('Trapezoidal Wing Summary'!$A$45))*100/$F$35),0)</f>
        <v>5.9</v>
      </c>
      <c r="CI59" s="41">
        <f ca="1">OFFSET('Trapezoidal Wing Summary'!AO$45,((ROW('Trapezoidal Wing Summary'!$A54)-ROW('Trapezoidal Wing Summary'!$A$45))*100/$F$35),0)</f>
        <v>-0.15</v>
      </c>
      <c r="CJ59" s="41">
        <f ca="1">OFFSET('Trapezoidal Wing Summary'!AP$45,((ROW('Trapezoidal Wing Summary'!$A54)-ROW('Trapezoidal Wing Summary'!$A$45))*100/$F$35),0)</f>
        <v>2.25</v>
      </c>
      <c r="CK59" s="41">
        <f ca="1">OFFSET('Trapezoidal Wing Summary'!AQ$45,((ROW('Trapezoidal Wing Summary'!$A54)-ROW('Trapezoidal Wing Summary'!$A$45))*100/$F$35),0)</f>
        <v>-1.65</v>
      </c>
      <c r="CL59" s="41">
        <f ca="1">OFFSET('Trapezoidal Wing Summary'!AR$45,((ROW('Trapezoidal Wing Summary'!$A54)-ROW('Trapezoidal Wing Summary'!$A$45))*100/$F$35),0)</f>
        <v>5.9690260418206069</v>
      </c>
      <c r="CM59" s="644" t="e">
        <f>'CANARD STRUCT'!#REF!</f>
        <v>#REF!</v>
      </c>
      <c r="CN59" s="642" t="e">
        <f>'CANARD STRUCT'!#REF!*3.28084</f>
        <v>#REF!</v>
      </c>
      <c r="CO59" s="642" t="e">
        <f>'CANARD STRUCT'!#REF!*3.28084</f>
        <v>#REF!</v>
      </c>
      <c r="CP59" s="642" t="e">
        <f>'CANARD STRUCT'!#REF!*3.28084</f>
        <v>#REF!</v>
      </c>
      <c r="CQ59" s="642" t="e">
        <f>'CANARD STRUCT'!#REF!</f>
        <v>#REF!</v>
      </c>
      <c r="CR59" s="685" t="e">
        <f>'CANARD STRUCT'!#REF!*0.224809*3.28084^2</f>
        <v>#REF!</v>
      </c>
      <c r="CS59" s="685" t="e">
        <f>'CANARD STRUCT'!#REF!*0.224809*3.28084^2</f>
        <v>#REF!</v>
      </c>
      <c r="CT59" s="685" t="e">
        <f>'CANARD STRUCT'!#REF!*0.224809*3.28084^2</f>
        <v>#REF!</v>
      </c>
      <c r="CU59" s="685" t="e">
        <f>'CANARD STRUCT'!#REF!*0.224809*3.28084^2</f>
        <v>#REF!</v>
      </c>
      <c r="CV59" s="685" t="e">
        <f>'CANARD STRUCT'!#REF!*0.224809*3.28084^2</f>
        <v>#REF!</v>
      </c>
      <c r="CW59" s="685" t="e">
        <f>'CANARD STRUCT'!#REF!*0.224809*3.28084^2</f>
        <v>#REF!</v>
      </c>
      <c r="CX59" s="642" t="e">
        <f>'CANARD STRUCT'!#REF!</f>
        <v>#REF!</v>
      </c>
      <c r="CY59" s="642" t="e">
        <f>'CANARD STRUCT'!#REF!*0.224809</f>
        <v>#REF!</v>
      </c>
      <c r="CZ59" s="642" t="e">
        <f>'CANARD STRUCT'!#REF!*0.224809</f>
        <v>#REF!</v>
      </c>
      <c r="DA59" s="642" t="e">
        <f>'CANARD STRUCT'!#REF!*2.20462*3.28084</f>
        <v>#REF!</v>
      </c>
      <c r="DB59" s="642" t="e">
        <f>'CANARD STRUCT'!#REF!*2.20462*3.28084</f>
        <v>#REF!</v>
      </c>
      <c r="DC59" s="642" t="e">
        <f>'CANARD STRUCT'!#REF!*2.20462/3.28084</f>
        <v>#REF!</v>
      </c>
      <c r="DD59" s="642" t="e">
        <f>'CANARD STRUCT'!#REF!*3.28084</f>
        <v>#REF!</v>
      </c>
      <c r="DE59" s="642" t="e">
        <f>'CANARD STRUCT'!#REF!*3.28084</f>
        <v>#REF!</v>
      </c>
      <c r="DF59" s="642" t="e">
        <f>'CANARD STRUCT'!#REF!*2.20462*3.28084</f>
        <v>#REF!</v>
      </c>
      <c r="DG59" s="642" t="e">
        <f>'CANARD STRUCT'!#REF!*2.20462*3.28084</f>
        <v>#REF!</v>
      </c>
      <c r="DH59" s="642" t="e">
        <f>'CANARD STRUCT'!#REF!*2.20462/3.28084</f>
        <v>#REF!</v>
      </c>
      <c r="DI59" s="642" t="e">
        <f>'CANARD STRUCT'!#REF!*3.28084</f>
        <v>#REF!</v>
      </c>
      <c r="DJ59" s="642" t="e">
        <f>'CANARD STRUCT'!#REF!*3.28084</f>
        <v>#REF!</v>
      </c>
      <c r="DK59" s="642" t="e">
        <f>'CANARD STRUCT'!#REF!*3.28084</f>
        <v>#REF!</v>
      </c>
      <c r="DL59" s="642" t="e">
        <f>'CANARD STRUCT'!#REF!*3.28084</f>
        <v>#REF!</v>
      </c>
      <c r="DM59" s="642" t="e">
        <f>'CANARD STRUCT'!#REF!*3.28084</f>
        <v>#REF!</v>
      </c>
      <c r="DN59" s="642" t="e">
        <f>'CANARD STRUCT'!#REF!*3.28084</f>
        <v>#REF!</v>
      </c>
      <c r="DO59" s="642" t="e">
        <f>'CANARD STRUCT'!#REF!</f>
        <v>#REF!</v>
      </c>
      <c r="DP59" s="642" t="e">
        <f>'CANARD STRUCT'!#REF!</f>
        <v>#REF!</v>
      </c>
      <c r="DQ59" s="642" t="e">
        <f>'CANARD STRUCT'!#REF!*3.28084</f>
        <v>#REF!</v>
      </c>
      <c r="DR59" s="642" t="e">
        <f>'CANARD STRUCT'!#REF!*3.28084</f>
        <v>#REF!</v>
      </c>
      <c r="DS59" s="642" t="e">
        <f>'CANARD STRUCT'!#REF!*3.28084^3</f>
        <v>#REF!</v>
      </c>
      <c r="DT59" s="642" t="e">
        <f>'CANARD STRUCT'!#REF!*3.28084</f>
        <v>#REF!</v>
      </c>
      <c r="DU59" s="642" t="e">
        <f>'CANARD STRUCT'!#REF!</f>
        <v>#REF!</v>
      </c>
      <c r="DV59" s="642" t="e">
        <f>'CANARD STRUCT'!#REF!</f>
        <v>#REF!</v>
      </c>
      <c r="DW59" s="642" t="e">
        <f>'CANARD STRUCT'!#REF!*3.28084</f>
        <v>#REF!</v>
      </c>
      <c r="DX59" s="642" t="e">
        <f>'CANARD STRUCT'!#REF!</f>
        <v>#REF!</v>
      </c>
      <c r="DY59" s="642" t="e">
        <f>'CANARD STRUCT'!#REF!</f>
        <v>#REF!</v>
      </c>
      <c r="DZ59" s="642" t="e">
        <f>'CANARD STRUCT'!#REF!</f>
        <v>#REF!</v>
      </c>
      <c r="EA59" s="642" t="e">
        <f>'CANARD STRUCT'!#REF!</f>
        <v>#REF!</v>
      </c>
      <c r="EB59" s="642" t="e">
        <f>'CANARD STRUCT'!#REF!</f>
        <v>#REF!</v>
      </c>
      <c r="EC59" s="641" t="e">
        <f>'CANARD STRUCT'!#REF!</f>
        <v>#REF!</v>
      </c>
      <c r="ED59" s="690" t="e">
        <f>'CANARD STRUCT'!#REF!</f>
        <v>#REF!</v>
      </c>
      <c r="EE59" s="617" t="e">
        <f>'CANARD STRUCT'!#REF!*3.28084</f>
        <v>#REF!</v>
      </c>
      <c r="EF59" s="617" t="e">
        <f>'CANARD STRUCT'!#REF!*3.28084</f>
        <v>#REF!</v>
      </c>
      <c r="EG59" s="617" t="e">
        <f>'CANARD STRUCT'!#REF!*3.28084</f>
        <v>#REF!</v>
      </c>
      <c r="EH59" s="617" t="e">
        <f>'CANARD STRUCT'!#REF!</f>
        <v>#REF!</v>
      </c>
      <c r="EI59" s="691" t="e">
        <f>'CANARD STRUCT'!#REF!*0.224809*3.28084^2</f>
        <v>#REF!</v>
      </c>
      <c r="EJ59" s="691" t="e">
        <f>'CANARD STRUCT'!#REF!*0.224809*3.28084^2</f>
        <v>#REF!</v>
      </c>
      <c r="EK59" s="691" t="e">
        <f>'CANARD STRUCT'!#REF!*0.224809*3.28084^2</f>
        <v>#REF!</v>
      </c>
      <c r="EL59" s="691" t="e">
        <f>'CANARD STRUCT'!#REF!*0.224809*3.28084^2</f>
        <v>#REF!</v>
      </c>
      <c r="EM59" s="691" t="e">
        <f>'CANARD STRUCT'!#REF!*0.224809*3.28084^2</f>
        <v>#REF!</v>
      </c>
      <c r="EN59" s="691" t="e">
        <f>'CANARD STRUCT'!#REF!*0.224809*3.28084^2</f>
        <v>#REF!</v>
      </c>
      <c r="EO59" s="617" t="e">
        <f>'CANARD STRUCT'!#REF!</f>
        <v>#REF!</v>
      </c>
      <c r="EP59" s="691" t="e">
        <f>'CANARD STRUCT'!#REF!*0.224809</f>
        <v>#REF!</v>
      </c>
      <c r="EQ59" s="691" t="e">
        <f>'CANARD STRUCT'!#REF!*0.224809</f>
        <v>#REF!</v>
      </c>
      <c r="ER59" s="617" t="e">
        <f>'CANARD STRUCT'!#REF!*2.20462*3.28084</f>
        <v>#REF!</v>
      </c>
      <c r="ES59" s="617" t="e">
        <f>'CANARD STRUCT'!#REF!*2.20462*3.28084</f>
        <v>#REF!</v>
      </c>
      <c r="ET59" s="617" t="e">
        <f>'CANARD STRUCT'!#REF!*2.20462/3.28084</f>
        <v>#REF!</v>
      </c>
      <c r="EU59" s="617" t="e">
        <f>'CANARD STRUCT'!#REF!*3.28084</f>
        <v>#REF!</v>
      </c>
      <c r="EV59" s="617" t="e">
        <f>'CANARD STRUCT'!#REF!*3.28084</f>
        <v>#REF!</v>
      </c>
      <c r="EW59" s="617" t="e">
        <f>'CANARD STRUCT'!#REF!*2.20462*3.28084</f>
        <v>#REF!</v>
      </c>
      <c r="EX59" s="617" t="e">
        <f>'CANARD STRUCT'!#REF!*2.20462*3.28084</f>
        <v>#REF!</v>
      </c>
      <c r="EY59" s="617" t="e">
        <f>'CANARD STRUCT'!#REF!*2.20462/3.28084</f>
        <v>#REF!</v>
      </c>
      <c r="EZ59" s="617" t="e">
        <f>'CANARD STRUCT'!#REF!*3.28084</f>
        <v>#REF!</v>
      </c>
      <c r="FA59" s="617" t="e">
        <f>'CANARD STRUCT'!#REF!*3.28084</f>
        <v>#REF!</v>
      </c>
      <c r="FB59" s="617" t="e">
        <f>'CANARD STRUCT'!#REF!*3.28084</f>
        <v>#REF!</v>
      </c>
      <c r="FC59" s="617" t="e">
        <f>'CANARD STRUCT'!#REF!*3.28084</f>
        <v>#REF!</v>
      </c>
      <c r="FD59" s="617" t="e">
        <f>'CANARD STRUCT'!#REF!*3.28084</f>
        <v>#REF!</v>
      </c>
      <c r="FE59" s="617" t="e">
        <f>'CANARD STRUCT'!#REF!*3.28084</f>
        <v>#REF!</v>
      </c>
      <c r="FF59" s="617" t="e">
        <f>'CANARD STRUCT'!#REF!</f>
        <v>#REF!</v>
      </c>
      <c r="FG59" s="617" t="e">
        <f>'CANARD STRUCT'!#REF!</f>
        <v>#REF!</v>
      </c>
      <c r="FH59" s="617" t="e">
        <f>'CANARD STRUCT'!#REF!*3.28084</f>
        <v>#REF!</v>
      </c>
      <c r="FI59" s="617" t="e">
        <f>'CANARD STRUCT'!#REF!*3.28084</f>
        <v>#REF!</v>
      </c>
      <c r="FJ59" s="617" t="e">
        <f>'CANARD STRUCT'!#REF!*3.28084^3</f>
        <v>#REF!</v>
      </c>
      <c r="FK59" s="617" t="e">
        <f>'CANARD STRUCT'!#REF!*3.28084</f>
        <v>#REF!</v>
      </c>
      <c r="FL59" s="617" t="e">
        <f>'CANARD STRUCT'!#REF!</f>
        <v>#REF!</v>
      </c>
      <c r="FM59" s="617" t="e">
        <f>'CANARD STRUCT'!#REF!</f>
        <v>#REF!</v>
      </c>
      <c r="FN59" s="617" t="e">
        <f>'CANARD STRUCT'!#REF!*3.28084</f>
        <v>#REF!</v>
      </c>
      <c r="FO59" s="617" t="e">
        <f>'CANARD STRUCT'!#REF!</f>
        <v>#REF!</v>
      </c>
      <c r="FP59" s="617" t="e">
        <f>'CANARD STRUCT'!#REF!</f>
        <v>#REF!</v>
      </c>
      <c r="FQ59" s="617" t="e">
        <f>'CANARD STRUCT'!#REF!</f>
        <v>#REF!</v>
      </c>
      <c r="FR59" s="617" t="e">
        <f>'CANARD STRUCT'!#REF!</f>
        <v>#REF!</v>
      </c>
      <c r="FS59" s="617" t="e">
        <f>'CANARD STRUCT'!#REF!</f>
        <v>#REF!</v>
      </c>
      <c r="FT59" s="616" t="e">
        <f>'CANARD STRUCT'!#REF!</f>
        <v>#REF!</v>
      </c>
      <c r="FU59" s="690" t="e">
        <f>'CANARD STRUCT'!#REF!</f>
        <v>#REF!</v>
      </c>
      <c r="FV59" s="617" t="e">
        <f>'CANARD STRUCT'!#REF!*3.28084</f>
        <v>#REF!</v>
      </c>
      <c r="FW59" s="617" t="e">
        <f>'CANARD STRUCT'!#REF!*3.28084</f>
        <v>#REF!</v>
      </c>
      <c r="FX59" s="617" t="e">
        <f>'CANARD STRUCT'!#REF!*3.28084</f>
        <v>#REF!</v>
      </c>
      <c r="FY59" s="617" t="e">
        <f>'CANARD STRUCT'!#REF!</f>
        <v>#REF!</v>
      </c>
      <c r="FZ59" s="691" t="e">
        <f>'CANARD STRUCT'!#REF!*0.224809*3.28084^2</f>
        <v>#REF!</v>
      </c>
      <c r="GA59" s="691" t="e">
        <f>'CANARD STRUCT'!#REF!*0.224809*3.28084^2</f>
        <v>#REF!</v>
      </c>
      <c r="GB59" s="691" t="e">
        <f>'CANARD STRUCT'!#REF!*0.224809*3.28084^2</f>
        <v>#REF!</v>
      </c>
      <c r="GC59" s="691" t="e">
        <f>'CANARD STRUCT'!#REF!*0.224809*3.28084^2</f>
        <v>#REF!</v>
      </c>
      <c r="GD59" s="691" t="e">
        <f>'CANARD STRUCT'!#REF!*0.224809*3.28084^2</f>
        <v>#REF!</v>
      </c>
      <c r="GE59" s="691" t="e">
        <f>'CANARD STRUCT'!#REF!*0.224809*3.28084^2</f>
        <v>#REF!</v>
      </c>
      <c r="GF59" s="617" t="e">
        <f>'CANARD STRUCT'!#REF!</f>
        <v>#REF!</v>
      </c>
      <c r="GG59" s="691" t="e">
        <f>'CANARD STRUCT'!#REF!*0.224809</f>
        <v>#REF!</v>
      </c>
      <c r="GH59" s="691" t="e">
        <f>'CANARD STRUCT'!#REF!*0.224809</f>
        <v>#REF!</v>
      </c>
      <c r="GI59" s="617" t="e">
        <f>'CANARD STRUCT'!#REF!*2.20462*3.28084</f>
        <v>#REF!</v>
      </c>
      <c r="GJ59" s="617" t="e">
        <f>'CANARD STRUCT'!#REF!*2.20462*3.28084</f>
        <v>#REF!</v>
      </c>
      <c r="GK59" s="617" t="e">
        <f>'CANARD STRUCT'!#REF!*2.20462/3.28084</f>
        <v>#REF!</v>
      </c>
      <c r="GL59" s="617" t="e">
        <f>'CANARD STRUCT'!#REF!*3.28084</f>
        <v>#REF!</v>
      </c>
      <c r="GM59" s="617" t="e">
        <f>'CANARD STRUCT'!#REF!*3.28084</f>
        <v>#REF!</v>
      </c>
      <c r="GN59" s="617" t="e">
        <f>'CANARD STRUCT'!#REF!*2.20462*3.28084</f>
        <v>#REF!</v>
      </c>
      <c r="GO59" s="617" t="e">
        <f>'CANARD STRUCT'!#REF!*2.20462*3.28084</f>
        <v>#REF!</v>
      </c>
      <c r="GP59" s="617" t="e">
        <f>'CANARD STRUCT'!#REF!*2.20462/3.28084</f>
        <v>#REF!</v>
      </c>
      <c r="GQ59" s="617" t="e">
        <f>'CANARD STRUCT'!#REF!*3.28084</f>
        <v>#REF!</v>
      </c>
      <c r="GR59" s="617" t="e">
        <f>'CANARD STRUCT'!#REF!*3.28084</f>
        <v>#REF!</v>
      </c>
      <c r="GS59" s="617" t="e">
        <f>'CANARD STRUCT'!#REF!*3.28084</f>
        <v>#REF!</v>
      </c>
      <c r="GT59" s="617" t="e">
        <f>'CANARD STRUCT'!#REF!*3.28084</f>
        <v>#REF!</v>
      </c>
      <c r="GU59" s="617" t="e">
        <f>'CANARD STRUCT'!#REF!*3.28084</f>
        <v>#REF!</v>
      </c>
      <c r="GV59" s="617" t="e">
        <f>'CANARD STRUCT'!#REF!*3.28084</f>
        <v>#REF!</v>
      </c>
      <c r="GW59" s="617" t="e">
        <f>'CANARD STRUCT'!#REF!</f>
        <v>#REF!</v>
      </c>
      <c r="GX59" s="617" t="e">
        <f>'CANARD STRUCT'!#REF!</f>
        <v>#REF!</v>
      </c>
      <c r="GY59" s="617" t="e">
        <f>'CANARD STRUCT'!#REF!*3.28084</f>
        <v>#REF!</v>
      </c>
      <c r="GZ59" s="617" t="e">
        <f>'CANARD STRUCT'!#REF!*3.28084</f>
        <v>#REF!</v>
      </c>
      <c r="HA59" s="617" t="e">
        <f>'CANARD STRUCT'!#REF!*3.28084^3</f>
        <v>#REF!</v>
      </c>
      <c r="HB59" s="617" t="e">
        <f>'CANARD STRUCT'!#REF!*3.28084</f>
        <v>#REF!</v>
      </c>
      <c r="HC59" s="617" t="e">
        <f>'CANARD STRUCT'!#REF!</f>
        <v>#REF!</v>
      </c>
      <c r="HD59" s="617" t="e">
        <f>'CANARD STRUCT'!#REF!</f>
        <v>#REF!</v>
      </c>
      <c r="HE59" s="617" t="e">
        <f>'CANARD STRUCT'!#REF!*3.28084</f>
        <v>#REF!</v>
      </c>
      <c r="HF59" s="617" t="e">
        <f>'CANARD STRUCT'!#REF!</f>
        <v>#REF!</v>
      </c>
      <c r="HG59" s="617" t="e">
        <f>'CANARD STRUCT'!#REF!</f>
        <v>#REF!</v>
      </c>
      <c r="HH59" s="617" t="e">
        <f>'CANARD STRUCT'!#REF!</f>
        <v>#REF!</v>
      </c>
      <c r="HI59" s="617" t="e">
        <f>'CANARD STRUCT'!#REF!</f>
        <v>#REF!</v>
      </c>
      <c r="HJ59" s="617" t="e">
        <f>'CANARD STRUCT'!#REF!</f>
        <v>#REF!</v>
      </c>
      <c r="HK59" s="616" t="e">
        <f>'CANARD STRUCT'!#REF!</f>
        <v>#REF!</v>
      </c>
    </row>
    <row r="60" spans="1:219" x14ac:dyDescent="0.25">
      <c r="A60" t="s">
        <v>897</v>
      </c>
      <c r="B60" s="663">
        <v>4.84</v>
      </c>
      <c r="C60" s="664">
        <v>1.56</v>
      </c>
      <c r="D60" s="664">
        <v>0.1</v>
      </c>
      <c r="E60" s="669" t="e">
        <f>'CANARD STRUCT'!#REF!* 3.28084</f>
        <v>#REF!</v>
      </c>
      <c r="F60" s="669" t="e">
        <f>'CANARD STRUCT'!#REF!* 3.28084</f>
        <v>#REF!</v>
      </c>
      <c r="G60" s="669" t="e">
        <f>'CANARD STRUCT'!#REF!* 3.28084</f>
        <v>#REF!</v>
      </c>
      <c r="H60" s="670" t="e">
        <f>'CANARD STRUCT'!#REF!*2.20462</f>
        <v>#REF!</v>
      </c>
      <c r="I60" s="667">
        <v>7</v>
      </c>
      <c r="J60" s="665" t="e">
        <f t="shared" si="0"/>
        <v>#REF!</v>
      </c>
      <c r="O60" s="576"/>
      <c r="P60" s="580"/>
      <c r="AU60" s="594"/>
      <c r="AV60" s="574">
        <f ca="1">100*(AX60-$AX$50)/(MAX($AX$50:INDEX(($AX$50:$AX$150),$F$35+1,1))-MIN($AX$50:INDEX(($AX$50:$AX$150),$F$35+1,1)))</f>
        <v>46.999999999999993</v>
      </c>
      <c r="AW60" s="659">
        <f ca="1">OFFSET('Trapezoidal Wing Summary'!C$45,((ROW('Trapezoidal Wing Summary'!$A55)-ROW('Trapezoidal Wing Summary'!$A$45))*100/$F$35),0)+$F$15</f>
        <v>10.525306767256</v>
      </c>
      <c r="AX60" s="659">
        <f ca="1">OFFSET('Trapezoidal Wing Summary'!D$45,((ROW('Trapezoidal Wing Summary'!$A55)-ROW('Trapezoidal Wing Summary'!$A$45))*100/$F$35),0)+$F$16</f>
        <v>4.6259844000000001</v>
      </c>
      <c r="AY60" s="659">
        <f ca="1">OFFSET('Trapezoidal Wing Summary'!E$45,((ROW('Trapezoidal Wing Summary'!$A55)-ROW('Trapezoidal Wing Summary'!$A$45))*100/$F$35),0)+$F$17</f>
        <v>12.850247130368</v>
      </c>
      <c r="AZ60" s="41">
        <f ca="1">OFFSET('Trapezoidal Wing Summary'!F$45,((ROW('Trapezoidal Wing Summary'!$A55)-ROW('Trapezoidal Wing Summary'!$A$45))*100/$F$35),0)</f>
        <v>0</v>
      </c>
      <c r="BA60" s="41">
        <f ca="1">OFFSET('Trapezoidal Wing Summary'!G$45,((ROW('Trapezoidal Wing Summary'!$A55)-ROW('Trapezoidal Wing Summary'!$A$45))*100/$F$35),0)</f>
        <v>58817.574443469908</v>
      </c>
      <c r="BB60" s="41">
        <f ca="1">OFFSET('Trapezoidal Wing Summary'!H$45,((ROW('Trapezoidal Wing Summary'!$A55)-ROW('Trapezoidal Wing Summary'!$A$45))*100/$F$35),0)</f>
        <v>53883.228641143702</v>
      </c>
      <c r="BC60" s="41">
        <f ca="1">OFFSET('Trapezoidal Wing Summary'!I$45,((ROW('Trapezoidal Wing Summary'!$A55)-ROW('Trapezoidal Wing Summary'!$A$45))*100/$F$35),0)</f>
        <v>0</v>
      </c>
      <c r="BD60" s="41">
        <f ca="1">OFFSET('Trapezoidal Wing Summary'!J$45,((ROW('Trapezoidal Wing Summary'!$A55)-ROW('Trapezoidal Wing Summary'!$A$45))*100/$F$35),0)</f>
        <v>0</v>
      </c>
      <c r="BE60" s="41">
        <f ca="1">OFFSET('Trapezoidal Wing Summary'!K$45,((ROW('Trapezoidal Wing Summary'!$A55)-ROW('Trapezoidal Wing Summary'!$A$45))*100/$F$35),0)</f>
        <v>0</v>
      </c>
      <c r="BF60" s="41">
        <f ca="1">OFFSET('Trapezoidal Wing Summary'!L$45,((ROW('Trapezoidal Wing Summary'!$A55)-ROW('Trapezoidal Wing Summary'!$A$45))*100/$F$35),0)</f>
        <v>1863824.1316092191</v>
      </c>
      <c r="BG60" s="41">
        <f ca="1">OFFSET('Trapezoidal Wing Summary'!M$45,((ROW('Trapezoidal Wing Summary'!$A55)-ROW('Trapezoidal Wing Summary'!$A$45))*100/$F$35),0)</f>
        <v>0</v>
      </c>
      <c r="BH60" s="41">
        <f ca="1">OFFSET('Trapezoidal Wing Summary'!N$45,((ROW('Trapezoidal Wing Summary'!$A55)-ROW('Trapezoidal Wing Summary'!$A$45))*100/$F$35),0)</f>
        <v>0</v>
      </c>
      <c r="BI60" s="41">
        <f ca="1">OFFSET('Trapezoidal Wing Summary'!O$45,((ROW('Trapezoidal Wing Summary'!$A55)-ROW('Trapezoidal Wing Summary'!$A$45))*100/$F$35),0)</f>
        <v>0</v>
      </c>
      <c r="BJ60" s="41">
        <f ca="1">OFFSET('Trapezoidal Wing Summary'!P$45,((ROW('Trapezoidal Wing Summary'!$A55)-ROW('Trapezoidal Wing Summary'!$A$45))*100/$F$35),0)</f>
        <v>0</v>
      </c>
      <c r="BK60" s="41">
        <f ca="1">OFFSET('Trapezoidal Wing Summary'!Q$45,((ROW('Trapezoidal Wing Summary'!$A55)-ROW('Trapezoidal Wing Summary'!$A$45))*100/$F$35),0)</f>
        <v>0</v>
      </c>
      <c r="BL60" s="41">
        <f ca="1">OFFSET('Trapezoidal Wing Summary'!R$45,((ROW('Trapezoidal Wing Summary'!$A55)-ROW('Trapezoidal Wing Summary'!$A$45))*100/$F$35),0)</f>
        <v>2.3963170065137214</v>
      </c>
      <c r="BM60" s="41">
        <f ca="1">OFFSET('Trapezoidal Wing Summary'!S$45,((ROW('Trapezoidal Wing Summary'!$A55)-ROW('Trapezoidal Wing Summary'!$A$45))*100/$F$35),0)</f>
        <v>0.3489368320707037</v>
      </c>
      <c r="BN60" s="41">
        <f ca="1">OFFSET('Trapezoidal Wing Summary'!T$45,((ROW('Trapezoidal Wing Summary'!$A55)-ROW('Trapezoidal Wing Summary'!$A$45))*100/$F$35),0)</f>
        <v>0</v>
      </c>
      <c r="BO60" s="41">
        <f ca="1">OFFSET('Trapezoidal Wing Summary'!U$45,((ROW('Trapezoidal Wing Summary'!$A55)-ROW('Trapezoidal Wing Summary'!$A$45))*100/$F$35),0)</f>
        <v>0</v>
      </c>
      <c r="BP60" s="41">
        <f ca="1">OFFSET('Trapezoidal Wing Summary'!V$45,((ROW('Trapezoidal Wing Summary'!$A55)-ROW('Trapezoidal Wing Summary'!$A$45))*100/$F$35),0)</f>
        <v>0</v>
      </c>
      <c r="BQ60" s="41">
        <f ca="1">OFFSET('Trapezoidal Wing Summary'!W$45,((ROW('Trapezoidal Wing Summary'!$A55)-ROW('Trapezoidal Wing Summary'!$A$45))*100/$F$35),0)</f>
        <v>0</v>
      </c>
      <c r="BR60" s="41">
        <f ca="1">OFFSET('Trapezoidal Wing Summary'!X$45,((ROW('Trapezoidal Wing Summary'!$A55)-ROW('Trapezoidal Wing Summary'!$A$45))*100/$F$35),0)</f>
        <v>0</v>
      </c>
      <c r="BS60" s="41">
        <f ca="1">OFFSET('Trapezoidal Wing Summary'!Y$45,((ROW('Trapezoidal Wing Summary'!$A55)-ROW('Trapezoidal Wing Summary'!$A$45))*100/$F$35),0)</f>
        <v>0</v>
      </c>
      <c r="BT60" s="41">
        <f ca="1">OFFSET('Trapezoidal Wing Summary'!Z$45,((ROW('Trapezoidal Wing Summary'!$A55)-ROW('Trapezoidal Wing Summary'!$A$45))*100/$F$35),0)</f>
        <v>0.1548930575456175</v>
      </c>
      <c r="BU60" s="41">
        <f ca="1">OFFSET('Trapezoidal Wing Summary'!AA$45,((ROW('Trapezoidal Wing Summary'!$A55)-ROW('Trapezoidal Wing Summary'!$A$45))*100/$F$35),0)</f>
        <v>0</v>
      </c>
      <c r="BV60" s="41">
        <f ca="1">OFFSET('Trapezoidal Wing Summary'!AB$45,((ROW('Trapezoidal Wing Summary'!$A55)-ROW('Trapezoidal Wing Summary'!$A$45))*100/$F$35),0)</f>
        <v>0</v>
      </c>
      <c r="BW60" s="41">
        <f ca="1">OFFSET('Trapezoidal Wing Summary'!AC$45,((ROW('Trapezoidal Wing Summary'!$A55)-ROW('Trapezoidal Wing Summary'!$A$45))*100/$F$35),0)</f>
        <v>0</v>
      </c>
      <c r="BX60" s="41">
        <f ca="1">OFFSET('Trapezoidal Wing Summary'!AD$45,((ROW('Trapezoidal Wing Summary'!$A55)-ROW('Trapezoidal Wing Summary'!$A$45))*100/$F$35),0)</f>
        <v>2E-3</v>
      </c>
      <c r="BY60" s="41">
        <f ca="1">OFFSET('Trapezoidal Wing Summary'!AE$45,((ROW('Trapezoidal Wing Summary'!$A55)-ROW('Trapezoidal Wing Summary'!$A$45))*100/$F$35),0)</f>
        <v>2E-3</v>
      </c>
      <c r="BZ60" s="41">
        <f ca="1">OFFSET('Trapezoidal Wing Summary'!AF$45,((ROW('Trapezoidal Wing Summary'!$A55)-ROW('Trapezoidal Wing Summary'!$A$45))*100/$F$35),0)</f>
        <v>0</v>
      </c>
      <c r="CA60" s="41">
        <f ca="1">OFFSET('Trapezoidal Wing Summary'!AG$45,((ROW('Trapezoidal Wing Summary'!$A55)-ROW('Trapezoidal Wing Summary'!$A$45))*100/$F$35),0)</f>
        <v>0.15029528039999998</v>
      </c>
      <c r="CB60" s="41">
        <f ca="1">OFFSET('Trapezoidal Wing Summary'!AH$45,((ROW('Trapezoidal Wing Summary'!$A55)-ROW('Trapezoidal Wing Summary'!$A$45))*100/$F$35),0)</f>
        <v>7.2757139767334411E-4</v>
      </c>
      <c r="CC60" s="41">
        <f ca="1">OFFSET('Trapezoidal Wing Summary'!AI$45,((ROW('Trapezoidal Wing Summary'!$A55)-ROW('Trapezoidal Wing Summary'!$A$45))*100/$F$35),0)</f>
        <v>0</v>
      </c>
      <c r="CD60" s="41">
        <f>'REF - ASWING AERO-Imperial'!$R$5</f>
        <v>5.4999999999999997E-3</v>
      </c>
      <c r="CE60" s="41">
        <f>'REF - ASWING AERO-Imperial'!$R$6</f>
        <v>5.4999999999999997E-3</v>
      </c>
      <c r="CF60" s="41">
        <f ca="1">OFFSET('Trapezoidal Wing Summary'!AL$45,((ROW('Trapezoidal Wing Summary'!$A55)-ROW('Trapezoidal Wing Summary'!$A$45))*100/$F$35),0)</f>
        <v>1.66994756</v>
      </c>
      <c r="CG60" s="41">
        <f ca="1">OFFSET('Trapezoidal Wing Summary'!AM$45,((ROW('Trapezoidal Wing Summary'!$A55)-ROW('Trapezoidal Wing Summary'!$A$45))*100/$F$35),0)</f>
        <v>0.25</v>
      </c>
      <c r="CH60" s="41">
        <f ca="1">OFFSET('Trapezoidal Wing Summary'!AN$45,((ROW('Trapezoidal Wing Summary'!$A55)-ROW('Trapezoidal Wing Summary'!$A$45))*100/$F$35),0)</f>
        <v>5.9</v>
      </c>
      <c r="CI60" s="41">
        <f ca="1">OFFSET('Trapezoidal Wing Summary'!AO$45,((ROW('Trapezoidal Wing Summary'!$A55)-ROW('Trapezoidal Wing Summary'!$A$45))*100/$F$35),0)</f>
        <v>-0.15</v>
      </c>
      <c r="CJ60" s="41">
        <f ca="1">OFFSET('Trapezoidal Wing Summary'!AP$45,((ROW('Trapezoidal Wing Summary'!$A55)-ROW('Trapezoidal Wing Summary'!$A$45))*100/$F$35),0)</f>
        <v>2.25</v>
      </c>
      <c r="CK60" s="41">
        <f ca="1">OFFSET('Trapezoidal Wing Summary'!AQ$45,((ROW('Trapezoidal Wing Summary'!$A55)-ROW('Trapezoidal Wing Summary'!$A$45))*100/$F$35),0)</f>
        <v>-1.65</v>
      </c>
      <c r="CL60" s="41">
        <f ca="1">OFFSET('Trapezoidal Wing Summary'!AR$45,((ROW('Trapezoidal Wing Summary'!$A55)-ROW('Trapezoidal Wing Summary'!$A$45))*100/$F$35),0)</f>
        <v>5.9690260418206069</v>
      </c>
      <c r="CM60" s="644" t="e">
        <f>'CANARD STRUCT'!#REF!</f>
        <v>#REF!</v>
      </c>
      <c r="CN60" s="642" t="e">
        <f>'CANARD STRUCT'!#REF!*3.28084</f>
        <v>#REF!</v>
      </c>
      <c r="CO60" s="642" t="e">
        <f>'CANARD STRUCT'!#REF!*3.28084</f>
        <v>#REF!</v>
      </c>
      <c r="CP60" s="642" t="e">
        <f>'CANARD STRUCT'!#REF!*3.28084</f>
        <v>#REF!</v>
      </c>
      <c r="CQ60" s="642" t="e">
        <f>'CANARD STRUCT'!#REF!</f>
        <v>#REF!</v>
      </c>
      <c r="CR60" s="685" t="e">
        <f>'CANARD STRUCT'!#REF!*0.224809*3.28084^2</f>
        <v>#REF!</v>
      </c>
      <c r="CS60" s="685" t="e">
        <f>'CANARD STRUCT'!#REF!*0.224809*3.28084^2</f>
        <v>#REF!</v>
      </c>
      <c r="CT60" s="685" t="e">
        <f>'CANARD STRUCT'!#REF!*0.224809*3.28084^2</f>
        <v>#REF!</v>
      </c>
      <c r="CU60" s="685" t="e">
        <f>'CANARD STRUCT'!#REF!*0.224809*3.28084^2</f>
        <v>#REF!</v>
      </c>
      <c r="CV60" s="685" t="e">
        <f>'CANARD STRUCT'!#REF!*0.224809*3.28084^2</f>
        <v>#REF!</v>
      </c>
      <c r="CW60" s="685" t="e">
        <f>'CANARD STRUCT'!#REF!*0.224809*3.28084^2</f>
        <v>#REF!</v>
      </c>
      <c r="CX60" s="642" t="e">
        <f>'CANARD STRUCT'!#REF!</f>
        <v>#REF!</v>
      </c>
      <c r="CY60" s="642" t="e">
        <f>'CANARD STRUCT'!#REF!*0.224809</f>
        <v>#REF!</v>
      </c>
      <c r="CZ60" s="642" t="e">
        <f>'CANARD STRUCT'!#REF!*0.224809</f>
        <v>#REF!</v>
      </c>
      <c r="DA60" s="642" t="e">
        <f>'CANARD STRUCT'!#REF!*2.20462*3.28084</f>
        <v>#REF!</v>
      </c>
      <c r="DB60" s="642" t="e">
        <f>'CANARD STRUCT'!#REF!*2.20462*3.28084</f>
        <v>#REF!</v>
      </c>
      <c r="DC60" s="642" t="e">
        <f>'CANARD STRUCT'!#REF!*2.20462/3.28084</f>
        <v>#REF!</v>
      </c>
      <c r="DD60" s="642" t="e">
        <f>'CANARD STRUCT'!#REF!*3.28084</f>
        <v>#REF!</v>
      </c>
      <c r="DE60" s="642" t="e">
        <f>'CANARD STRUCT'!#REF!*3.28084</f>
        <v>#REF!</v>
      </c>
      <c r="DF60" s="642" t="e">
        <f>'CANARD STRUCT'!#REF!*2.20462*3.28084</f>
        <v>#REF!</v>
      </c>
      <c r="DG60" s="642" t="e">
        <f>'CANARD STRUCT'!#REF!*2.20462*3.28084</f>
        <v>#REF!</v>
      </c>
      <c r="DH60" s="642" t="e">
        <f>'CANARD STRUCT'!#REF!*2.20462/3.28084</f>
        <v>#REF!</v>
      </c>
      <c r="DI60" s="642" t="e">
        <f>'CANARD STRUCT'!#REF!*3.28084</f>
        <v>#REF!</v>
      </c>
      <c r="DJ60" s="642" t="e">
        <f>'CANARD STRUCT'!#REF!*3.28084</f>
        <v>#REF!</v>
      </c>
      <c r="DK60" s="642" t="e">
        <f>'CANARD STRUCT'!#REF!*3.28084</f>
        <v>#REF!</v>
      </c>
      <c r="DL60" s="642" t="e">
        <f>'CANARD STRUCT'!#REF!*3.28084</f>
        <v>#REF!</v>
      </c>
      <c r="DM60" s="642" t="e">
        <f>'CANARD STRUCT'!#REF!*3.28084</f>
        <v>#REF!</v>
      </c>
      <c r="DN60" s="642" t="e">
        <f>'CANARD STRUCT'!#REF!*3.28084</f>
        <v>#REF!</v>
      </c>
      <c r="DO60" s="642" t="e">
        <f>'CANARD STRUCT'!#REF!</f>
        <v>#REF!</v>
      </c>
      <c r="DP60" s="642" t="e">
        <f>'CANARD STRUCT'!#REF!</f>
        <v>#REF!</v>
      </c>
      <c r="DQ60" s="642" t="e">
        <f>'CANARD STRUCT'!#REF!*3.28084</f>
        <v>#REF!</v>
      </c>
      <c r="DR60" s="642" t="e">
        <f>'CANARD STRUCT'!#REF!*3.28084</f>
        <v>#REF!</v>
      </c>
      <c r="DS60" s="642" t="e">
        <f>'CANARD STRUCT'!#REF!*3.28084^3</f>
        <v>#REF!</v>
      </c>
      <c r="DT60" s="642" t="e">
        <f>'CANARD STRUCT'!#REF!*3.28084</f>
        <v>#REF!</v>
      </c>
      <c r="DU60" s="642" t="e">
        <f>'CANARD STRUCT'!#REF!</f>
        <v>#REF!</v>
      </c>
      <c r="DV60" s="642" t="e">
        <f>'CANARD STRUCT'!#REF!</f>
        <v>#REF!</v>
      </c>
      <c r="DW60" s="642" t="e">
        <f>'CANARD STRUCT'!#REF!*3.28084</f>
        <v>#REF!</v>
      </c>
      <c r="DX60" s="642" t="e">
        <f>'CANARD STRUCT'!#REF!</f>
        <v>#REF!</v>
      </c>
      <c r="DY60" s="642" t="e">
        <f>'CANARD STRUCT'!#REF!</f>
        <v>#REF!</v>
      </c>
      <c r="DZ60" s="642" t="e">
        <f>'CANARD STRUCT'!#REF!</f>
        <v>#REF!</v>
      </c>
      <c r="EA60" s="642" t="e">
        <f>'CANARD STRUCT'!#REF!</f>
        <v>#REF!</v>
      </c>
      <c r="EB60" s="642" t="e">
        <f>'CANARD STRUCT'!#REF!</f>
        <v>#REF!</v>
      </c>
      <c r="EC60" s="641" t="e">
        <f>'CANARD STRUCT'!#REF!</f>
        <v>#REF!</v>
      </c>
      <c r="ED60" s="690" t="e">
        <f>'CANARD STRUCT'!#REF!</f>
        <v>#REF!</v>
      </c>
      <c r="EE60" s="617" t="e">
        <f>'CANARD STRUCT'!#REF!*3.28084</f>
        <v>#REF!</v>
      </c>
      <c r="EF60" s="617" t="e">
        <f>'CANARD STRUCT'!#REF!*3.28084</f>
        <v>#REF!</v>
      </c>
      <c r="EG60" s="617" t="e">
        <f>'CANARD STRUCT'!#REF!*3.28084</f>
        <v>#REF!</v>
      </c>
      <c r="EH60" s="617" t="e">
        <f>'CANARD STRUCT'!#REF!</f>
        <v>#REF!</v>
      </c>
      <c r="EI60" s="691" t="e">
        <f>'CANARD STRUCT'!#REF!*0.224809*3.28084^2</f>
        <v>#REF!</v>
      </c>
      <c r="EJ60" s="691" t="e">
        <f>'CANARD STRUCT'!#REF!*0.224809*3.28084^2</f>
        <v>#REF!</v>
      </c>
      <c r="EK60" s="691" t="e">
        <f>'CANARD STRUCT'!#REF!*0.224809*3.28084^2</f>
        <v>#REF!</v>
      </c>
      <c r="EL60" s="691" t="e">
        <f>'CANARD STRUCT'!#REF!*0.224809*3.28084^2</f>
        <v>#REF!</v>
      </c>
      <c r="EM60" s="691" t="e">
        <f>'CANARD STRUCT'!#REF!*0.224809*3.28084^2</f>
        <v>#REF!</v>
      </c>
      <c r="EN60" s="691" t="e">
        <f>'CANARD STRUCT'!#REF!*0.224809*3.28084^2</f>
        <v>#REF!</v>
      </c>
      <c r="EO60" s="617" t="e">
        <f>'CANARD STRUCT'!#REF!</f>
        <v>#REF!</v>
      </c>
      <c r="EP60" s="691" t="e">
        <f>'CANARD STRUCT'!#REF!*0.224809</f>
        <v>#REF!</v>
      </c>
      <c r="EQ60" s="691" t="e">
        <f>'CANARD STRUCT'!#REF!*0.224809</f>
        <v>#REF!</v>
      </c>
      <c r="ER60" s="617" t="e">
        <f>'CANARD STRUCT'!#REF!*2.20462*3.28084</f>
        <v>#REF!</v>
      </c>
      <c r="ES60" s="617" t="e">
        <f>'CANARD STRUCT'!#REF!*2.20462*3.28084</f>
        <v>#REF!</v>
      </c>
      <c r="ET60" s="617" t="e">
        <f>'CANARD STRUCT'!#REF!*2.20462/3.28084</f>
        <v>#REF!</v>
      </c>
      <c r="EU60" s="617" t="e">
        <f>'CANARD STRUCT'!#REF!*3.28084</f>
        <v>#REF!</v>
      </c>
      <c r="EV60" s="617" t="e">
        <f>'CANARD STRUCT'!#REF!*3.28084</f>
        <v>#REF!</v>
      </c>
      <c r="EW60" s="617" t="e">
        <f>'CANARD STRUCT'!#REF!*2.20462*3.28084</f>
        <v>#REF!</v>
      </c>
      <c r="EX60" s="617" t="e">
        <f>'CANARD STRUCT'!#REF!*2.20462*3.28084</f>
        <v>#REF!</v>
      </c>
      <c r="EY60" s="617" t="e">
        <f>'CANARD STRUCT'!#REF!*2.20462/3.28084</f>
        <v>#REF!</v>
      </c>
      <c r="EZ60" s="617" t="e">
        <f>'CANARD STRUCT'!#REF!*3.28084</f>
        <v>#REF!</v>
      </c>
      <c r="FA60" s="617" t="e">
        <f>'CANARD STRUCT'!#REF!*3.28084</f>
        <v>#REF!</v>
      </c>
      <c r="FB60" s="617" t="e">
        <f>'CANARD STRUCT'!#REF!*3.28084</f>
        <v>#REF!</v>
      </c>
      <c r="FC60" s="617" t="e">
        <f>'CANARD STRUCT'!#REF!*3.28084</f>
        <v>#REF!</v>
      </c>
      <c r="FD60" s="617" t="e">
        <f>'CANARD STRUCT'!#REF!*3.28084</f>
        <v>#REF!</v>
      </c>
      <c r="FE60" s="617" t="e">
        <f>'CANARD STRUCT'!#REF!*3.28084</f>
        <v>#REF!</v>
      </c>
      <c r="FF60" s="617" t="e">
        <f>'CANARD STRUCT'!#REF!</f>
        <v>#REF!</v>
      </c>
      <c r="FG60" s="617" t="e">
        <f>'CANARD STRUCT'!#REF!</f>
        <v>#REF!</v>
      </c>
      <c r="FH60" s="617" t="e">
        <f>'CANARD STRUCT'!#REF!*3.28084</f>
        <v>#REF!</v>
      </c>
      <c r="FI60" s="617" t="e">
        <f>'CANARD STRUCT'!#REF!*3.28084</f>
        <v>#REF!</v>
      </c>
      <c r="FJ60" s="617" t="e">
        <f>'CANARD STRUCT'!#REF!*3.28084^3</f>
        <v>#REF!</v>
      </c>
      <c r="FK60" s="617" t="e">
        <f>'CANARD STRUCT'!#REF!*3.28084</f>
        <v>#REF!</v>
      </c>
      <c r="FL60" s="617" t="e">
        <f>'CANARD STRUCT'!#REF!</f>
        <v>#REF!</v>
      </c>
      <c r="FM60" s="617" t="e">
        <f>'CANARD STRUCT'!#REF!</f>
        <v>#REF!</v>
      </c>
      <c r="FN60" s="617" t="e">
        <f>'CANARD STRUCT'!#REF!*3.28084</f>
        <v>#REF!</v>
      </c>
      <c r="FO60" s="617" t="e">
        <f>'CANARD STRUCT'!#REF!</f>
        <v>#REF!</v>
      </c>
      <c r="FP60" s="617" t="e">
        <f>'CANARD STRUCT'!#REF!</f>
        <v>#REF!</v>
      </c>
      <c r="FQ60" s="617" t="e">
        <f>'CANARD STRUCT'!#REF!</f>
        <v>#REF!</v>
      </c>
      <c r="FR60" s="617" t="e">
        <f>'CANARD STRUCT'!#REF!</f>
        <v>#REF!</v>
      </c>
      <c r="FS60" s="617" t="e">
        <f>'CANARD STRUCT'!#REF!</f>
        <v>#REF!</v>
      </c>
      <c r="FT60" s="616" t="e">
        <f>'CANARD STRUCT'!#REF!</f>
        <v>#REF!</v>
      </c>
      <c r="FU60" s="690" t="e">
        <f>'CANARD STRUCT'!#REF!</f>
        <v>#REF!</v>
      </c>
      <c r="FV60" s="617" t="e">
        <f>'CANARD STRUCT'!#REF!*3.28084</f>
        <v>#REF!</v>
      </c>
      <c r="FW60" s="617" t="e">
        <f>'CANARD STRUCT'!#REF!*3.28084</f>
        <v>#REF!</v>
      </c>
      <c r="FX60" s="617" t="e">
        <f>'CANARD STRUCT'!#REF!*3.28084</f>
        <v>#REF!</v>
      </c>
      <c r="FY60" s="617" t="e">
        <f>'CANARD STRUCT'!#REF!</f>
        <v>#REF!</v>
      </c>
      <c r="FZ60" s="691" t="e">
        <f>'CANARD STRUCT'!#REF!*0.224809*3.28084^2</f>
        <v>#REF!</v>
      </c>
      <c r="GA60" s="691" t="e">
        <f>'CANARD STRUCT'!#REF!*0.224809*3.28084^2</f>
        <v>#REF!</v>
      </c>
      <c r="GB60" s="691" t="e">
        <f>'CANARD STRUCT'!#REF!*0.224809*3.28084^2</f>
        <v>#REF!</v>
      </c>
      <c r="GC60" s="691" t="e">
        <f>'CANARD STRUCT'!#REF!*0.224809*3.28084^2</f>
        <v>#REF!</v>
      </c>
      <c r="GD60" s="691" t="e">
        <f>'CANARD STRUCT'!#REF!*0.224809*3.28084^2</f>
        <v>#REF!</v>
      </c>
      <c r="GE60" s="691" t="e">
        <f>'CANARD STRUCT'!#REF!*0.224809*3.28084^2</f>
        <v>#REF!</v>
      </c>
      <c r="GF60" s="617" t="e">
        <f>'CANARD STRUCT'!#REF!</f>
        <v>#REF!</v>
      </c>
      <c r="GG60" s="691" t="e">
        <f>'CANARD STRUCT'!#REF!*0.224809</f>
        <v>#REF!</v>
      </c>
      <c r="GH60" s="691" t="e">
        <f>'CANARD STRUCT'!#REF!*0.224809</f>
        <v>#REF!</v>
      </c>
      <c r="GI60" s="617" t="e">
        <f>'CANARD STRUCT'!#REF!*2.20462*3.28084</f>
        <v>#REF!</v>
      </c>
      <c r="GJ60" s="617" t="e">
        <f>'CANARD STRUCT'!#REF!*2.20462*3.28084</f>
        <v>#REF!</v>
      </c>
      <c r="GK60" s="617" t="e">
        <f>'CANARD STRUCT'!#REF!*2.20462/3.28084</f>
        <v>#REF!</v>
      </c>
      <c r="GL60" s="617" t="e">
        <f>'CANARD STRUCT'!#REF!*3.28084</f>
        <v>#REF!</v>
      </c>
      <c r="GM60" s="617" t="e">
        <f>'CANARD STRUCT'!#REF!*3.28084</f>
        <v>#REF!</v>
      </c>
      <c r="GN60" s="617" t="e">
        <f>'CANARD STRUCT'!#REF!*2.20462*3.28084</f>
        <v>#REF!</v>
      </c>
      <c r="GO60" s="617" t="e">
        <f>'CANARD STRUCT'!#REF!*2.20462*3.28084</f>
        <v>#REF!</v>
      </c>
      <c r="GP60" s="617" t="e">
        <f>'CANARD STRUCT'!#REF!*2.20462/3.28084</f>
        <v>#REF!</v>
      </c>
      <c r="GQ60" s="617" t="e">
        <f>'CANARD STRUCT'!#REF!*3.28084</f>
        <v>#REF!</v>
      </c>
      <c r="GR60" s="617" t="e">
        <f>'CANARD STRUCT'!#REF!*3.28084</f>
        <v>#REF!</v>
      </c>
      <c r="GS60" s="617" t="e">
        <f>'CANARD STRUCT'!#REF!*3.28084</f>
        <v>#REF!</v>
      </c>
      <c r="GT60" s="617" t="e">
        <f>'CANARD STRUCT'!#REF!*3.28084</f>
        <v>#REF!</v>
      </c>
      <c r="GU60" s="617" t="e">
        <f>'CANARD STRUCT'!#REF!*3.28084</f>
        <v>#REF!</v>
      </c>
      <c r="GV60" s="617" t="e">
        <f>'CANARD STRUCT'!#REF!*3.28084</f>
        <v>#REF!</v>
      </c>
      <c r="GW60" s="617" t="e">
        <f>'CANARD STRUCT'!#REF!</f>
        <v>#REF!</v>
      </c>
      <c r="GX60" s="617" t="e">
        <f>'CANARD STRUCT'!#REF!</f>
        <v>#REF!</v>
      </c>
      <c r="GY60" s="617" t="e">
        <f>'CANARD STRUCT'!#REF!*3.28084</f>
        <v>#REF!</v>
      </c>
      <c r="GZ60" s="617" t="e">
        <f>'CANARD STRUCT'!#REF!*3.28084</f>
        <v>#REF!</v>
      </c>
      <c r="HA60" s="617" t="e">
        <f>'CANARD STRUCT'!#REF!*3.28084^3</f>
        <v>#REF!</v>
      </c>
      <c r="HB60" s="617" t="e">
        <f>'CANARD STRUCT'!#REF!*3.28084</f>
        <v>#REF!</v>
      </c>
      <c r="HC60" s="617" t="e">
        <f>'CANARD STRUCT'!#REF!</f>
        <v>#REF!</v>
      </c>
      <c r="HD60" s="617" t="e">
        <f>'CANARD STRUCT'!#REF!</f>
        <v>#REF!</v>
      </c>
      <c r="HE60" s="617" t="e">
        <f>'CANARD STRUCT'!#REF!*3.28084</f>
        <v>#REF!</v>
      </c>
      <c r="HF60" s="617" t="e">
        <f>'CANARD STRUCT'!#REF!</f>
        <v>#REF!</v>
      </c>
      <c r="HG60" s="617" t="e">
        <f>'CANARD STRUCT'!#REF!</f>
        <v>#REF!</v>
      </c>
      <c r="HH60" s="617" t="e">
        <f>'CANARD STRUCT'!#REF!</f>
        <v>#REF!</v>
      </c>
      <c r="HI60" s="617" t="e">
        <f>'CANARD STRUCT'!#REF!</f>
        <v>#REF!</v>
      </c>
      <c r="HJ60" s="617" t="e">
        <f>'CANARD STRUCT'!#REF!</f>
        <v>#REF!</v>
      </c>
      <c r="HK60" s="616" t="e">
        <f>'CANARD STRUCT'!#REF!</f>
        <v>#REF!</v>
      </c>
    </row>
    <row r="61" spans="1:219" x14ac:dyDescent="0.25">
      <c r="A61" t="s">
        <v>898</v>
      </c>
      <c r="B61" s="663">
        <v>4.7394999999999996</v>
      </c>
      <c r="C61" s="664">
        <v>4.5949999999999998</v>
      </c>
      <c r="D61" s="664">
        <v>0.1</v>
      </c>
      <c r="E61" s="669" t="e">
        <f>'CANARD STRUCT'!#REF!* 3.28084</f>
        <v>#REF!</v>
      </c>
      <c r="F61" s="669" t="e">
        <f>'CANARD STRUCT'!#REF!* 3.28084</f>
        <v>#REF!</v>
      </c>
      <c r="G61" s="669" t="e">
        <f>'CANARD STRUCT'!#REF!* 3.28084</f>
        <v>#REF!</v>
      </c>
      <c r="H61" s="670" t="e">
        <f>'CANARD STRUCT'!#REF!*2.20462</f>
        <v>#REF!</v>
      </c>
      <c r="I61" s="667">
        <v>9</v>
      </c>
      <c r="J61" s="665" t="e">
        <f t="shared" si="0"/>
        <v>#REF!</v>
      </c>
      <c r="L61" t="s">
        <v>921</v>
      </c>
      <c r="O61" s="576"/>
      <c r="P61" s="580"/>
      <c r="AU61" s="594"/>
      <c r="AV61" s="574">
        <f ca="1">100*(AX61-$AX$50)/(MAX($AX$50:INDEX(($AX$50:$AX$150),$F$35+1,1))-MIN($AX$50:INDEX(($AX$50:$AX$150),$F$35+1,1)))</f>
        <v>52</v>
      </c>
      <c r="AW61" s="659">
        <f ca="1">OFFSET('Trapezoidal Wing Summary'!C$45,((ROW('Trapezoidal Wing Summary'!$A56)-ROW('Trapezoidal Wing Summary'!$A$45))*100/$F$35),0)+$F$15</f>
        <v>10.537609917255999</v>
      </c>
      <c r="AX61" s="659">
        <f ca="1">OFFSET('Trapezoidal Wing Summary'!D$45,((ROW('Trapezoidal Wing Summary'!$A56)-ROW('Trapezoidal Wing Summary'!$A$45))*100/$F$35),0)+$F$16</f>
        <v>5.1181103999999999</v>
      </c>
      <c r="AY61" s="659">
        <f ca="1">OFFSET('Trapezoidal Wing Summary'!E$45,((ROW('Trapezoidal Wing Summary'!$A56)-ROW('Trapezoidal Wing Summary'!$A$45))*100/$F$35),0)+$F$17</f>
        <v>12.850247130368</v>
      </c>
      <c r="AZ61" s="41">
        <f ca="1">OFFSET('Trapezoidal Wing Summary'!F$45,((ROW('Trapezoidal Wing Summary'!$A56)-ROW('Trapezoidal Wing Summary'!$A$45))*100/$F$35),0)</f>
        <v>0</v>
      </c>
      <c r="BA61" s="41">
        <f ca="1">OFFSET('Trapezoidal Wing Summary'!G$45,((ROW('Trapezoidal Wing Summary'!$A56)-ROW('Trapezoidal Wing Summary'!$A$45))*100/$F$35),0)</f>
        <v>39549.272655130451</v>
      </c>
      <c r="BB61" s="41">
        <f ca="1">OFFSET('Trapezoidal Wing Summary'!H$45,((ROW('Trapezoidal Wing Summary'!$A56)-ROW('Trapezoidal Wing Summary'!$A$45))*100/$F$35),0)</f>
        <v>35685.691826056485</v>
      </c>
      <c r="BC61" s="41">
        <f ca="1">OFFSET('Trapezoidal Wing Summary'!I$45,((ROW('Trapezoidal Wing Summary'!$A56)-ROW('Trapezoidal Wing Summary'!$A$45))*100/$F$35),0)</f>
        <v>0</v>
      </c>
      <c r="BD61" s="41">
        <f ca="1">OFFSET('Trapezoidal Wing Summary'!J$45,((ROW('Trapezoidal Wing Summary'!$A56)-ROW('Trapezoidal Wing Summary'!$A$45))*100/$F$35),0)</f>
        <v>0</v>
      </c>
      <c r="BE61" s="41">
        <f ca="1">OFFSET('Trapezoidal Wing Summary'!K$45,((ROW('Trapezoidal Wing Summary'!$A56)-ROW('Trapezoidal Wing Summary'!$A$45))*100/$F$35),0)</f>
        <v>0</v>
      </c>
      <c r="BF61" s="41">
        <f ca="1">OFFSET('Trapezoidal Wing Summary'!L$45,((ROW('Trapezoidal Wing Summary'!$A56)-ROW('Trapezoidal Wing Summary'!$A$45))*100/$F$35),0)</f>
        <v>1703854.2040265766</v>
      </c>
      <c r="BG61" s="41">
        <f ca="1">OFFSET('Trapezoidal Wing Summary'!M$45,((ROW('Trapezoidal Wing Summary'!$A56)-ROW('Trapezoidal Wing Summary'!$A$45))*100/$F$35),0)</f>
        <v>0</v>
      </c>
      <c r="BH61" s="41">
        <f ca="1">OFFSET('Trapezoidal Wing Summary'!N$45,((ROW('Trapezoidal Wing Summary'!$A56)-ROW('Trapezoidal Wing Summary'!$A$45))*100/$F$35),0)</f>
        <v>0</v>
      </c>
      <c r="BI61" s="41">
        <f ca="1">OFFSET('Trapezoidal Wing Summary'!O$45,((ROW('Trapezoidal Wing Summary'!$A56)-ROW('Trapezoidal Wing Summary'!$A$45))*100/$F$35),0)</f>
        <v>0</v>
      </c>
      <c r="BJ61" s="41">
        <f ca="1">OFFSET('Trapezoidal Wing Summary'!P$45,((ROW('Trapezoidal Wing Summary'!$A56)-ROW('Trapezoidal Wing Summary'!$A$45))*100/$F$35),0)</f>
        <v>0</v>
      </c>
      <c r="BK61" s="41">
        <f ca="1">OFFSET('Trapezoidal Wing Summary'!Q$45,((ROW('Trapezoidal Wing Summary'!$A56)-ROW('Trapezoidal Wing Summary'!$A$45))*100/$F$35),0)</f>
        <v>0</v>
      </c>
      <c r="BL61" s="41">
        <f ca="1">OFFSET('Trapezoidal Wing Summary'!R$45,((ROW('Trapezoidal Wing Summary'!$A56)-ROW('Trapezoidal Wing Summary'!$A$45))*100/$F$35),0)</f>
        <v>2.2595140817370751</v>
      </c>
      <c r="BM61" s="41">
        <f ca="1">OFFSET('Trapezoidal Wing Summary'!S$45,((ROW('Trapezoidal Wing Summary'!$A56)-ROW('Trapezoidal Wing Summary'!$A$45))*100/$F$35),0)</f>
        <v>0.34841962747557131</v>
      </c>
      <c r="BN61" s="41">
        <f ca="1">OFFSET('Trapezoidal Wing Summary'!T$45,((ROW('Trapezoidal Wing Summary'!$A56)-ROW('Trapezoidal Wing Summary'!$A$45))*100/$F$35),0)</f>
        <v>0</v>
      </c>
      <c r="BO61" s="41">
        <f ca="1">OFFSET('Trapezoidal Wing Summary'!U$45,((ROW('Trapezoidal Wing Summary'!$A56)-ROW('Trapezoidal Wing Summary'!$A$45))*100/$F$35),0)</f>
        <v>0</v>
      </c>
      <c r="BP61" s="41">
        <f ca="1">OFFSET('Trapezoidal Wing Summary'!V$45,((ROW('Trapezoidal Wing Summary'!$A56)-ROW('Trapezoidal Wing Summary'!$A$45))*100/$F$35),0)</f>
        <v>0</v>
      </c>
      <c r="BQ61" s="41">
        <f ca="1">OFFSET('Trapezoidal Wing Summary'!W$45,((ROW('Trapezoidal Wing Summary'!$A56)-ROW('Trapezoidal Wing Summary'!$A$45))*100/$F$35),0)</f>
        <v>0</v>
      </c>
      <c r="BR61" s="41">
        <f ca="1">OFFSET('Trapezoidal Wing Summary'!X$45,((ROW('Trapezoidal Wing Summary'!$A56)-ROW('Trapezoidal Wing Summary'!$A$45))*100/$F$35),0)</f>
        <v>0</v>
      </c>
      <c r="BS61" s="41">
        <f ca="1">OFFSET('Trapezoidal Wing Summary'!Y$45,((ROW('Trapezoidal Wing Summary'!$A56)-ROW('Trapezoidal Wing Summary'!$A$45))*100/$F$35),0)</f>
        <v>0</v>
      </c>
      <c r="BT61" s="41">
        <f ca="1">OFFSET('Trapezoidal Wing Summary'!Z$45,((ROW('Trapezoidal Wing Summary'!$A56)-ROW('Trapezoidal Wing Summary'!$A$45))*100/$F$35),0)</f>
        <v>0.15114920471544047</v>
      </c>
      <c r="BU61" s="41">
        <f ca="1">OFFSET('Trapezoidal Wing Summary'!AA$45,((ROW('Trapezoidal Wing Summary'!$A56)-ROW('Trapezoidal Wing Summary'!$A$45))*100/$F$35),0)</f>
        <v>0</v>
      </c>
      <c r="BV61" s="41">
        <f ca="1">OFFSET('Trapezoidal Wing Summary'!AB$45,((ROW('Trapezoidal Wing Summary'!$A56)-ROW('Trapezoidal Wing Summary'!$A$45))*100/$F$35),0)</f>
        <v>0</v>
      </c>
      <c r="BW61" s="41">
        <f ca="1">OFFSET('Trapezoidal Wing Summary'!AC$45,((ROW('Trapezoidal Wing Summary'!$A56)-ROW('Trapezoidal Wing Summary'!$A$45))*100/$F$35),0)</f>
        <v>0</v>
      </c>
      <c r="BX61" s="41">
        <f ca="1">OFFSET('Trapezoidal Wing Summary'!AD$45,((ROW('Trapezoidal Wing Summary'!$A56)-ROW('Trapezoidal Wing Summary'!$A$45))*100/$F$35),0)</f>
        <v>2E-3</v>
      </c>
      <c r="BY61" s="41">
        <f ca="1">OFFSET('Trapezoidal Wing Summary'!AE$45,((ROW('Trapezoidal Wing Summary'!$A56)-ROW('Trapezoidal Wing Summary'!$A$45))*100/$F$35),0)</f>
        <v>2E-3</v>
      </c>
      <c r="BZ61" s="41">
        <f ca="1">OFFSET('Trapezoidal Wing Summary'!AF$45,((ROW('Trapezoidal Wing Summary'!$A56)-ROW('Trapezoidal Wing Summary'!$A$45))*100/$F$35),0)</f>
        <v>0</v>
      </c>
      <c r="CA61" s="41">
        <f ca="1">OFFSET('Trapezoidal Wing Summary'!AG$45,((ROW('Trapezoidal Wing Summary'!$A56)-ROW('Trapezoidal Wing Summary'!$A$45))*100/$F$35),0)</f>
        <v>0.14586614640000001</v>
      </c>
      <c r="CB61" s="41">
        <f ca="1">OFFSET('Trapezoidal Wing Summary'!AH$45,((ROW('Trapezoidal Wing Summary'!$A56)-ROW('Trapezoidal Wing Summary'!$A$45))*100/$F$35),0)</f>
        <v>6.8532085950962136E-4</v>
      </c>
      <c r="CC61" s="41">
        <f ca="1">OFFSET('Trapezoidal Wing Summary'!AI$45,((ROW('Trapezoidal Wing Summary'!$A56)-ROW('Trapezoidal Wing Summary'!$A$45))*100/$F$35),0)</f>
        <v>0</v>
      </c>
      <c r="CD61" s="41">
        <f>'REF - ASWING AERO-Imperial'!$R$5</f>
        <v>5.4999999999999997E-3</v>
      </c>
      <c r="CE61" s="41">
        <f>'REF - ASWING AERO-Imperial'!$R$6</f>
        <v>5.4999999999999997E-3</v>
      </c>
      <c r="CF61" s="41">
        <f ca="1">OFFSET('Trapezoidal Wing Summary'!AL$45,((ROW('Trapezoidal Wing Summary'!$A56)-ROW('Trapezoidal Wing Summary'!$A$45))*100/$F$35),0)</f>
        <v>1.6207349600000001</v>
      </c>
      <c r="CG61" s="41">
        <f ca="1">OFFSET('Trapezoidal Wing Summary'!AM$45,((ROW('Trapezoidal Wing Summary'!$A56)-ROW('Trapezoidal Wing Summary'!$A$45))*100/$F$35),0)</f>
        <v>0.25</v>
      </c>
      <c r="CH61" s="41">
        <f ca="1">OFFSET('Trapezoidal Wing Summary'!AN$45,((ROW('Trapezoidal Wing Summary'!$A56)-ROW('Trapezoidal Wing Summary'!$A$45))*100/$F$35),0)</f>
        <v>5.9</v>
      </c>
      <c r="CI61" s="41">
        <f ca="1">OFFSET('Trapezoidal Wing Summary'!AO$45,((ROW('Trapezoidal Wing Summary'!$A56)-ROW('Trapezoidal Wing Summary'!$A$45))*100/$F$35),0)</f>
        <v>-0.15</v>
      </c>
      <c r="CJ61" s="41">
        <f ca="1">OFFSET('Trapezoidal Wing Summary'!AP$45,((ROW('Trapezoidal Wing Summary'!$A56)-ROW('Trapezoidal Wing Summary'!$A$45))*100/$F$35),0)</f>
        <v>2.25</v>
      </c>
      <c r="CK61" s="41">
        <f ca="1">OFFSET('Trapezoidal Wing Summary'!AQ$45,((ROW('Trapezoidal Wing Summary'!$A56)-ROW('Trapezoidal Wing Summary'!$A$45))*100/$F$35),0)</f>
        <v>-1.65</v>
      </c>
      <c r="CL61" s="41">
        <f ca="1">OFFSET('Trapezoidal Wing Summary'!AR$45,((ROW('Trapezoidal Wing Summary'!$A56)-ROW('Trapezoidal Wing Summary'!$A$45))*100/$F$35),0)</f>
        <v>5.9690260418206069</v>
      </c>
      <c r="CM61" s="644" t="e">
        <f>'CANARD STRUCT'!#REF!</f>
        <v>#REF!</v>
      </c>
      <c r="CN61" s="642" t="e">
        <f>'CANARD STRUCT'!#REF!*3.28084</f>
        <v>#REF!</v>
      </c>
      <c r="CO61" s="642" t="e">
        <f>'CANARD STRUCT'!#REF!*3.28084</f>
        <v>#REF!</v>
      </c>
      <c r="CP61" s="642" t="e">
        <f>'CANARD STRUCT'!#REF!*3.28084</f>
        <v>#REF!</v>
      </c>
      <c r="CQ61" s="642" t="e">
        <f>'CANARD STRUCT'!#REF!</f>
        <v>#REF!</v>
      </c>
      <c r="CR61" s="685" t="e">
        <f>'CANARD STRUCT'!#REF!*0.224809*3.28084^2</f>
        <v>#REF!</v>
      </c>
      <c r="CS61" s="685" t="e">
        <f>'CANARD STRUCT'!#REF!*0.224809*3.28084^2</f>
        <v>#REF!</v>
      </c>
      <c r="CT61" s="685" t="e">
        <f>'CANARD STRUCT'!#REF!*0.224809*3.28084^2</f>
        <v>#REF!</v>
      </c>
      <c r="CU61" s="685" t="e">
        <f>'CANARD STRUCT'!#REF!*0.224809*3.28084^2</f>
        <v>#REF!</v>
      </c>
      <c r="CV61" s="685" t="e">
        <f>'CANARD STRUCT'!#REF!*0.224809*3.28084^2</f>
        <v>#REF!</v>
      </c>
      <c r="CW61" s="685" t="e">
        <f>'CANARD STRUCT'!#REF!*0.224809*3.28084^2</f>
        <v>#REF!</v>
      </c>
      <c r="CX61" s="642" t="e">
        <f>'CANARD STRUCT'!#REF!</f>
        <v>#REF!</v>
      </c>
      <c r="CY61" s="642" t="e">
        <f>'CANARD STRUCT'!#REF!*0.224809</f>
        <v>#REF!</v>
      </c>
      <c r="CZ61" s="642" t="e">
        <f>'CANARD STRUCT'!#REF!*0.224809</f>
        <v>#REF!</v>
      </c>
      <c r="DA61" s="642" t="e">
        <f>'CANARD STRUCT'!#REF!*2.20462*3.28084</f>
        <v>#REF!</v>
      </c>
      <c r="DB61" s="642" t="e">
        <f>'CANARD STRUCT'!#REF!*2.20462*3.28084</f>
        <v>#REF!</v>
      </c>
      <c r="DC61" s="642" t="e">
        <f>'CANARD STRUCT'!#REF!*2.20462/3.28084</f>
        <v>#REF!</v>
      </c>
      <c r="DD61" s="642" t="e">
        <f>'CANARD STRUCT'!#REF!*3.28084</f>
        <v>#REF!</v>
      </c>
      <c r="DE61" s="642" t="e">
        <f>'CANARD STRUCT'!#REF!*3.28084</f>
        <v>#REF!</v>
      </c>
      <c r="DF61" s="642" t="e">
        <f>'CANARD STRUCT'!#REF!*2.20462*3.28084</f>
        <v>#REF!</v>
      </c>
      <c r="DG61" s="642" t="e">
        <f>'CANARD STRUCT'!#REF!*2.20462*3.28084</f>
        <v>#REF!</v>
      </c>
      <c r="DH61" s="642" t="e">
        <f>'CANARD STRUCT'!#REF!*2.20462/3.28084</f>
        <v>#REF!</v>
      </c>
      <c r="DI61" s="642" t="e">
        <f>'CANARD STRUCT'!#REF!*3.28084</f>
        <v>#REF!</v>
      </c>
      <c r="DJ61" s="642" t="e">
        <f>'CANARD STRUCT'!#REF!*3.28084</f>
        <v>#REF!</v>
      </c>
      <c r="DK61" s="642" t="e">
        <f>'CANARD STRUCT'!#REF!*3.28084</f>
        <v>#REF!</v>
      </c>
      <c r="DL61" s="642" t="e">
        <f>'CANARD STRUCT'!#REF!*3.28084</f>
        <v>#REF!</v>
      </c>
      <c r="DM61" s="642" t="e">
        <f>'CANARD STRUCT'!#REF!*3.28084</f>
        <v>#REF!</v>
      </c>
      <c r="DN61" s="642" t="e">
        <f>'CANARD STRUCT'!#REF!*3.28084</f>
        <v>#REF!</v>
      </c>
      <c r="DO61" s="642" t="e">
        <f>'CANARD STRUCT'!#REF!</f>
        <v>#REF!</v>
      </c>
      <c r="DP61" s="642" t="e">
        <f>'CANARD STRUCT'!#REF!</f>
        <v>#REF!</v>
      </c>
      <c r="DQ61" s="642" t="e">
        <f>'CANARD STRUCT'!#REF!*3.28084</f>
        <v>#REF!</v>
      </c>
      <c r="DR61" s="642" t="e">
        <f>'CANARD STRUCT'!#REF!*3.28084</f>
        <v>#REF!</v>
      </c>
      <c r="DS61" s="642" t="e">
        <f>'CANARD STRUCT'!#REF!*3.28084^3</f>
        <v>#REF!</v>
      </c>
      <c r="DT61" s="642" t="e">
        <f>'CANARD STRUCT'!#REF!*3.28084</f>
        <v>#REF!</v>
      </c>
      <c r="DU61" s="642" t="e">
        <f>'CANARD STRUCT'!#REF!</f>
        <v>#REF!</v>
      </c>
      <c r="DV61" s="642" t="e">
        <f>'CANARD STRUCT'!#REF!</f>
        <v>#REF!</v>
      </c>
      <c r="DW61" s="642" t="e">
        <f>'CANARD STRUCT'!#REF!*3.28084</f>
        <v>#REF!</v>
      </c>
      <c r="DX61" s="642" t="e">
        <f>'CANARD STRUCT'!#REF!</f>
        <v>#REF!</v>
      </c>
      <c r="DY61" s="642" t="e">
        <f>'CANARD STRUCT'!#REF!</f>
        <v>#REF!</v>
      </c>
      <c r="DZ61" s="642" t="e">
        <f>'CANARD STRUCT'!#REF!</f>
        <v>#REF!</v>
      </c>
      <c r="EA61" s="642" t="e">
        <f>'CANARD STRUCT'!#REF!</f>
        <v>#REF!</v>
      </c>
      <c r="EB61" s="642" t="e">
        <f>'CANARD STRUCT'!#REF!</f>
        <v>#REF!</v>
      </c>
      <c r="EC61" s="641" t="e">
        <f>'CANARD STRUCT'!#REF!</f>
        <v>#REF!</v>
      </c>
      <c r="FW61" s="618"/>
    </row>
    <row r="62" spans="1:219" x14ac:dyDescent="0.25">
      <c r="A62" t="s">
        <v>899</v>
      </c>
      <c r="B62" s="663">
        <v>6.2759999999999998</v>
      </c>
      <c r="C62" s="664">
        <v>-1.56</v>
      </c>
      <c r="D62" s="664">
        <v>0</v>
      </c>
      <c r="E62" s="669" t="e">
        <f>'CANARD STRUCT'!#REF!* 3.28084</f>
        <v>#REF!</v>
      </c>
      <c r="F62" s="669" t="e">
        <f>'CANARD STRUCT'!#REF!* 3.28084</f>
        <v>#REF!</v>
      </c>
      <c r="G62" s="669" t="e">
        <f>'CANARD STRUCT'!#REF!* 3.28084</f>
        <v>#REF!</v>
      </c>
      <c r="H62" s="670" t="e">
        <f>'CANARD STRUCT'!#REF!*2.20462</f>
        <v>#REF!</v>
      </c>
      <c r="I62" s="667">
        <v>8</v>
      </c>
      <c r="J62" s="665" t="e">
        <f t="shared" si="0"/>
        <v>#REF!</v>
      </c>
      <c r="K62" s="578"/>
      <c r="L62" s="578"/>
      <c r="M62" s="578"/>
      <c r="N62" s="578"/>
      <c r="O62" s="579"/>
      <c r="P62" s="580"/>
      <c r="AU62" s="594"/>
      <c r="AV62" s="574">
        <f ca="1">100*(AX62-$AX$50)/(MAX($AX$50:INDEX(($AX$50:$AX$150),$F$35+1,1))-MIN($AX$50:INDEX(($AX$50:$AX$150),$F$35+1,1)))</f>
        <v>57</v>
      </c>
      <c r="AW62" s="659">
        <f ca="1">OFFSET('Trapezoidal Wing Summary'!C$45,((ROW('Trapezoidal Wing Summary'!$A57)-ROW('Trapezoidal Wing Summary'!$A$45))*100/$F$35),0)+$F$15</f>
        <v>10.549913067256</v>
      </c>
      <c r="AX62" s="659">
        <f ca="1">OFFSET('Trapezoidal Wing Summary'!D$45,((ROW('Trapezoidal Wing Summary'!$A57)-ROW('Trapezoidal Wing Summary'!$A$45))*100/$F$35),0)+$F$16</f>
        <v>5.6102363999999998</v>
      </c>
      <c r="AY62" s="659">
        <f ca="1">OFFSET('Trapezoidal Wing Summary'!E$45,((ROW('Trapezoidal Wing Summary'!$A57)-ROW('Trapezoidal Wing Summary'!$A$45))*100/$F$35),0)+$F$17</f>
        <v>12.850247130368</v>
      </c>
      <c r="AZ62" s="41">
        <f ca="1">OFFSET('Trapezoidal Wing Summary'!F$45,((ROW('Trapezoidal Wing Summary'!$A57)-ROW('Trapezoidal Wing Summary'!$A$45))*100/$F$35),0)</f>
        <v>0</v>
      </c>
      <c r="BA62" s="41">
        <f ca="1">OFFSET('Trapezoidal Wing Summary'!G$45,((ROW('Trapezoidal Wing Summary'!$A57)-ROW('Trapezoidal Wing Summary'!$A$45))*100/$F$35),0)</f>
        <v>36377.488316609277</v>
      </c>
      <c r="BB62" s="41">
        <f ca="1">OFFSET('Trapezoidal Wing Summary'!H$45,((ROW('Trapezoidal Wing Summary'!$A57)-ROW('Trapezoidal Wing Summary'!$A$45))*100/$F$35),0)</f>
        <v>33551.446582726414</v>
      </c>
      <c r="BC62" s="41">
        <f ca="1">OFFSET('Trapezoidal Wing Summary'!I$45,((ROW('Trapezoidal Wing Summary'!$A57)-ROW('Trapezoidal Wing Summary'!$A$45))*100/$F$35),0)</f>
        <v>0</v>
      </c>
      <c r="BD62" s="41">
        <f ca="1">OFFSET('Trapezoidal Wing Summary'!J$45,((ROW('Trapezoidal Wing Summary'!$A57)-ROW('Trapezoidal Wing Summary'!$A$45))*100/$F$35),0)</f>
        <v>0</v>
      </c>
      <c r="BE62" s="41">
        <f ca="1">OFFSET('Trapezoidal Wing Summary'!K$45,((ROW('Trapezoidal Wing Summary'!$A57)-ROW('Trapezoidal Wing Summary'!$A$45))*100/$F$35),0)</f>
        <v>0</v>
      </c>
      <c r="BF62" s="41">
        <f ca="1">OFFSET('Trapezoidal Wing Summary'!L$45,((ROW('Trapezoidal Wing Summary'!$A57)-ROW('Trapezoidal Wing Summary'!$A$45))*100/$F$35),0)</f>
        <v>1553309.9479654953</v>
      </c>
      <c r="BG62" s="41">
        <f ca="1">OFFSET('Trapezoidal Wing Summary'!M$45,((ROW('Trapezoidal Wing Summary'!$A57)-ROW('Trapezoidal Wing Summary'!$A$45))*100/$F$35),0)</f>
        <v>0</v>
      </c>
      <c r="BH62" s="41">
        <f ca="1">OFFSET('Trapezoidal Wing Summary'!N$45,((ROW('Trapezoidal Wing Summary'!$A57)-ROW('Trapezoidal Wing Summary'!$A$45))*100/$F$35),0)</f>
        <v>0</v>
      </c>
      <c r="BI62" s="41">
        <f ca="1">OFFSET('Trapezoidal Wing Summary'!O$45,((ROW('Trapezoidal Wing Summary'!$A57)-ROW('Trapezoidal Wing Summary'!$A$45))*100/$F$35),0)</f>
        <v>0</v>
      </c>
      <c r="BJ62" s="41">
        <f ca="1">OFFSET('Trapezoidal Wing Summary'!P$45,((ROW('Trapezoidal Wing Summary'!$A57)-ROW('Trapezoidal Wing Summary'!$A$45))*100/$F$35),0)</f>
        <v>0</v>
      </c>
      <c r="BK62" s="41">
        <f ca="1">OFFSET('Trapezoidal Wing Summary'!Q$45,((ROW('Trapezoidal Wing Summary'!$A57)-ROW('Trapezoidal Wing Summary'!$A$45))*100/$F$35),0)</f>
        <v>0</v>
      </c>
      <c r="BL62" s="41">
        <f ca="1">OFFSET('Trapezoidal Wing Summary'!R$45,((ROW('Trapezoidal Wing Summary'!$A57)-ROW('Trapezoidal Wing Summary'!$A$45))*100/$F$35),0)</f>
        <v>2.1961550687164717</v>
      </c>
      <c r="BM62" s="41">
        <f ca="1">OFFSET('Trapezoidal Wing Summary'!S$45,((ROW('Trapezoidal Wing Summary'!$A57)-ROW('Trapezoidal Wing Summary'!$A$45))*100/$F$35),0)</f>
        <v>0.33699877216121982</v>
      </c>
      <c r="BN62" s="41">
        <f ca="1">OFFSET('Trapezoidal Wing Summary'!T$45,((ROW('Trapezoidal Wing Summary'!$A57)-ROW('Trapezoidal Wing Summary'!$A$45))*100/$F$35),0)</f>
        <v>0</v>
      </c>
      <c r="BO62" s="41">
        <f ca="1">OFFSET('Trapezoidal Wing Summary'!U$45,((ROW('Trapezoidal Wing Summary'!$A57)-ROW('Trapezoidal Wing Summary'!$A$45))*100/$F$35),0)</f>
        <v>0</v>
      </c>
      <c r="BP62" s="41">
        <f ca="1">OFFSET('Trapezoidal Wing Summary'!V$45,((ROW('Trapezoidal Wing Summary'!$A57)-ROW('Trapezoidal Wing Summary'!$A$45))*100/$F$35),0)</f>
        <v>0</v>
      </c>
      <c r="BQ62" s="41">
        <f ca="1">OFFSET('Trapezoidal Wing Summary'!W$45,((ROW('Trapezoidal Wing Summary'!$A57)-ROW('Trapezoidal Wing Summary'!$A$45))*100/$F$35),0)</f>
        <v>0</v>
      </c>
      <c r="BR62" s="41">
        <f ca="1">OFFSET('Trapezoidal Wing Summary'!X$45,((ROW('Trapezoidal Wing Summary'!$A57)-ROW('Trapezoidal Wing Summary'!$A$45))*100/$F$35),0)</f>
        <v>0</v>
      </c>
      <c r="BS62" s="41">
        <f ca="1">OFFSET('Trapezoidal Wing Summary'!Y$45,((ROW('Trapezoidal Wing Summary'!$A57)-ROW('Trapezoidal Wing Summary'!$A$45))*100/$F$35),0)</f>
        <v>0</v>
      </c>
      <c r="BT62" s="41">
        <f ca="1">OFFSET('Trapezoidal Wing Summary'!Z$45,((ROW('Trapezoidal Wing Summary'!$A57)-ROW('Trapezoidal Wing Summary'!$A$45))*100/$F$35),0)</f>
        <v>0.14744617114654046</v>
      </c>
      <c r="BU62" s="41">
        <f ca="1">OFFSET('Trapezoidal Wing Summary'!AA$45,((ROW('Trapezoidal Wing Summary'!$A57)-ROW('Trapezoidal Wing Summary'!$A$45))*100/$F$35),0)</f>
        <v>0</v>
      </c>
      <c r="BV62" s="41">
        <f ca="1">OFFSET('Trapezoidal Wing Summary'!AB$45,((ROW('Trapezoidal Wing Summary'!$A57)-ROW('Trapezoidal Wing Summary'!$A$45))*100/$F$35),0)</f>
        <v>0</v>
      </c>
      <c r="BW62" s="41">
        <f ca="1">OFFSET('Trapezoidal Wing Summary'!AC$45,((ROW('Trapezoidal Wing Summary'!$A57)-ROW('Trapezoidal Wing Summary'!$A$45))*100/$F$35),0)</f>
        <v>0</v>
      </c>
      <c r="BX62" s="41">
        <f ca="1">OFFSET('Trapezoidal Wing Summary'!AD$45,((ROW('Trapezoidal Wing Summary'!$A57)-ROW('Trapezoidal Wing Summary'!$A$45))*100/$F$35),0)</f>
        <v>2E-3</v>
      </c>
      <c r="BY62" s="41">
        <f ca="1">OFFSET('Trapezoidal Wing Summary'!AE$45,((ROW('Trapezoidal Wing Summary'!$A57)-ROW('Trapezoidal Wing Summary'!$A$45))*100/$F$35),0)</f>
        <v>2E-3</v>
      </c>
      <c r="BZ62" s="41">
        <f ca="1">OFFSET('Trapezoidal Wing Summary'!AF$45,((ROW('Trapezoidal Wing Summary'!$A57)-ROW('Trapezoidal Wing Summary'!$A$45))*100/$F$35),0)</f>
        <v>0</v>
      </c>
      <c r="CA62" s="41">
        <f ca="1">OFFSET('Trapezoidal Wing Summary'!AG$45,((ROW('Trapezoidal Wing Summary'!$A57)-ROW('Trapezoidal Wing Summary'!$A$45))*100/$F$35),0)</f>
        <v>0.14143701239999998</v>
      </c>
      <c r="CB62" s="41">
        <f ca="1">OFFSET('Trapezoidal Wing Summary'!AH$45,((ROW('Trapezoidal Wing Summary'!$A57)-ROW('Trapezoidal Wing Summary'!$A$45))*100/$F$35),0)</f>
        <v>6.4433404631590021E-4</v>
      </c>
      <c r="CC62" s="41">
        <f ca="1">OFFSET('Trapezoidal Wing Summary'!AI$45,((ROW('Trapezoidal Wing Summary'!$A57)-ROW('Trapezoidal Wing Summary'!$A$45))*100/$F$35),0)</f>
        <v>0</v>
      </c>
      <c r="CD62" s="41">
        <f>'REF - ASWING AERO-Imperial'!$R$5</f>
        <v>5.4999999999999997E-3</v>
      </c>
      <c r="CE62" s="41">
        <f>'REF - ASWING AERO-Imperial'!$R$6</f>
        <v>5.4999999999999997E-3</v>
      </c>
      <c r="CF62" s="41">
        <f ca="1">OFFSET('Trapezoidal Wing Summary'!AL$45,((ROW('Trapezoidal Wing Summary'!$A57)-ROW('Trapezoidal Wing Summary'!$A$45))*100/$F$35),0)</f>
        <v>1.5715223599999999</v>
      </c>
      <c r="CG62" s="41">
        <f ca="1">OFFSET('Trapezoidal Wing Summary'!AM$45,((ROW('Trapezoidal Wing Summary'!$A57)-ROW('Trapezoidal Wing Summary'!$A$45))*100/$F$35),0)</f>
        <v>0.25</v>
      </c>
      <c r="CH62" s="41">
        <f ca="1">OFFSET('Trapezoidal Wing Summary'!AN$45,((ROW('Trapezoidal Wing Summary'!$A57)-ROW('Trapezoidal Wing Summary'!$A$45))*100/$F$35),0)</f>
        <v>5.9</v>
      </c>
      <c r="CI62" s="41">
        <f ca="1">OFFSET('Trapezoidal Wing Summary'!AO$45,((ROW('Trapezoidal Wing Summary'!$A57)-ROW('Trapezoidal Wing Summary'!$A$45))*100/$F$35),0)</f>
        <v>-0.15</v>
      </c>
      <c r="CJ62" s="41">
        <f ca="1">OFFSET('Trapezoidal Wing Summary'!AP$45,((ROW('Trapezoidal Wing Summary'!$A57)-ROW('Trapezoidal Wing Summary'!$A$45))*100/$F$35),0)</f>
        <v>2.25</v>
      </c>
      <c r="CK62" s="41">
        <f ca="1">OFFSET('Trapezoidal Wing Summary'!AQ$45,((ROW('Trapezoidal Wing Summary'!$A57)-ROW('Trapezoidal Wing Summary'!$A$45))*100/$F$35),0)</f>
        <v>-1.65</v>
      </c>
      <c r="CL62" s="41">
        <f ca="1">OFFSET('Trapezoidal Wing Summary'!AR$45,((ROW('Trapezoidal Wing Summary'!$A57)-ROW('Trapezoidal Wing Summary'!$A$45))*100/$F$35),0)</f>
        <v>5.9690260418206069</v>
      </c>
      <c r="CM62" s="644" t="e">
        <f>'CANARD STRUCT'!#REF!</f>
        <v>#REF!</v>
      </c>
      <c r="CN62" s="642" t="e">
        <f>'CANARD STRUCT'!#REF!*3.28084</f>
        <v>#REF!</v>
      </c>
      <c r="CO62" s="642" t="e">
        <f>'CANARD STRUCT'!#REF!*3.28084</f>
        <v>#REF!</v>
      </c>
      <c r="CP62" s="642" t="e">
        <f>'CANARD STRUCT'!#REF!*3.28084</f>
        <v>#REF!</v>
      </c>
      <c r="CQ62" s="642" t="e">
        <f>'CANARD STRUCT'!#REF!</f>
        <v>#REF!</v>
      </c>
      <c r="CR62" s="685" t="e">
        <f>'CANARD STRUCT'!#REF!*0.224809*3.28084^2</f>
        <v>#REF!</v>
      </c>
      <c r="CS62" s="685" t="e">
        <f>'CANARD STRUCT'!#REF!*0.224809*3.28084^2</f>
        <v>#REF!</v>
      </c>
      <c r="CT62" s="685" t="e">
        <f>'CANARD STRUCT'!#REF!*0.224809*3.28084^2</f>
        <v>#REF!</v>
      </c>
      <c r="CU62" s="685" t="e">
        <f>'CANARD STRUCT'!#REF!*0.224809*3.28084^2</f>
        <v>#REF!</v>
      </c>
      <c r="CV62" s="685" t="e">
        <f>'CANARD STRUCT'!#REF!*0.224809*3.28084^2</f>
        <v>#REF!</v>
      </c>
      <c r="CW62" s="685" t="e">
        <f>'CANARD STRUCT'!#REF!*0.224809*3.28084^2</f>
        <v>#REF!</v>
      </c>
      <c r="CX62" s="642" t="e">
        <f>'CANARD STRUCT'!#REF!</f>
        <v>#REF!</v>
      </c>
      <c r="CY62" s="642" t="e">
        <f>'CANARD STRUCT'!#REF!*0.224809</f>
        <v>#REF!</v>
      </c>
      <c r="CZ62" s="642" t="e">
        <f>'CANARD STRUCT'!#REF!*0.224809</f>
        <v>#REF!</v>
      </c>
      <c r="DA62" s="642" t="e">
        <f>'CANARD STRUCT'!#REF!*2.20462*3.28084</f>
        <v>#REF!</v>
      </c>
      <c r="DB62" s="642" t="e">
        <f>'CANARD STRUCT'!#REF!*2.20462*3.28084</f>
        <v>#REF!</v>
      </c>
      <c r="DC62" s="642" t="e">
        <f>'CANARD STRUCT'!#REF!*2.20462/3.28084</f>
        <v>#REF!</v>
      </c>
      <c r="DD62" s="642" t="e">
        <f>'CANARD STRUCT'!#REF!*3.28084</f>
        <v>#REF!</v>
      </c>
      <c r="DE62" s="642" t="e">
        <f>'CANARD STRUCT'!#REF!*3.28084</f>
        <v>#REF!</v>
      </c>
      <c r="DF62" s="642" t="e">
        <f>'CANARD STRUCT'!#REF!*2.20462*3.28084</f>
        <v>#REF!</v>
      </c>
      <c r="DG62" s="642" t="e">
        <f>'CANARD STRUCT'!#REF!*2.20462*3.28084</f>
        <v>#REF!</v>
      </c>
      <c r="DH62" s="642" t="e">
        <f>'CANARD STRUCT'!#REF!*2.20462/3.28084</f>
        <v>#REF!</v>
      </c>
      <c r="DI62" s="642" t="e">
        <f>'CANARD STRUCT'!#REF!*3.28084</f>
        <v>#REF!</v>
      </c>
      <c r="DJ62" s="642" t="e">
        <f>'CANARD STRUCT'!#REF!*3.28084</f>
        <v>#REF!</v>
      </c>
      <c r="DK62" s="642" t="e">
        <f>'CANARD STRUCT'!#REF!*3.28084</f>
        <v>#REF!</v>
      </c>
      <c r="DL62" s="642" t="e">
        <f>'CANARD STRUCT'!#REF!*3.28084</f>
        <v>#REF!</v>
      </c>
      <c r="DM62" s="642" t="e">
        <f>'CANARD STRUCT'!#REF!*3.28084</f>
        <v>#REF!</v>
      </c>
      <c r="DN62" s="642" t="e">
        <f>'CANARD STRUCT'!#REF!*3.28084</f>
        <v>#REF!</v>
      </c>
      <c r="DO62" s="642" t="e">
        <f>'CANARD STRUCT'!#REF!</f>
        <v>#REF!</v>
      </c>
      <c r="DP62" s="642" t="e">
        <f>'CANARD STRUCT'!#REF!</f>
        <v>#REF!</v>
      </c>
      <c r="DQ62" s="642" t="e">
        <f>'CANARD STRUCT'!#REF!*3.28084</f>
        <v>#REF!</v>
      </c>
      <c r="DR62" s="642" t="e">
        <f>'CANARD STRUCT'!#REF!*3.28084</f>
        <v>#REF!</v>
      </c>
      <c r="DS62" s="642" t="e">
        <f>'CANARD STRUCT'!#REF!*3.28084^3</f>
        <v>#REF!</v>
      </c>
      <c r="DT62" s="642" t="e">
        <f>'CANARD STRUCT'!#REF!*3.28084</f>
        <v>#REF!</v>
      </c>
      <c r="DU62" s="642" t="e">
        <f>'CANARD STRUCT'!#REF!</f>
        <v>#REF!</v>
      </c>
      <c r="DV62" s="642" t="e">
        <f>'CANARD STRUCT'!#REF!</f>
        <v>#REF!</v>
      </c>
      <c r="DW62" s="642" t="e">
        <f>'CANARD STRUCT'!#REF!*3.28084</f>
        <v>#REF!</v>
      </c>
      <c r="DX62" s="642" t="e">
        <f>'CANARD STRUCT'!#REF!</f>
        <v>#REF!</v>
      </c>
      <c r="DY62" s="642" t="e">
        <f>'CANARD STRUCT'!#REF!</f>
        <v>#REF!</v>
      </c>
      <c r="DZ62" s="642" t="e">
        <f>'CANARD STRUCT'!#REF!</f>
        <v>#REF!</v>
      </c>
      <c r="EA62" s="642" t="e">
        <f>'CANARD STRUCT'!#REF!</f>
        <v>#REF!</v>
      </c>
      <c r="EB62" s="642" t="e">
        <f>'CANARD STRUCT'!#REF!</f>
        <v>#REF!</v>
      </c>
      <c r="EC62" s="641" t="e">
        <f>'CANARD STRUCT'!#REF!</f>
        <v>#REF!</v>
      </c>
    </row>
    <row r="63" spans="1:219" x14ac:dyDescent="0.25">
      <c r="A63" t="s">
        <v>900</v>
      </c>
      <c r="B63" s="663">
        <v>6.2759999999999998</v>
      </c>
      <c r="C63" s="664">
        <v>1.56</v>
      </c>
      <c r="D63" s="664">
        <v>0</v>
      </c>
      <c r="E63" s="669" t="e">
        <f>'CANARD STRUCT'!#REF!* 3.28084</f>
        <v>#REF!</v>
      </c>
      <c r="F63" s="669" t="e">
        <f>'CANARD STRUCT'!#REF!* 3.28084</f>
        <v>#REF!</v>
      </c>
      <c r="G63" s="669" t="e">
        <f>'CANARD STRUCT'!#REF!* 3.28084</f>
        <v>#REF!</v>
      </c>
      <c r="H63" s="670" t="e">
        <f>'CANARD STRUCT'!#REF!*2.20462</f>
        <v>#REF!</v>
      </c>
      <c r="I63" s="667">
        <v>7</v>
      </c>
      <c r="J63" s="204" t="e">
        <f t="shared" si="0"/>
        <v>#REF!</v>
      </c>
      <c r="K63" s="661" t="s">
        <v>940</v>
      </c>
      <c r="L63" s="621"/>
      <c r="M63" s="621"/>
      <c r="N63" s="622"/>
      <c r="O63" s="623"/>
      <c r="P63" s="580"/>
      <c r="AU63" s="594"/>
      <c r="AV63" s="574">
        <f ca="1">100*(AX63-$AX$50)/(MAX($AX$50:INDEX(($AX$50:$AX$150),$F$35+1,1))-MIN($AX$50:INDEX(($AX$50:$AX$150),$F$35+1,1)))</f>
        <v>61</v>
      </c>
      <c r="AW63" s="659">
        <f ca="1">OFFSET('Trapezoidal Wing Summary'!C$45,((ROW('Trapezoidal Wing Summary'!$A58)-ROW('Trapezoidal Wing Summary'!$A$45))*100/$F$35),0)+$F$15</f>
        <v>10.559755587255999</v>
      </c>
      <c r="AX63" s="659">
        <f ca="1">OFFSET('Trapezoidal Wing Summary'!D$45,((ROW('Trapezoidal Wing Summary'!$A58)-ROW('Trapezoidal Wing Summary'!$A$45))*100/$F$35),0)+$F$16</f>
        <v>6.0039372000000002</v>
      </c>
      <c r="AY63" s="659">
        <f ca="1">OFFSET('Trapezoidal Wing Summary'!E$45,((ROW('Trapezoidal Wing Summary'!$A58)-ROW('Trapezoidal Wing Summary'!$A$45))*100/$F$35),0)+$F$17</f>
        <v>12.850247130368</v>
      </c>
      <c r="AZ63" s="41">
        <f ca="1">OFFSET('Trapezoidal Wing Summary'!F$45,((ROW('Trapezoidal Wing Summary'!$A58)-ROW('Trapezoidal Wing Summary'!$A$45))*100/$F$35),0)</f>
        <v>0</v>
      </c>
      <c r="BA63" s="41">
        <f ca="1">OFFSET('Trapezoidal Wing Summary'!G$45,((ROW('Trapezoidal Wing Summary'!$A58)-ROW('Trapezoidal Wing Summary'!$A$45))*100/$F$35),0)</f>
        <v>22789.772118683246</v>
      </c>
      <c r="BB63" s="41">
        <f ca="1">OFFSET('Trapezoidal Wing Summary'!H$45,((ROW('Trapezoidal Wing Summary'!$A58)-ROW('Trapezoidal Wing Summary'!$A$45))*100/$F$35),0)</f>
        <v>20596.590336251695</v>
      </c>
      <c r="BC63" s="41">
        <f ca="1">OFFSET('Trapezoidal Wing Summary'!I$45,((ROW('Trapezoidal Wing Summary'!$A58)-ROW('Trapezoidal Wing Summary'!$A$45))*100/$F$35),0)</f>
        <v>0</v>
      </c>
      <c r="BD63" s="41">
        <f ca="1">OFFSET('Trapezoidal Wing Summary'!J$45,((ROW('Trapezoidal Wing Summary'!$A58)-ROW('Trapezoidal Wing Summary'!$A$45))*100/$F$35),0)</f>
        <v>0</v>
      </c>
      <c r="BE63" s="41">
        <f ca="1">OFFSET('Trapezoidal Wing Summary'!K$45,((ROW('Trapezoidal Wing Summary'!$A58)-ROW('Trapezoidal Wing Summary'!$A$45))*100/$F$35),0)</f>
        <v>0</v>
      </c>
      <c r="BF63" s="41">
        <f ca="1">OFFSET('Trapezoidal Wing Summary'!L$45,((ROW('Trapezoidal Wing Summary'!$A58)-ROW('Trapezoidal Wing Summary'!$A$45))*100/$F$35),0)</f>
        <v>1439468.6971203787</v>
      </c>
      <c r="BG63" s="41">
        <f ca="1">OFFSET('Trapezoidal Wing Summary'!M$45,((ROW('Trapezoidal Wing Summary'!$A58)-ROW('Trapezoidal Wing Summary'!$A$45))*100/$F$35),0)</f>
        <v>0</v>
      </c>
      <c r="BH63" s="41">
        <f ca="1">OFFSET('Trapezoidal Wing Summary'!N$45,((ROW('Trapezoidal Wing Summary'!$A58)-ROW('Trapezoidal Wing Summary'!$A$45))*100/$F$35),0)</f>
        <v>0</v>
      </c>
      <c r="BI63" s="41">
        <f ca="1">OFFSET('Trapezoidal Wing Summary'!O$45,((ROW('Trapezoidal Wing Summary'!$A58)-ROW('Trapezoidal Wing Summary'!$A$45))*100/$F$35),0)</f>
        <v>0</v>
      </c>
      <c r="BJ63" s="41">
        <f ca="1">OFFSET('Trapezoidal Wing Summary'!P$45,((ROW('Trapezoidal Wing Summary'!$A58)-ROW('Trapezoidal Wing Summary'!$A$45))*100/$F$35),0)</f>
        <v>0</v>
      </c>
      <c r="BK63" s="41">
        <f ca="1">OFFSET('Trapezoidal Wing Summary'!Q$45,((ROW('Trapezoidal Wing Summary'!$A58)-ROW('Trapezoidal Wing Summary'!$A$45))*100/$F$35),0)</f>
        <v>0</v>
      </c>
      <c r="BL63" s="41">
        <f ca="1">OFFSET('Trapezoidal Wing Summary'!R$45,((ROW('Trapezoidal Wing Summary'!$A58)-ROW('Trapezoidal Wing Summary'!$A$45))*100/$F$35),0)</f>
        <v>2.0849098622718669</v>
      </c>
      <c r="BM63" s="41">
        <f ca="1">OFFSET('Trapezoidal Wing Summary'!S$45,((ROW('Trapezoidal Wing Summary'!$A58)-ROW('Trapezoidal Wing Summary'!$A$45))*100/$F$35),0)</f>
        <v>0.33728523321727477</v>
      </c>
      <c r="BN63" s="41">
        <f ca="1">OFFSET('Trapezoidal Wing Summary'!T$45,((ROW('Trapezoidal Wing Summary'!$A58)-ROW('Trapezoidal Wing Summary'!$A$45))*100/$F$35),0)</f>
        <v>0</v>
      </c>
      <c r="BO63" s="41">
        <f ca="1">OFFSET('Trapezoidal Wing Summary'!U$45,((ROW('Trapezoidal Wing Summary'!$A58)-ROW('Trapezoidal Wing Summary'!$A$45))*100/$F$35),0)</f>
        <v>0</v>
      </c>
      <c r="BP63" s="41">
        <f ca="1">OFFSET('Trapezoidal Wing Summary'!V$45,((ROW('Trapezoidal Wing Summary'!$A58)-ROW('Trapezoidal Wing Summary'!$A$45))*100/$F$35),0)</f>
        <v>0</v>
      </c>
      <c r="BQ63" s="41">
        <f ca="1">OFFSET('Trapezoidal Wing Summary'!W$45,((ROW('Trapezoidal Wing Summary'!$A58)-ROW('Trapezoidal Wing Summary'!$A$45))*100/$F$35),0)</f>
        <v>0</v>
      </c>
      <c r="BR63" s="41">
        <f ca="1">OFFSET('Trapezoidal Wing Summary'!X$45,((ROW('Trapezoidal Wing Summary'!$A58)-ROW('Trapezoidal Wing Summary'!$A$45))*100/$F$35),0)</f>
        <v>0</v>
      </c>
      <c r="BS63" s="41">
        <f ca="1">OFFSET('Trapezoidal Wing Summary'!Y$45,((ROW('Trapezoidal Wing Summary'!$A58)-ROW('Trapezoidal Wing Summary'!$A$45))*100/$F$35),0)</f>
        <v>0</v>
      </c>
      <c r="BT63" s="41">
        <f ca="1">OFFSET('Trapezoidal Wing Summary'!Z$45,((ROW('Trapezoidal Wing Summary'!$A58)-ROW('Trapezoidal Wing Summary'!$A$45))*100/$F$35),0)</f>
        <v>0.14451322775430042</v>
      </c>
      <c r="BU63" s="41">
        <f ca="1">OFFSET('Trapezoidal Wing Summary'!AA$45,((ROW('Trapezoidal Wing Summary'!$A58)-ROW('Trapezoidal Wing Summary'!$A$45))*100/$F$35),0)</f>
        <v>0</v>
      </c>
      <c r="BV63" s="41">
        <f ca="1">OFFSET('Trapezoidal Wing Summary'!AB$45,((ROW('Trapezoidal Wing Summary'!$A58)-ROW('Trapezoidal Wing Summary'!$A$45))*100/$F$35),0)</f>
        <v>0</v>
      </c>
      <c r="BW63" s="41">
        <f ca="1">OFFSET('Trapezoidal Wing Summary'!AC$45,((ROW('Trapezoidal Wing Summary'!$A58)-ROW('Trapezoidal Wing Summary'!$A$45))*100/$F$35),0)</f>
        <v>0</v>
      </c>
      <c r="BX63" s="41">
        <f ca="1">OFFSET('Trapezoidal Wing Summary'!AD$45,((ROW('Trapezoidal Wing Summary'!$A58)-ROW('Trapezoidal Wing Summary'!$A$45))*100/$F$35),0)</f>
        <v>2E-3</v>
      </c>
      <c r="BY63" s="41">
        <f ca="1">OFFSET('Trapezoidal Wing Summary'!AE$45,((ROW('Trapezoidal Wing Summary'!$A58)-ROW('Trapezoidal Wing Summary'!$A$45))*100/$F$35),0)</f>
        <v>2E-3</v>
      </c>
      <c r="BZ63" s="41">
        <f ca="1">OFFSET('Trapezoidal Wing Summary'!AF$45,((ROW('Trapezoidal Wing Summary'!$A58)-ROW('Trapezoidal Wing Summary'!$A$45))*100/$F$35),0)</f>
        <v>0</v>
      </c>
      <c r="CA63" s="41">
        <f ca="1">OFFSET('Trapezoidal Wing Summary'!AG$45,((ROW('Trapezoidal Wing Summary'!$A58)-ROW('Trapezoidal Wing Summary'!$A$45))*100/$F$35),0)</f>
        <v>0.13789370519999999</v>
      </c>
      <c r="CB63" s="41">
        <f ca="1">OFFSET('Trapezoidal Wing Summary'!AH$45,((ROW('Trapezoidal Wing Summary'!$A58)-ROW('Trapezoidal Wing Summary'!$A$45))*100/$F$35),0)</f>
        <v>6.1245447773932446E-4</v>
      </c>
      <c r="CC63" s="41">
        <f ca="1">OFFSET('Trapezoidal Wing Summary'!AI$45,((ROW('Trapezoidal Wing Summary'!$A58)-ROW('Trapezoidal Wing Summary'!$A$45))*100/$F$35),0)</f>
        <v>0</v>
      </c>
      <c r="CD63" s="41">
        <f>'REF - ASWING AERO-Imperial'!$R$5</f>
        <v>5.4999999999999997E-3</v>
      </c>
      <c r="CE63" s="41">
        <f>'REF - ASWING AERO-Imperial'!$R$6</f>
        <v>5.4999999999999997E-3</v>
      </c>
      <c r="CF63" s="41">
        <f ca="1">OFFSET('Trapezoidal Wing Summary'!AL$45,((ROW('Trapezoidal Wing Summary'!$A58)-ROW('Trapezoidal Wing Summary'!$A$45))*100/$F$35),0)</f>
        <v>1.53215228</v>
      </c>
      <c r="CG63" s="41">
        <f ca="1">OFFSET('Trapezoidal Wing Summary'!AM$45,((ROW('Trapezoidal Wing Summary'!$A58)-ROW('Trapezoidal Wing Summary'!$A$45))*100/$F$35),0)</f>
        <v>0.25</v>
      </c>
      <c r="CH63" s="41">
        <f ca="1">OFFSET('Trapezoidal Wing Summary'!AN$45,((ROW('Trapezoidal Wing Summary'!$A58)-ROW('Trapezoidal Wing Summary'!$A$45))*100/$F$35),0)</f>
        <v>5.9</v>
      </c>
      <c r="CI63" s="41">
        <f ca="1">OFFSET('Trapezoidal Wing Summary'!AO$45,((ROW('Trapezoidal Wing Summary'!$A58)-ROW('Trapezoidal Wing Summary'!$A$45))*100/$F$35),0)</f>
        <v>-0.15</v>
      </c>
      <c r="CJ63" s="41">
        <f ca="1">OFFSET('Trapezoidal Wing Summary'!AP$45,((ROW('Trapezoidal Wing Summary'!$A58)-ROW('Trapezoidal Wing Summary'!$A$45))*100/$F$35),0)</f>
        <v>2.25</v>
      </c>
      <c r="CK63" s="41">
        <f ca="1">OFFSET('Trapezoidal Wing Summary'!AQ$45,((ROW('Trapezoidal Wing Summary'!$A58)-ROW('Trapezoidal Wing Summary'!$A$45))*100/$F$35),0)</f>
        <v>-1.65</v>
      </c>
      <c r="CL63" s="41">
        <f ca="1">OFFSET('Trapezoidal Wing Summary'!AR$45,((ROW('Trapezoidal Wing Summary'!$A58)-ROW('Trapezoidal Wing Summary'!$A$45))*100/$F$35),0)</f>
        <v>5.9690260418206069</v>
      </c>
      <c r="CM63" s="644" t="e">
        <f>'CANARD STRUCT'!#REF!</f>
        <v>#REF!</v>
      </c>
      <c r="CN63" s="642" t="e">
        <f>'CANARD STRUCT'!#REF!*3.28084</f>
        <v>#REF!</v>
      </c>
      <c r="CO63" s="642" t="e">
        <f>'CANARD STRUCT'!#REF!*3.28084</f>
        <v>#REF!</v>
      </c>
      <c r="CP63" s="642" t="e">
        <f>'CANARD STRUCT'!#REF!*3.28084</f>
        <v>#REF!</v>
      </c>
      <c r="CQ63" s="642" t="e">
        <f>'CANARD STRUCT'!#REF!</f>
        <v>#REF!</v>
      </c>
      <c r="CR63" s="685" t="e">
        <f>'CANARD STRUCT'!#REF!*0.224809*3.28084^2</f>
        <v>#REF!</v>
      </c>
      <c r="CS63" s="685" t="e">
        <f>'CANARD STRUCT'!#REF!*0.224809*3.28084^2</f>
        <v>#REF!</v>
      </c>
      <c r="CT63" s="685" t="e">
        <f>'CANARD STRUCT'!#REF!*0.224809*3.28084^2</f>
        <v>#REF!</v>
      </c>
      <c r="CU63" s="685" t="e">
        <f>'CANARD STRUCT'!#REF!*0.224809*3.28084^2</f>
        <v>#REF!</v>
      </c>
      <c r="CV63" s="685" t="e">
        <f>'CANARD STRUCT'!#REF!*0.224809*3.28084^2</f>
        <v>#REF!</v>
      </c>
      <c r="CW63" s="685" t="e">
        <f>'CANARD STRUCT'!#REF!*0.224809*3.28084^2</f>
        <v>#REF!</v>
      </c>
      <c r="CX63" s="642" t="e">
        <f>'CANARD STRUCT'!#REF!</f>
        <v>#REF!</v>
      </c>
      <c r="CY63" s="642" t="e">
        <f>'CANARD STRUCT'!#REF!*0.224809</f>
        <v>#REF!</v>
      </c>
      <c r="CZ63" s="642" t="e">
        <f>'CANARD STRUCT'!#REF!*0.224809</f>
        <v>#REF!</v>
      </c>
      <c r="DA63" s="642" t="e">
        <f>'CANARD STRUCT'!#REF!*2.20462*3.28084</f>
        <v>#REF!</v>
      </c>
      <c r="DB63" s="642" t="e">
        <f>'CANARD STRUCT'!#REF!*2.20462*3.28084</f>
        <v>#REF!</v>
      </c>
      <c r="DC63" s="642" t="e">
        <f>'CANARD STRUCT'!#REF!*2.20462/3.28084</f>
        <v>#REF!</v>
      </c>
      <c r="DD63" s="642" t="e">
        <f>'CANARD STRUCT'!#REF!*3.28084</f>
        <v>#REF!</v>
      </c>
      <c r="DE63" s="642" t="e">
        <f>'CANARD STRUCT'!#REF!*3.28084</f>
        <v>#REF!</v>
      </c>
      <c r="DF63" s="642" t="e">
        <f>'CANARD STRUCT'!#REF!*2.20462*3.28084</f>
        <v>#REF!</v>
      </c>
      <c r="DG63" s="642" t="e">
        <f>'CANARD STRUCT'!#REF!*2.20462*3.28084</f>
        <v>#REF!</v>
      </c>
      <c r="DH63" s="642" t="e">
        <f>'CANARD STRUCT'!#REF!*2.20462/3.28084</f>
        <v>#REF!</v>
      </c>
      <c r="DI63" s="642" t="e">
        <f>'CANARD STRUCT'!#REF!*3.28084</f>
        <v>#REF!</v>
      </c>
      <c r="DJ63" s="642" t="e">
        <f>'CANARD STRUCT'!#REF!*3.28084</f>
        <v>#REF!</v>
      </c>
      <c r="DK63" s="642" t="e">
        <f>'CANARD STRUCT'!#REF!*3.28084</f>
        <v>#REF!</v>
      </c>
      <c r="DL63" s="642" t="e">
        <f>'CANARD STRUCT'!#REF!*3.28084</f>
        <v>#REF!</v>
      </c>
      <c r="DM63" s="642" t="e">
        <f>'CANARD STRUCT'!#REF!*3.28084</f>
        <v>#REF!</v>
      </c>
      <c r="DN63" s="642" t="e">
        <f>'CANARD STRUCT'!#REF!*3.28084</f>
        <v>#REF!</v>
      </c>
      <c r="DO63" s="642" t="e">
        <f>'CANARD STRUCT'!#REF!</f>
        <v>#REF!</v>
      </c>
      <c r="DP63" s="642" t="e">
        <f>'CANARD STRUCT'!#REF!</f>
        <v>#REF!</v>
      </c>
      <c r="DQ63" s="642" t="e">
        <f>'CANARD STRUCT'!#REF!*3.28084</f>
        <v>#REF!</v>
      </c>
      <c r="DR63" s="642" t="e">
        <f>'CANARD STRUCT'!#REF!*3.28084</f>
        <v>#REF!</v>
      </c>
      <c r="DS63" s="642" t="e">
        <f>'CANARD STRUCT'!#REF!*3.28084^3</f>
        <v>#REF!</v>
      </c>
      <c r="DT63" s="642" t="e">
        <f>'CANARD STRUCT'!#REF!*3.28084</f>
        <v>#REF!</v>
      </c>
      <c r="DU63" s="642" t="e">
        <f>'CANARD STRUCT'!#REF!</f>
        <v>#REF!</v>
      </c>
      <c r="DV63" s="642" t="e">
        <f>'CANARD STRUCT'!#REF!</f>
        <v>#REF!</v>
      </c>
      <c r="DW63" s="642" t="e">
        <f>'CANARD STRUCT'!#REF!*3.28084</f>
        <v>#REF!</v>
      </c>
      <c r="DX63" s="642" t="e">
        <f>'CANARD STRUCT'!#REF!</f>
        <v>#REF!</v>
      </c>
      <c r="DY63" s="642" t="e">
        <f>'CANARD STRUCT'!#REF!</f>
        <v>#REF!</v>
      </c>
      <c r="DZ63" s="642" t="e">
        <f>'CANARD STRUCT'!#REF!</f>
        <v>#REF!</v>
      </c>
      <c r="EA63" s="642" t="e">
        <f>'CANARD STRUCT'!#REF!</f>
        <v>#REF!</v>
      </c>
      <c r="EB63" s="642" t="e">
        <f>'CANARD STRUCT'!#REF!</f>
        <v>#REF!</v>
      </c>
      <c r="EC63" s="641" t="e">
        <f>'CANARD STRUCT'!#REF!</f>
        <v>#REF!</v>
      </c>
    </row>
    <row r="64" spans="1:219" x14ac:dyDescent="0.25">
      <c r="A64" t="s">
        <v>901</v>
      </c>
      <c r="B64" s="663">
        <v>-0.56329999999999991</v>
      </c>
      <c r="C64" s="664">
        <v>-1.46E-2</v>
      </c>
      <c r="D64" s="664">
        <v>-1.629</v>
      </c>
      <c r="E64" s="669" t="e">
        <f>'CANARD STRUCT'!#REF!* 3.28084</f>
        <v>#REF!</v>
      </c>
      <c r="F64" s="669" t="e">
        <f>'CANARD STRUCT'!#REF!* 3.28084</f>
        <v>#REF!</v>
      </c>
      <c r="G64" s="669" t="e">
        <f>'CANARD STRUCT'!#REF!* 3.28084</f>
        <v>#REF!</v>
      </c>
      <c r="H64" s="670" t="e">
        <f>'CANARD STRUCT'!#REF!*2.20462</f>
        <v>#REF!</v>
      </c>
      <c r="I64" s="667">
        <v>1</v>
      </c>
      <c r="J64" s="2">
        <v>0</v>
      </c>
      <c r="K64" s="575"/>
      <c r="O64" s="576"/>
      <c r="P64" s="580"/>
      <c r="AU64" s="594"/>
      <c r="AV64" s="574">
        <f ca="1">100*(AX64-$AX$50)/(MAX($AX$50:INDEX(($AX$50:$AX$150),$F$35+1,1))-MIN($AX$50:INDEX(($AX$50:$AX$150),$F$35+1,1)))</f>
        <v>66.000000000000014</v>
      </c>
      <c r="AW64" s="659">
        <f ca="1">OFFSET('Trapezoidal Wing Summary'!C$45,((ROW('Trapezoidal Wing Summary'!$A59)-ROW('Trapezoidal Wing Summary'!$A$45))*100/$F$35),0)+$F$15</f>
        <v>10.572058737255999</v>
      </c>
      <c r="AX64" s="659">
        <f ca="1">OFFSET('Trapezoidal Wing Summary'!D$45,((ROW('Trapezoidal Wing Summary'!$A59)-ROW('Trapezoidal Wing Summary'!$A$45))*100/$F$35),0)+$F$16</f>
        <v>6.4960632000000009</v>
      </c>
      <c r="AY64" s="659">
        <f ca="1">OFFSET('Trapezoidal Wing Summary'!E$45,((ROW('Trapezoidal Wing Summary'!$A59)-ROW('Trapezoidal Wing Summary'!$A$45))*100/$F$35),0)+$F$17</f>
        <v>12.850247130368</v>
      </c>
      <c r="AZ64" s="41">
        <f ca="1">OFFSET('Trapezoidal Wing Summary'!F$45,((ROW('Trapezoidal Wing Summary'!$A59)-ROW('Trapezoidal Wing Summary'!$A$45))*100/$F$35),0)</f>
        <v>0</v>
      </c>
      <c r="BA64" s="41">
        <f ca="1">OFFSET('Trapezoidal Wing Summary'!G$45,((ROW('Trapezoidal Wing Summary'!$A59)-ROW('Trapezoidal Wing Summary'!$A$45))*100/$F$35),0)</f>
        <v>20871.291030401841</v>
      </c>
      <c r="BB64" s="41">
        <f ca="1">OFFSET('Trapezoidal Wing Summary'!H$45,((ROW('Trapezoidal Wing Summary'!$A59)-ROW('Trapezoidal Wing Summary'!$A$45))*100/$F$35),0)</f>
        <v>19294.718174954105</v>
      </c>
      <c r="BC64" s="41">
        <f ca="1">OFFSET('Trapezoidal Wing Summary'!I$45,((ROW('Trapezoidal Wing Summary'!$A59)-ROW('Trapezoidal Wing Summary'!$A$45))*100/$F$35),0)</f>
        <v>0</v>
      </c>
      <c r="BD64" s="41">
        <f ca="1">OFFSET('Trapezoidal Wing Summary'!J$45,((ROW('Trapezoidal Wing Summary'!$A59)-ROW('Trapezoidal Wing Summary'!$A$45))*100/$F$35),0)</f>
        <v>0</v>
      </c>
      <c r="BE64" s="41">
        <f ca="1">OFFSET('Trapezoidal Wing Summary'!K$45,((ROW('Trapezoidal Wing Summary'!$A59)-ROW('Trapezoidal Wing Summary'!$A$45))*100/$F$35),0)</f>
        <v>0</v>
      </c>
      <c r="BF64" s="41">
        <f ca="1">OFFSET('Trapezoidal Wing Summary'!L$45,((ROW('Trapezoidal Wing Summary'!$A59)-ROW('Trapezoidal Wing Summary'!$A$45))*100/$F$35),0)</f>
        <v>1305169.4142039486</v>
      </c>
      <c r="BG64" s="41">
        <f ca="1">OFFSET('Trapezoidal Wing Summary'!M$45,((ROW('Trapezoidal Wing Summary'!$A59)-ROW('Trapezoidal Wing Summary'!$A$45))*100/$F$35),0)</f>
        <v>0</v>
      </c>
      <c r="BH64" s="41">
        <f ca="1">OFFSET('Trapezoidal Wing Summary'!N$45,((ROW('Trapezoidal Wing Summary'!$A59)-ROW('Trapezoidal Wing Summary'!$A$45))*100/$F$35),0)</f>
        <v>0</v>
      </c>
      <c r="BI64" s="41">
        <f ca="1">OFFSET('Trapezoidal Wing Summary'!O$45,((ROW('Trapezoidal Wing Summary'!$A59)-ROW('Trapezoidal Wing Summary'!$A$45))*100/$F$35),0)</f>
        <v>0</v>
      </c>
      <c r="BJ64" s="41">
        <f ca="1">OFFSET('Trapezoidal Wing Summary'!P$45,((ROW('Trapezoidal Wing Summary'!$A59)-ROW('Trapezoidal Wing Summary'!$A$45))*100/$F$35),0)</f>
        <v>0</v>
      </c>
      <c r="BK64" s="41">
        <f ca="1">OFFSET('Trapezoidal Wing Summary'!Q$45,((ROW('Trapezoidal Wing Summary'!$A59)-ROW('Trapezoidal Wing Summary'!$A$45))*100/$F$35),0)</f>
        <v>0</v>
      </c>
      <c r="BL64" s="41">
        <f ca="1">OFFSET('Trapezoidal Wing Summary'!R$45,((ROW('Trapezoidal Wing Summary'!$A59)-ROW('Trapezoidal Wing Summary'!$A$45))*100/$F$35),0)</f>
        <v>2.0215508492512635</v>
      </c>
      <c r="BM64" s="41">
        <f ca="1">OFFSET('Trapezoidal Wing Summary'!S$45,((ROW('Trapezoidal Wing Summary'!$A59)-ROW('Trapezoidal Wing Summary'!$A$45))*100/$F$35),0)</f>
        <v>0.32583075332548667</v>
      </c>
      <c r="BN64" s="41">
        <f ca="1">OFFSET('Trapezoidal Wing Summary'!T$45,((ROW('Trapezoidal Wing Summary'!$A59)-ROW('Trapezoidal Wing Summary'!$A$45))*100/$F$35),0)</f>
        <v>0</v>
      </c>
      <c r="BO64" s="41">
        <f ca="1">OFFSET('Trapezoidal Wing Summary'!U$45,((ROW('Trapezoidal Wing Summary'!$A59)-ROW('Trapezoidal Wing Summary'!$A$45))*100/$F$35),0)</f>
        <v>0</v>
      </c>
      <c r="BP64" s="41">
        <f ca="1">OFFSET('Trapezoidal Wing Summary'!V$45,((ROW('Trapezoidal Wing Summary'!$A59)-ROW('Trapezoidal Wing Summary'!$A$45))*100/$F$35),0)</f>
        <v>0</v>
      </c>
      <c r="BQ64" s="41">
        <f ca="1">OFFSET('Trapezoidal Wing Summary'!W$45,((ROW('Trapezoidal Wing Summary'!$A59)-ROW('Trapezoidal Wing Summary'!$A$45))*100/$F$35),0)</f>
        <v>0</v>
      </c>
      <c r="BR64" s="41">
        <f ca="1">OFFSET('Trapezoidal Wing Summary'!X$45,((ROW('Trapezoidal Wing Summary'!$A59)-ROW('Trapezoidal Wing Summary'!$A$45))*100/$F$35),0)</f>
        <v>0</v>
      </c>
      <c r="BS64" s="41">
        <f ca="1">OFFSET('Trapezoidal Wing Summary'!Y$45,((ROW('Trapezoidal Wing Summary'!$A59)-ROW('Trapezoidal Wing Summary'!$A$45))*100/$F$35),0)</f>
        <v>0</v>
      </c>
      <c r="BT64" s="41">
        <f ca="1">OFFSET('Trapezoidal Wing Summary'!Z$45,((ROW('Trapezoidal Wing Summary'!$A59)-ROW('Trapezoidal Wing Summary'!$A$45))*100/$F$35),0)</f>
        <v>0.14088376797889479</v>
      </c>
      <c r="BU64" s="41">
        <f ca="1">OFFSET('Trapezoidal Wing Summary'!AA$45,((ROW('Trapezoidal Wing Summary'!$A59)-ROW('Trapezoidal Wing Summary'!$A$45))*100/$F$35),0)</f>
        <v>0</v>
      </c>
      <c r="BV64" s="41">
        <f ca="1">OFFSET('Trapezoidal Wing Summary'!AB$45,((ROW('Trapezoidal Wing Summary'!$A59)-ROW('Trapezoidal Wing Summary'!$A$45))*100/$F$35),0)</f>
        <v>0</v>
      </c>
      <c r="BW64" s="41">
        <f ca="1">OFFSET('Trapezoidal Wing Summary'!AC$45,((ROW('Trapezoidal Wing Summary'!$A59)-ROW('Trapezoidal Wing Summary'!$A$45))*100/$F$35),0)</f>
        <v>0</v>
      </c>
      <c r="BX64" s="41">
        <f ca="1">OFFSET('Trapezoidal Wing Summary'!AD$45,((ROW('Trapezoidal Wing Summary'!$A59)-ROW('Trapezoidal Wing Summary'!$A$45))*100/$F$35),0)</f>
        <v>2E-3</v>
      </c>
      <c r="BY64" s="41">
        <f ca="1">OFFSET('Trapezoidal Wing Summary'!AE$45,((ROW('Trapezoidal Wing Summary'!$A59)-ROW('Trapezoidal Wing Summary'!$A$45))*100/$F$35),0)</f>
        <v>2E-3</v>
      </c>
      <c r="BZ64" s="41">
        <f ca="1">OFFSET('Trapezoidal Wing Summary'!AF$45,((ROW('Trapezoidal Wing Summary'!$A59)-ROW('Trapezoidal Wing Summary'!$A$45))*100/$F$35),0)</f>
        <v>0</v>
      </c>
      <c r="CA64" s="41">
        <f ca="1">OFFSET('Trapezoidal Wing Summary'!AG$45,((ROW('Trapezoidal Wing Summary'!$A59)-ROW('Trapezoidal Wing Summary'!$A$45))*100/$F$35),0)</f>
        <v>0.13346457119999999</v>
      </c>
      <c r="CB64" s="41">
        <f ca="1">OFFSET('Trapezoidal Wing Summary'!AH$45,((ROW('Trapezoidal Wing Summary'!$A59)-ROW('Trapezoidal Wing Summary'!$A$45))*100/$F$35),0)</f>
        <v>5.737423694916065E-4</v>
      </c>
      <c r="CC64" s="41">
        <f ca="1">OFFSET('Trapezoidal Wing Summary'!AI$45,((ROW('Trapezoidal Wing Summary'!$A59)-ROW('Trapezoidal Wing Summary'!$A$45))*100/$F$35),0)</f>
        <v>0</v>
      </c>
      <c r="CD64" s="41">
        <f>'REF - ASWING AERO-Imperial'!$R$5</f>
        <v>5.4999999999999997E-3</v>
      </c>
      <c r="CE64" s="41">
        <f>'REF - ASWING AERO-Imperial'!$R$6</f>
        <v>5.4999999999999997E-3</v>
      </c>
      <c r="CF64" s="41">
        <f ca="1">OFFSET('Trapezoidal Wing Summary'!AL$45,((ROW('Trapezoidal Wing Summary'!$A59)-ROW('Trapezoidal Wing Summary'!$A$45))*100/$F$35),0)</f>
        <v>1.4829396799999999</v>
      </c>
      <c r="CG64" s="41">
        <f ca="1">OFFSET('Trapezoidal Wing Summary'!AM$45,((ROW('Trapezoidal Wing Summary'!$A59)-ROW('Trapezoidal Wing Summary'!$A$45))*100/$F$35),0)</f>
        <v>0.25</v>
      </c>
      <c r="CH64" s="41">
        <f ca="1">OFFSET('Trapezoidal Wing Summary'!AN$45,((ROW('Trapezoidal Wing Summary'!$A59)-ROW('Trapezoidal Wing Summary'!$A$45))*100/$F$35),0)</f>
        <v>5.9</v>
      </c>
      <c r="CI64" s="41">
        <f ca="1">OFFSET('Trapezoidal Wing Summary'!AO$45,((ROW('Trapezoidal Wing Summary'!$A59)-ROW('Trapezoidal Wing Summary'!$A$45))*100/$F$35),0)</f>
        <v>-0.15</v>
      </c>
      <c r="CJ64" s="41">
        <f ca="1">OFFSET('Trapezoidal Wing Summary'!AP$45,((ROW('Trapezoidal Wing Summary'!$A59)-ROW('Trapezoidal Wing Summary'!$A$45))*100/$F$35),0)</f>
        <v>2.25</v>
      </c>
      <c r="CK64" s="41">
        <f ca="1">OFFSET('Trapezoidal Wing Summary'!AQ$45,((ROW('Trapezoidal Wing Summary'!$A59)-ROW('Trapezoidal Wing Summary'!$A$45))*100/$F$35),0)</f>
        <v>-1.65</v>
      </c>
      <c r="CL64" s="41">
        <f ca="1">OFFSET('Trapezoidal Wing Summary'!AR$45,((ROW('Trapezoidal Wing Summary'!$A59)-ROW('Trapezoidal Wing Summary'!$A$45))*100/$F$35),0)</f>
        <v>5.9690260418206069</v>
      </c>
      <c r="CM64" s="644" t="e">
        <f>'CANARD STRUCT'!#REF!</f>
        <v>#REF!</v>
      </c>
      <c r="CN64" s="642" t="e">
        <f>'CANARD STRUCT'!#REF!*3.28084</f>
        <v>#REF!</v>
      </c>
      <c r="CO64" s="642" t="e">
        <f>'CANARD STRUCT'!#REF!*3.28084</f>
        <v>#REF!</v>
      </c>
      <c r="CP64" s="642" t="e">
        <f>'CANARD STRUCT'!#REF!*3.28084</f>
        <v>#REF!</v>
      </c>
      <c r="CQ64" s="642" t="e">
        <f>'CANARD STRUCT'!#REF!</f>
        <v>#REF!</v>
      </c>
      <c r="CR64" s="685" t="e">
        <f>'CANARD STRUCT'!#REF!*0.224809*3.28084^2</f>
        <v>#REF!</v>
      </c>
      <c r="CS64" s="685" t="e">
        <f>'CANARD STRUCT'!#REF!*0.224809*3.28084^2</f>
        <v>#REF!</v>
      </c>
      <c r="CT64" s="685" t="e">
        <f>'CANARD STRUCT'!#REF!*0.224809*3.28084^2</f>
        <v>#REF!</v>
      </c>
      <c r="CU64" s="685" t="e">
        <f>'CANARD STRUCT'!#REF!*0.224809*3.28084^2</f>
        <v>#REF!</v>
      </c>
      <c r="CV64" s="685" t="e">
        <f>'CANARD STRUCT'!#REF!*0.224809*3.28084^2</f>
        <v>#REF!</v>
      </c>
      <c r="CW64" s="685" t="e">
        <f>'CANARD STRUCT'!#REF!*0.224809*3.28084^2</f>
        <v>#REF!</v>
      </c>
      <c r="CX64" s="642" t="e">
        <f>'CANARD STRUCT'!#REF!</f>
        <v>#REF!</v>
      </c>
      <c r="CY64" s="642" t="e">
        <f>'CANARD STRUCT'!#REF!*0.224809</f>
        <v>#REF!</v>
      </c>
      <c r="CZ64" s="642" t="e">
        <f>'CANARD STRUCT'!#REF!*0.224809</f>
        <v>#REF!</v>
      </c>
      <c r="DA64" s="642" t="e">
        <f>'CANARD STRUCT'!#REF!*2.20462*3.28084</f>
        <v>#REF!</v>
      </c>
      <c r="DB64" s="642" t="e">
        <f>'CANARD STRUCT'!#REF!*2.20462*3.28084</f>
        <v>#REF!</v>
      </c>
      <c r="DC64" s="642" t="e">
        <f>'CANARD STRUCT'!#REF!*2.20462/3.28084</f>
        <v>#REF!</v>
      </c>
      <c r="DD64" s="642" t="e">
        <f>'CANARD STRUCT'!#REF!*3.28084</f>
        <v>#REF!</v>
      </c>
      <c r="DE64" s="642" t="e">
        <f>'CANARD STRUCT'!#REF!*3.28084</f>
        <v>#REF!</v>
      </c>
      <c r="DF64" s="642" t="e">
        <f>'CANARD STRUCT'!#REF!*2.20462*3.28084</f>
        <v>#REF!</v>
      </c>
      <c r="DG64" s="642" t="e">
        <f>'CANARD STRUCT'!#REF!*2.20462*3.28084</f>
        <v>#REF!</v>
      </c>
      <c r="DH64" s="642" t="e">
        <f>'CANARD STRUCT'!#REF!*2.20462/3.28084</f>
        <v>#REF!</v>
      </c>
      <c r="DI64" s="642" t="e">
        <f>'CANARD STRUCT'!#REF!*3.28084</f>
        <v>#REF!</v>
      </c>
      <c r="DJ64" s="642" t="e">
        <f>'CANARD STRUCT'!#REF!*3.28084</f>
        <v>#REF!</v>
      </c>
      <c r="DK64" s="642" t="e">
        <f>'CANARD STRUCT'!#REF!*3.28084</f>
        <v>#REF!</v>
      </c>
      <c r="DL64" s="642" t="e">
        <f>'CANARD STRUCT'!#REF!*3.28084</f>
        <v>#REF!</v>
      </c>
      <c r="DM64" s="642" t="e">
        <f>'CANARD STRUCT'!#REF!*3.28084</f>
        <v>#REF!</v>
      </c>
      <c r="DN64" s="642" t="e">
        <f>'CANARD STRUCT'!#REF!*3.28084</f>
        <v>#REF!</v>
      </c>
      <c r="DO64" s="642" t="e">
        <f>'CANARD STRUCT'!#REF!</f>
        <v>#REF!</v>
      </c>
      <c r="DP64" s="642" t="e">
        <f>'CANARD STRUCT'!#REF!</f>
        <v>#REF!</v>
      </c>
      <c r="DQ64" s="642" t="e">
        <f>'CANARD STRUCT'!#REF!*3.28084</f>
        <v>#REF!</v>
      </c>
      <c r="DR64" s="642" t="e">
        <f>'CANARD STRUCT'!#REF!*3.28084</f>
        <v>#REF!</v>
      </c>
      <c r="DS64" s="642" t="e">
        <f>'CANARD STRUCT'!#REF!*3.28084^3</f>
        <v>#REF!</v>
      </c>
      <c r="DT64" s="642" t="e">
        <f>'CANARD STRUCT'!#REF!*3.28084</f>
        <v>#REF!</v>
      </c>
      <c r="DU64" s="642" t="e">
        <f>'CANARD STRUCT'!#REF!</f>
        <v>#REF!</v>
      </c>
      <c r="DV64" s="642" t="e">
        <f>'CANARD STRUCT'!#REF!</f>
        <v>#REF!</v>
      </c>
      <c r="DW64" s="642" t="e">
        <f>'CANARD STRUCT'!#REF!*3.28084</f>
        <v>#REF!</v>
      </c>
      <c r="DX64" s="642" t="e">
        <f>'CANARD STRUCT'!#REF!</f>
        <v>#REF!</v>
      </c>
      <c r="DY64" s="642" t="e">
        <f>'CANARD STRUCT'!#REF!</f>
        <v>#REF!</v>
      </c>
      <c r="DZ64" s="642" t="e">
        <f>'CANARD STRUCT'!#REF!</f>
        <v>#REF!</v>
      </c>
      <c r="EA64" s="642" t="e">
        <f>'CANARD STRUCT'!#REF!</f>
        <v>#REF!</v>
      </c>
      <c r="EB64" s="642" t="e">
        <f>'CANARD STRUCT'!#REF!</f>
        <v>#REF!</v>
      </c>
      <c r="EC64" s="641" t="e">
        <f>'CANARD STRUCT'!#REF!</f>
        <v>#REF!</v>
      </c>
    </row>
    <row r="65" spans="1:133" x14ac:dyDescent="0.25">
      <c r="A65" t="s">
        <v>902</v>
      </c>
      <c r="B65" s="663">
        <v>-0.15114</v>
      </c>
      <c r="C65" s="664">
        <v>-1.46E-2</v>
      </c>
      <c r="D65" s="664">
        <v>-1.629</v>
      </c>
      <c r="E65" s="669" t="e">
        <f>'CANARD STRUCT'!#REF!* 3.28084</f>
        <v>#REF!</v>
      </c>
      <c r="F65" s="669" t="e">
        <f>'CANARD STRUCT'!#REF!* 3.28084</f>
        <v>#REF!</v>
      </c>
      <c r="G65" s="669" t="e">
        <f>'CANARD STRUCT'!#REF!* 3.28084</f>
        <v>#REF!</v>
      </c>
      <c r="H65" s="670" t="e">
        <f>'CANARD STRUCT'!#REF!*2.20462</f>
        <v>#REF!</v>
      </c>
      <c r="I65" s="667">
        <v>1</v>
      </c>
      <c r="J65" s="2">
        <v>0</v>
      </c>
      <c r="K65" s="624" t="s">
        <v>941</v>
      </c>
      <c r="L65" s="4" t="s">
        <v>0</v>
      </c>
      <c r="O65" s="576"/>
      <c r="P65" s="580"/>
      <c r="AU65" s="594"/>
      <c r="AV65" s="574">
        <f ca="1">100*(AX65-$AX$50)/(MAX($AX$50:INDEX(($AX$50:$AX$150),$F$35+1,1))-MIN($AX$50:INDEX(($AX$50:$AX$150),$F$35+1,1)))</f>
        <v>70.999999999999986</v>
      </c>
      <c r="AW65" s="659">
        <f ca="1">OFFSET('Trapezoidal Wing Summary'!C$45,((ROW('Trapezoidal Wing Summary'!$A60)-ROW('Trapezoidal Wing Summary'!$A$45))*100/$F$35),0)+$F$15</f>
        <v>10.584361887256</v>
      </c>
      <c r="AX65" s="659">
        <f ca="1">OFFSET('Trapezoidal Wing Summary'!D$45,((ROW('Trapezoidal Wing Summary'!$A60)-ROW('Trapezoidal Wing Summary'!$A$45))*100/$F$35),0)+$F$16</f>
        <v>6.9881891999999999</v>
      </c>
      <c r="AY65" s="659">
        <f ca="1">OFFSET('Trapezoidal Wing Summary'!E$45,((ROW('Trapezoidal Wing Summary'!$A60)-ROW('Trapezoidal Wing Summary'!$A$45))*100/$F$35),0)+$F$17</f>
        <v>12.850247130368</v>
      </c>
      <c r="AZ65" s="41">
        <f ca="1">OFFSET('Trapezoidal Wing Summary'!F$45,((ROW('Trapezoidal Wing Summary'!$A60)-ROW('Trapezoidal Wing Summary'!$A$45))*100/$F$35),0)</f>
        <v>0</v>
      </c>
      <c r="BA65" s="41">
        <f ca="1">OFFSET('Trapezoidal Wing Summary'!G$45,((ROW('Trapezoidal Wing Summary'!$A60)-ROW('Trapezoidal Wing Summary'!$A$45))*100/$F$35),0)</f>
        <v>11201.562090327037</v>
      </c>
      <c r="BB65" s="41">
        <f ca="1">OFFSET('Trapezoidal Wing Summary'!H$45,((ROW('Trapezoidal Wing Summary'!$A60)-ROW('Trapezoidal Wing Summary'!$A$45))*100/$F$35),0)</f>
        <v>10186.784731993661</v>
      </c>
      <c r="BC65" s="41">
        <f ca="1">OFFSET('Trapezoidal Wing Summary'!I$45,((ROW('Trapezoidal Wing Summary'!$A60)-ROW('Trapezoidal Wing Summary'!$A$45))*100/$F$35),0)</f>
        <v>0</v>
      </c>
      <c r="BD65" s="41">
        <f ca="1">OFFSET('Trapezoidal Wing Summary'!J$45,((ROW('Trapezoidal Wing Summary'!$A60)-ROW('Trapezoidal Wing Summary'!$A$45))*100/$F$35),0)</f>
        <v>0</v>
      </c>
      <c r="BE65" s="41">
        <f ca="1">OFFSET('Trapezoidal Wing Summary'!K$45,((ROW('Trapezoidal Wing Summary'!$A60)-ROW('Trapezoidal Wing Summary'!$A$45))*100/$F$35),0)</f>
        <v>0</v>
      </c>
      <c r="BF65" s="41">
        <f ca="1">OFFSET('Trapezoidal Wing Summary'!L$45,((ROW('Trapezoidal Wing Summary'!$A60)-ROW('Trapezoidal Wing Summary'!$A$45))*100/$F$35),0)</f>
        <v>1179494.4299266811</v>
      </c>
      <c r="BG65" s="41">
        <f ca="1">OFFSET('Trapezoidal Wing Summary'!M$45,((ROW('Trapezoidal Wing Summary'!$A60)-ROW('Trapezoidal Wing Summary'!$A$45))*100/$F$35),0)</f>
        <v>0</v>
      </c>
      <c r="BH65" s="41">
        <f ca="1">OFFSET('Trapezoidal Wing Summary'!N$45,((ROW('Trapezoidal Wing Summary'!$A60)-ROW('Trapezoidal Wing Summary'!$A$45))*100/$F$35),0)</f>
        <v>0</v>
      </c>
      <c r="BI65" s="41">
        <f ca="1">OFFSET('Trapezoidal Wing Summary'!O$45,((ROW('Trapezoidal Wing Summary'!$A60)-ROW('Trapezoidal Wing Summary'!$A$45))*100/$F$35),0)</f>
        <v>0</v>
      </c>
      <c r="BJ65" s="41">
        <f ca="1">OFFSET('Trapezoidal Wing Summary'!P$45,((ROW('Trapezoidal Wing Summary'!$A60)-ROW('Trapezoidal Wing Summary'!$A$45))*100/$F$35),0)</f>
        <v>0</v>
      </c>
      <c r="BK65" s="41">
        <f ca="1">OFFSET('Trapezoidal Wing Summary'!Q$45,((ROW('Trapezoidal Wing Summary'!$A60)-ROW('Trapezoidal Wing Summary'!$A$45))*100/$F$35),0)</f>
        <v>0</v>
      </c>
      <c r="BL65" s="41">
        <f ca="1">OFFSET('Trapezoidal Wing Summary'!R$45,((ROW('Trapezoidal Wing Summary'!$A60)-ROW('Trapezoidal Wing Summary'!$A$45))*100/$F$35),0)</f>
        <v>1.9110833400429461</v>
      </c>
      <c r="BM65" s="41">
        <f ca="1">OFFSET('Trapezoidal Wing Summary'!S$45,((ROW('Trapezoidal Wing Summary'!$A60)-ROW('Trapezoidal Wing Summary'!$A$45))*100/$F$35),0)</f>
        <v>0.32204727201404582</v>
      </c>
      <c r="BN65" s="41">
        <f ca="1">OFFSET('Trapezoidal Wing Summary'!T$45,((ROW('Trapezoidal Wing Summary'!$A60)-ROW('Trapezoidal Wing Summary'!$A$45))*100/$F$35),0)</f>
        <v>0</v>
      </c>
      <c r="BO65" s="41">
        <f ca="1">OFFSET('Trapezoidal Wing Summary'!U$45,((ROW('Trapezoidal Wing Summary'!$A60)-ROW('Trapezoidal Wing Summary'!$A$45))*100/$F$35),0)</f>
        <v>0</v>
      </c>
      <c r="BP65" s="41">
        <f ca="1">OFFSET('Trapezoidal Wing Summary'!V$45,((ROW('Trapezoidal Wing Summary'!$A60)-ROW('Trapezoidal Wing Summary'!$A$45))*100/$F$35),0)</f>
        <v>0</v>
      </c>
      <c r="BQ65" s="41">
        <f ca="1">OFFSET('Trapezoidal Wing Summary'!W$45,((ROW('Trapezoidal Wing Summary'!$A60)-ROW('Trapezoidal Wing Summary'!$A$45))*100/$F$35),0)</f>
        <v>0</v>
      </c>
      <c r="BR65" s="41">
        <f ca="1">OFFSET('Trapezoidal Wing Summary'!X$45,((ROW('Trapezoidal Wing Summary'!$A60)-ROW('Trapezoidal Wing Summary'!$A$45))*100/$F$35),0)</f>
        <v>0</v>
      </c>
      <c r="BS65" s="41">
        <f ca="1">OFFSET('Trapezoidal Wing Summary'!Y$45,((ROW('Trapezoidal Wing Summary'!$A60)-ROW('Trapezoidal Wing Summary'!$A$45))*100/$F$35),0)</f>
        <v>0</v>
      </c>
      <c r="BT65" s="41">
        <f ca="1">OFFSET('Trapezoidal Wing Summary'!Z$45,((ROW('Trapezoidal Wing Summary'!$A60)-ROW('Trapezoidal Wing Summary'!$A$45))*100/$F$35),0)</f>
        <v>0.13729463886943288</v>
      </c>
      <c r="BU65" s="41">
        <f ca="1">OFFSET('Trapezoidal Wing Summary'!AA$45,((ROW('Trapezoidal Wing Summary'!$A60)-ROW('Trapezoidal Wing Summary'!$A$45))*100/$F$35),0)</f>
        <v>0</v>
      </c>
      <c r="BV65" s="41">
        <f ca="1">OFFSET('Trapezoidal Wing Summary'!AB$45,((ROW('Trapezoidal Wing Summary'!$A60)-ROW('Trapezoidal Wing Summary'!$A$45))*100/$F$35),0)</f>
        <v>0</v>
      </c>
      <c r="BW65" s="41">
        <f ca="1">OFFSET('Trapezoidal Wing Summary'!AC$45,((ROW('Trapezoidal Wing Summary'!$A60)-ROW('Trapezoidal Wing Summary'!$A$45))*100/$F$35),0)</f>
        <v>0</v>
      </c>
      <c r="BX65" s="41">
        <f ca="1">OFFSET('Trapezoidal Wing Summary'!AD$45,((ROW('Trapezoidal Wing Summary'!$A60)-ROW('Trapezoidal Wing Summary'!$A$45))*100/$F$35),0)</f>
        <v>2E-3</v>
      </c>
      <c r="BY65" s="41">
        <f ca="1">OFFSET('Trapezoidal Wing Summary'!AE$45,((ROW('Trapezoidal Wing Summary'!$A60)-ROW('Trapezoidal Wing Summary'!$A$45))*100/$F$35),0)</f>
        <v>2E-3</v>
      </c>
      <c r="BZ65" s="41">
        <f ca="1">OFFSET('Trapezoidal Wing Summary'!AF$45,((ROW('Trapezoidal Wing Summary'!$A60)-ROW('Trapezoidal Wing Summary'!$A$45))*100/$F$35),0)</f>
        <v>0</v>
      </c>
      <c r="CA65" s="41">
        <f ca="1">OFFSET('Trapezoidal Wing Summary'!AG$45,((ROW('Trapezoidal Wing Summary'!$A60)-ROW('Trapezoidal Wing Summary'!$A$45))*100/$F$35),0)</f>
        <v>0.12903543719999999</v>
      </c>
      <c r="CB65" s="41">
        <f ca="1">OFFSET('Trapezoidal Wing Summary'!AH$45,((ROW('Trapezoidal Wing Summary'!$A60)-ROW('Trapezoidal Wing Summary'!$A$45))*100/$F$35),0)</f>
        <v>5.3629398621389004E-4</v>
      </c>
      <c r="CC65" s="41">
        <f ca="1">OFFSET('Trapezoidal Wing Summary'!AI$45,((ROW('Trapezoidal Wing Summary'!$A60)-ROW('Trapezoidal Wing Summary'!$A$45))*100/$F$35),0)</f>
        <v>0</v>
      </c>
      <c r="CD65" s="41">
        <f>'REF - ASWING AERO-Imperial'!$R$5</f>
        <v>5.4999999999999997E-3</v>
      </c>
      <c r="CE65" s="41">
        <f>'REF - ASWING AERO-Imperial'!$R$6</f>
        <v>5.4999999999999997E-3</v>
      </c>
      <c r="CF65" s="41">
        <f ca="1">OFFSET('Trapezoidal Wing Summary'!AL$45,((ROW('Trapezoidal Wing Summary'!$A60)-ROW('Trapezoidal Wing Summary'!$A$45))*100/$F$35),0)</f>
        <v>1.4337270799999999</v>
      </c>
      <c r="CG65" s="41">
        <f ca="1">OFFSET('Trapezoidal Wing Summary'!AM$45,((ROW('Trapezoidal Wing Summary'!$A60)-ROW('Trapezoidal Wing Summary'!$A$45))*100/$F$35),0)</f>
        <v>0.25</v>
      </c>
      <c r="CH65" s="41">
        <f ca="1">OFFSET('Trapezoidal Wing Summary'!AN$45,((ROW('Trapezoidal Wing Summary'!$A60)-ROW('Trapezoidal Wing Summary'!$A$45))*100/$F$35),0)</f>
        <v>5.9</v>
      </c>
      <c r="CI65" s="41">
        <f ca="1">OFFSET('Trapezoidal Wing Summary'!AO$45,((ROW('Trapezoidal Wing Summary'!$A60)-ROW('Trapezoidal Wing Summary'!$A$45))*100/$F$35),0)</f>
        <v>-0.15</v>
      </c>
      <c r="CJ65" s="41">
        <f ca="1">OFFSET('Trapezoidal Wing Summary'!AP$45,((ROW('Trapezoidal Wing Summary'!$A60)-ROW('Trapezoidal Wing Summary'!$A$45))*100/$F$35),0)</f>
        <v>2.25</v>
      </c>
      <c r="CK65" s="41">
        <f ca="1">OFFSET('Trapezoidal Wing Summary'!AQ$45,((ROW('Trapezoidal Wing Summary'!$A60)-ROW('Trapezoidal Wing Summary'!$A$45))*100/$F$35),0)</f>
        <v>-1.65</v>
      </c>
      <c r="CL65" s="41">
        <f ca="1">OFFSET('Trapezoidal Wing Summary'!AR$45,((ROW('Trapezoidal Wing Summary'!$A60)-ROW('Trapezoidal Wing Summary'!$A$45))*100/$F$35),0)</f>
        <v>5.9690260418206069</v>
      </c>
      <c r="CM65" s="644" t="e">
        <f>'CANARD STRUCT'!#REF!</f>
        <v>#REF!</v>
      </c>
      <c r="CN65" s="642" t="e">
        <f>'CANARD STRUCT'!#REF!*3.28084</f>
        <v>#REF!</v>
      </c>
      <c r="CO65" s="642" t="e">
        <f>'CANARD STRUCT'!#REF!*3.28084</f>
        <v>#REF!</v>
      </c>
      <c r="CP65" s="642" t="e">
        <f>'CANARD STRUCT'!#REF!*3.28084</f>
        <v>#REF!</v>
      </c>
      <c r="CQ65" s="642" t="e">
        <f>'CANARD STRUCT'!#REF!</f>
        <v>#REF!</v>
      </c>
      <c r="CR65" s="685" t="e">
        <f>'CANARD STRUCT'!#REF!*0.224809*3.28084^2</f>
        <v>#REF!</v>
      </c>
      <c r="CS65" s="685" t="e">
        <f>'CANARD STRUCT'!#REF!*0.224809*3.28084^2</f>
        <v>#REF!</v>
      </c>
      <c r="CT65" s="685" t="e">
        <f>'CANARD STRUCT'!#REF!*0.224809*3.28084^2</f>
        <v>#REF!</v>
      </c>
      <c r="CU65" s="685" t="e">
        <f>'CANARD STRUCT'!#REF!*0.224809*3.28084^2</f>
        <v>#REF!</v>
      </c>
      <c r="CV65" s="685" t="e">
        <f>'CANARD STRUCT'!#REF!*0.224809*3.28084^2</f>
        <v>#REF!</v>
      </c>
      <c r="CW65" s="685" t="e">
        <f>'CANARD STRUCT'!#REF!*0.224809*3.28084^2</f>
        <v>#REF!</v>
      </c>
      <c r="CX65" s="642" t="e">
        <f>'CANARD STRUCT'!#REF!</f>
        <v>#REF!</v>
      </c>
      <c r="CY65" s="642" t="e">
        <f>'CANARD STRUCT'!#REF!*0.224809</f>
        <v>#REF!</v>
      </c>
      <c r="CZ65" s="642" t="e">
        <f>'CANARD STRUCT'!#REF!*0.224809</f>
        <v>#REF!</v>
      </c>
      <c r="DA65" s="642" t="e">
        <f>'CANARD STRUCT'!#REF!*2.20462*3.28084</f>
        <v>#REF!</v>
      </c>
      <c r="DB65" s="642" t="e">
        <f>'CANARD STRUCT'!#REF!*2.20462*3.28084</f>
        <v>#REF!</v>
      </c>
      <c r="DC65" s="642" t="e">
        <f>'CANARD STRUCT'!#REF!*2.20462/3.28084</f>
        <v>#REF!</v>
      </c>
      <c r="DD65" s="642" t="e">
        <f>'CANARD STRUCT'!#REF!*3.28084</f>
        <v>#REF!</v>
      </c>
      <c r="DE65" s="642" t="e">
        <f>'CANARD STRUCT'!#REF!*3.28084</f>
        <v>#REF!</v>
      </c>
      <c r="DF65" s="642" t="e">
        <f>'CANARD STRUCT'!#REF!*2.20462*3.28084</f>
        <v>#REF!</v>
      </c>
      <c r="DG65" s="642" t="e">
        <f>'CANARD STRUCT'!#REF!*2.20462*3.28084</f>
        <v>#REF!</v>
      </c>
      <c r="DH65" s="642" t="e">
        <f>'CANARD STRUCT'!#REF!*2.20462/3.28084</f>
        <v>#REF!</v>
      </c>
      <c r="DI65" s="642" t="e">
        <f>'CANARD STRUCT'!#REF!*3.28084</f>
        <v>#REF!</v>
      </c>
      <c r="DJ65" s="642" t="e">
        <f>'CANARD STRUCT'!#REF!*3.28084</f>
        <v>#REF!</v>
      </c>
      <c r="DK65" s="642" t="e">
        <f>'CANARD STRUCT'!#REF!*3.28084</f>
        <v>#REF!</v>
      </c>
      <c r="DL65" s="642" t="e">
        <f>'CANARD STRUCT'!#REF!*3.28084</f>
        <v>#REF!</v>
      </c>
      <c r="DM65" s="642" t="e">
        <f>'CANARD STRUCT'!#REF!*3.28084</f>
        <v>#REF!</v>
      </c>
      <c r="DN65" s="642" t="e">
        <f>'CANARD STRUCT'!#REF!*3.28084</f>
        <v>#REF!</v>
      </c>
      <c r="DO65" s="642" t="e">
        <f>'CANARD STRUCT'!#REF!</f>
        <v>#REF!</v>
      </c>
      <c r="DP65" s="642" t="e">
        <f>'CANARD STRUCT'!#REF!</f>
        <v>#REF!</v>
      </c>
      <c r="DQ65" s="642" t="e">
        <f>'CANARD STRUCT'!#REF!*3.28084</f>
        <v>#REF!</v>
      </c>
      <c r="DR65" s="642" t="e">
        <f>'CANARD STRUCT'!#REF!*3.28084</f>
        <v>#REF!</v>
      </c>
      <c r="DS65" s="642" t="e">
        <f>'CANARD STRUCT'!#REF!*3.28084^3</f>
        <v>#REF!</v>
      </c>
      <c r="DT65" s="642" t="e">
        <f>'CANARD STRUCT'!#REF!*3.28084</f>
        <v>#REF!</v>
      </c>
      <c r="DU65" s="642" t="e">
        <f>'CANARD STRUCT'!#REF!</f>
        <v>#REF!</v>
      </c>
      <c r="DV65" s="642" t="e">
        <f>'CANARD STRUCT'!#REF!</f>
        <v>#REF!</v>
      </c>
      <c r="DW65" s="642" t="e">
        <f>'CANARD STRUCT'!#REF!*3.28084</f>
        <v>#REF!</v>
      </c>
      <c r="DX65" s="642" t="e">
        <f>'CANARD STRUCT'!#REF!</f>
        <v>#REF!</v>
      </c>
      <c r="DY65" s="642" t="e">
        <f>'CANARD STRUCT'!#REF!</f>
        <v>#REF!</v>
      </c>
      <c r="DZ65" s="642" t="e">
        <f>'CANARD STRUCT'!#REF!</f>
        <v>#REF!</v>
      </c>
      <c r="EA65" s="642" t="e">
        <f>'CANARD STRUCT'!#REF!</f>
        <v>#REF!</v>
      </c>
      <c r="EB65" s="642" t="e">
        <f>'CANARD STRUCT'!#REF!</f>
        <v>#REF!</v>
      </c>
      <c r="EC65" s="641" t="e">
        <f>'CANARD STRUCT'!#REF!</f>
        <v>#REF!</v>
      </c>
    </row>
    <row r="66" spans="1:133" x14ac:dyDescent="0.25">
      <c r="A66" t="s">
        <v>903</v>
      </c>
      <c r="B66" s="663">
        <v>0.28704000000000002</v>
      </c>
      <c r="C66" s="664">
        <v>-1.46E-2</v>
      </c>
      <c r="D66" s="664">
        <v>-1.629</v>
      </c>
      <c r="E66" s="669" t="e">
        <f>'CANARD STRUCT'!#REF!* 3.28084</f>
        <v>#REF!</v>
      </c>
      <c r="F66" s="669" t="e">
        <f>'CANARD STRUCT'!#REF!* 3.28084</f>
        <v>#REF!</v>
      </c>
      <c r="G66" s="669" t="e">
        <f>'CANARD STRUCT'!#REF!* 3.28084</f>
        <v>#REF!</v>
      </c>
      <c r="H66" s="670" t="e">
        <f>'CANARD STRUCT'!#REF!*2.20462</f>
        <v>#REF!</v>
      </c>
      <c r="I66" s="667">
        <v>1</v>
      </c>
      <c r="J66" s="2">
        <v>0</v>
      </c>
      <c r="K66" s="620">
        <v>1</v>
      </c>
      <c r="L66" t="s">
        <v>943</v>
      </c>
      <c r="O66" s="576"/>
      <c r="P66" s="580"/>
      <c r="AU66" s="594"/>
      <c r="AV66" s="574">
        <f ca="1">100*(AX66-$AX$50)/(MAX($AX$50:INDEX(($AX$50:$AX$150),$F$35+1,1))-MIN($AX$50:INDEX(($AX$50:$AX$150),$F$35+1,1)))</f>
        <v>76.000000000000014</v>
      </c>
      <c r="AW66" s="659">
        <f ca="1">OFFSET('Trapezoidal Wing Summary'!C$45,((ROW('Trapezoidal Wing Summary'!$A61)-ROW('Trapezoidal Wing Summary'!$A$45))*100/$F$35),0)+$F$15</f>
        <v>10.596665037255999</v>
      </c>
      <c r="AX66" s="659">
        <f ca="1">OFFSET('Trapezoidal Wing Summary'!D$45,((ROW('Trapezoidal Wing Summary'!$A61)-ROW('Trapezoidal Wing Summary'!$A$45))*100/$F$35),0)+$F$16</f>
        <v>7.4803152000000006</v>
      </c>
      <c r="AY66" s="659">
        <f ca="1">OFFSET('Trapezoidal Wing Summary'!E$45,((ROW('Trapezoidal Wing Summary'!$A61)-ROW('Trapezoidal Wing Summary'!$A$45))*100/$F$35),0)+$F$17</f>
        <v>12.850247130368</v>
      </c>
      <c r="AZ66" s="41">
        <f ca="1">OFFSET('Trapezoidal Wing Summary'!F$45,((ROW('Trapezoidal Wing Summary'!$A61)-ROW('Trapezoidal Wing Summary'!$A$45))*100/$F$35),0)</f>
        <v>0</v>
      </c>
      <c r="BA66" s="41">
        <f ca="1">OFFSET('Trapezoidal Wing Summary'!G$45,((ROW('Trapezoidal Wing Summary'!$A61)-ROW('Trapezoidal Wing Summary'!$A$45))*100/$F$35),0)</f>
        <v>10200.567398562191</v>
      </c>
      <c r="BB66" s="41">
        <f ca="1">OFFSET('Trapezoidal Wing Summary'!H$45,((ROW('Trapezoidal Wing Summary'!$A61)-ROW('Trapezoidal Wing Summary'!$A$45))*100/$F$35),0)</f>
        <v>9499.4652127432109</v>
      </c>
      <c r="BC66" s="41">
        <f ca="1">OFFSET('Trapezoidal Wing Summary'!I$45,((ROW('Trapezoidal Wing Summary'!$A61)-ROW('Trapezoidal Wing Summary'!$A$45))*100/$F$35),0)</f>
        <v>0</v>
      </c>
      <c r="BD66" s="41">
        <f ca="1">OFFSET('Trapezoidal Wing Summary'!J$45,((ROW('Trapezoidal Wing Summary'!$A61)-ROW('Trapezoidal Wing Summary'!$A$45))*100/$F$35),0)</f>
        <v>0</v>
      </c>
      <c r="BE66" s="41">
        <f ca="1">OFFSET('Trapezoidal Wing Summary'!K$45,((ROW('Trapezoidal Wing Summary'!$A61)-ROW('Trapezoidal Wing Summary'!$A$45))*100/$F$35),0)</f>
        <v>0</v>
      </c>
      <c r="BF66" s="41">
        <f ca="1">OFFSET('Trapezoidal Wing Summary'!L$45,((ROW('Trapezoidal Wing Summary'!$A61)-ROW('Trapezoidal Wing Summary'!$A$45))*100/$F$35),0)</f>
        <v>1062157.5396877183</v>
      </c>
      <c r="BG66" s="41">
        <f ca="1">OFFSET('Trapezoidal Wing Summary'!M$45,((ROW('Trapezoidal Wing Summary'!$A61)-ROW('Trapezoidal Wing Summary'!$A$45))*100/$F$35),0)</f>
        <v>0</v>
      </c>
      <c r="BH66" s="41">
        <f ca="1">OFFSET('Trapezoidal Wing Summary'!N$45,((ROW('Trapezoidal Wing Summary'!$A61)-ROW('Trapezoidal Wing Summary'!$A$45))*100/$F$35),0)</f>
        <v>0</v>
      </c>
      <c r="BI66" s="41">
        <f ca="1">OFFSET('Trapezoidal Wing Summary'!O$45,((ROW('Trapezoidal Wing Summary'!$A61)-ROW('Trapezoidal Wing Summary'!$A$45))*100/$F$35),0)</f>
        <v>0</v>
      </c>
      <c r="BJ66" s="41">
        <f ca="1">OFFSET('Trapezoidal Wing Summary'!P$45,((ROW('Trapezoidal Wing Summary'!$A61)-ROW('Trapezoidal Wing Summary'!$A$45))*100/$F$35),0)</f>
        <v>0</v>
      </c>
      <c r="BK66" s="41">
        <f ca="1">OFFSET('Trapezoidal Wing Summary'!Q$45,((ROW('Trapezoidal Wing Summary'!$A61)-ROW('Trapezoidal Wing Summary'!$A$45))*100/$F$35),0)</f>
        <v>0</v>
      </c>
      <c r="BL66" s="41">
        <f ca="1">OFFSET('Trapezoidal Wing Summary'!R$45,((ROW('Trapezoidal Wing Summary'!$A61)-ROW('Trapezoidal Wing Summary'!$A$45))*100/$F$35),0)</f>
        <v>1.8477243270223422</v>
      </c>
      <c r="BM66" s="41">
        <f ca="1">OFFSET('Trapezoidal Wing Summary'!S$45,((ROW('Trapezoidal Wing Summary'!$A61)-ROW('Trapezoidal Wing Summary'!$A$45))*100/$F$35),0)</f>
        <v>0.31057318185556837</v>
      </c>
      <c r="BN66" s="41">
        <f ca="1">OFFSET('Trapezoidal Wing Summary'!T$45,((ROW('Trapezoidal Wing Summary'!$A61)-ROW('Trapezoidal Wing Summary'!$A$45))*100/$F$35),0)</f>
        <v>0</v>
      </c>
      <c r="BO66" s="41">
        <f ca="1">OFFSET('Trapezoidal Wing Summary'!U$45,((ROW('Trapezoidal Wing Summary'!$A61)-ROW('Trapezoidal Wing Summary'!$A$45))*100/$F$35),0)</f>
        <v>0</v>
      </c>
      <c r="BP66" s="41">
        <f ca="1">OFFSET('Trapezoidal Wing Summary'!V$45,((ROW('Trapezoidal Wing Summary'!$A61)-ROW('Trapezoidal Wing Summary'!$A$45))*100/$F$35),0)</f>
        <v>0</v>
      </c>
      <c r="BQ66" s="41">
        <f ca="1">OFFSET('Trapezoidal Wing Summary'!W$45,((ROW('Trapezoidal Wing Summary'!$A61)-ROW('Trapezoidal Wing Summary'!$A$45))*100/$F$35),0)</f>
        <v>0</v>
      </c>
      <c r="BR66" s="41">
        <f ca="1">OFFSET('Trapezoidal Wing Summary'!X$45,((ROW('Trapezoidal Wing Summary'!$A61)-ROW('Trapezoidal Wing Summary'!$A$45))*100/$F$35),0)</f>
        <v>0</v>
      </c>
      <c r="BS66" s="41">
        <f ca="1">OFFSET('Trapezoidal Wing Summary'!Y$45,((ROW('Trapezoidal Wing Summary'!$A61)-ROW('Trapezoidal Wing Summary'!$A$45))*100/$F$35),0)</f>
        <v>0</v>
      </c>
      <c r="BT66" s="41">
        <f ca="1">OFFSET('Trapezoidal Wing Summary'!Z$45,((ROW('Trapezoidal Wing Summary'!$A61)-ROW('Trapezoidal Wing Summary'!$A$45))*100/$F$35),0)</f>
        <v>0.1337449504325236</v>
      </c>
      <c r="BU66" s="41">
        <f ca="1">OFFSET('Trapezoidal Wing Summary'!AA$45,((ROW('Trapezoidal Wing Summary'!$A61)-ROW('Trapezoidal Wing Summary'!$A$45))*100/$F$35),0)</f>
        <v>0</v>
      </c>
      <c r="BV66" s="41">
        <f ca="1">OFFSET('Trapezoidal Wing Summary'!AB$45,((ROW('Trapezoidal Wing Summary'!$A61)-ROW('Trapezoidal Wing Summary'!$A$45))*100/$F$35),0)</f>
        <v>0</v>
      </c>
      <c r="BW66" s="41">
        <f ca="1">OFFSET('Trapezoidal Wing Summary'!AC$45,((ROW('Trapezoidal Wing Summary'!$A61)-ROW('Trapezoidal Wing Summary'!$A$45))*100/$F$35),0)</f>
        <v>0</v>
      </c>
      <c r="BX66" s="41">
        <f ca="1">OFFSET('Trapezoidal Wing Summary'!AD$45,((ROW('Trapezoidal Wing Summary'!$A61)-ROW('Trapezoidal Wing Summary'!$A$45))*100/$F$35),0)</f>
        <v>2E-3</v>
      </c>
      <c r="BY66" s="41">
        <f ca="1">OFFSET('Trapezoidal Wing Summary'!AE$45,((ROW('Trapezoidal Wing Summary'!$A61)-ROW('Trapezoidal Wing Summary'!$A$45))*100/$F$35),0)</f>
        <v>2E-3</v>
      </c>
      <c r="BZ66" s="41">
        <f ca="1">OFFSET('Trapezoidal Wing Summary'!AF$45,((ROW('Trapezoidal Wing Summary'!$A61)-ROW('Trapezoidal Wing Summary'!$A$45))*100/$F$35),0)</f>
        <v>0</v>
      </c>
      <c r="CA66" s="41">
        <f ca="1">OFFSET('Trapezoidal Wing Summary'!AG$45,((ROW('Trapezoidal Wing Summary'!$A61)-ROW('Trapezoidal Wing Summary'!$A$45))*100/$F$35),0)</f>
        <v>0.12460630319999999</v>
      </c>
      <c r="CB66" s="41">
        <f ca="1">OFFSET('Trapezoidal Wing Summary'!AH$45,((ROW('Trapezoidal Wing Summary'!$A61)-ROW('Trapezoidal Wing Summary'!$A$45))*100/$F$35),0)</f>
        <v>5.0010932790617529E-4</v>
      </c>
      <c r="CC66" s="41">
        <f ca="1">OFFSET('Trapezoidal Wing Summary'!AI$45,((ROW('Trapezoidal Wing Summary'!$A61)-ROW('Trapezoidal Wing Summary'!$A$45))*100/$F$35),0)</f>
        <v>0</v>
      </c>
      <c r="CD66" s="41">
        <f>'REF - ASWING AERO-Imperial'!$R$5</f>
        <v>5.4999999999999997E-3</v>
      </c>
      <c r="CE66" s="41">
        <f>'REF - ASWING AERO-Imperial'!$R$6</f>
        <v>5.4999999999999997E-3</v>
      </c>
      <c r="CF66" s="41">
        <f ca="1">OFFSET('Trapezoidal Wing Summary'!AL$45,((ROW('Trapezoidal Wing Summary'!$A61)-ROW('Trapezoidal Wing Summary'!$A$45))*100/$F$35),0)</f>
        <v>1.38451448</v>
      </c>
      <c r="CG66" s="41">
        <f ca="1">OFFSET('Trapezoidal Wing Summary'!AM$45,((ROW('Trapezoidal Wing Summary'!$A61)-ROW('Trapezoidal Wing Summary'!$A$45))*100/$F$35),0)</f>
        <v>0.25</v>
      </c>
      <c r="CH66" s="41">
        <f ca="1">OFFSET('Trapezoidal Wing Summary'!AN$45,((ROW('Trapezoidal Wing Summary'!$A61)-ROW('Trapezoidal Wing Summary'!$A$45))*100/$F$35),0)</f>
        <v>5.9</v>
      </c>
      <c r="CI66" s="41">
        <f ca="1">OFFSET('Trapezoidal Wing Summary'!AO$45,((ROW('Trapezoidal Wing Summary'!$A61)-ROW('Trapezoidal Wing Summary'!$A$45))*100/$F$35),0)</f>
        <v>-0.15</v>
      </c>
      <c r="CJ66" s="41">
        <f ca="1">OFFSET('Trapezoidal Wing Summary'!AP$45,((ROW('Trapezoidal Wing Summary'!$A61)-ROW('Trapezoidal Wing Summary'!$A$45))*100/$F$35),0)</f>
        <v>2.25</v>
      </c>
      <c r="CK66" s="41">
        <f ca="1">OFFSET('Trapezoidal Wing Summary'!AQ$45,((ROW('Trapezoidal Wing Summary'!$A61)-ROW('Trapezoidal Wing Summary'!$A$45))*100/$F$35),0)</f>
        <v>-1.65</v>
      </c>
      <c r="CL66" s="41">
        <f ca="1">OFFSET('Trapezoidal Wing Summary'!AR$45,((ROW('Trapezoidal Wing Summary'!$A61)-ROW('Trapezoidal Wing Summary'!$A$45))*100/$F$35),0)</f>
        <v>5.9690260418206069</v>
      </c>
      <c r="CM66" s="644" t="e">
        <f>'CANARD STRUCT'!#REF!</f>
        <v>#REF!</v>
      </c>
      <c r="CN66" s="642" t="e">
        <f>'CANARD STRUCT'!#REF!*3.28084</f>
        <v>#REF!</v>
      </c>
      <c r="CO66" s="642" t="e">
        <f>'CANARD STRUCT'!#REF!*3.28084</f>
        <v>#REF!</v>
      </c>
      <c r="CP66" s="642" t="e">
        <f>'CANARD STRUCT'!#REF!*3.28084</f>
        <v>#REF!</v>
      </c>
      <c r="CQ66" s="642" t="e">
        <f>'CANARD STRUCT'!#REF!</f>
        <v>#REF!</v>
      </c>
      <c r="CR66" s="685" t="e">
        <f>'CANARD STRUCT'!#REF!*0.224809*3.28084^2</f>
        <v>#REF!</v>
      </c>
      <c r="CS66" s="685" t="e">
        <f>'CANARD STRUCT'!#REF!*0.224809*3.28084^2</f>
        <v>#REF!</v>
      </c>
      <c r="CT66" s="685" t="e">
        <f>'CANARD STRUCT'!#REF!*0.224809*3.28084^2</f>
        <v>#REF!</v>
      </c>
      <c r="CU66" s="685" t="e">
        <f>'CANARD STRUCT'!#REF!*0.224809*3.28084^2</f>
        <v>#REF!</v>
      </c>
      <c r="CV66" s="685" t="e">
        <f>'CANARD STRUCT'!#REF!*0.224809*3.28084^2</f>
        <v>#REF!</v>
      </c>
      <c r="CW66" s="685" t="e">
        <f>'CANARD STRUCT'!#REF!*0.224809*3.28084^2</f>
        <v>#REF!</v>
      </c>
      <c r="CX66" s="642" t="e">
        <f>'CANARD STRUCT'!#REF!</f>
        <v>#REF!</v>
      </c>
      <c r="CY66" s="642" t="e">
        <f>'CANARD STRUCT'!#REF!*0.224809</f>
        <v>#REF!</v>
      </c>
      <c r="CZ66" s="642" t="e">
        <f>'CANARD STRUCT'!#REF!*0.224809</f>
        <v>#REF!</v>
      </c>
      <c r="DA66" s="642" t="e">
        <f>'CANARD STRUCT'!#REF!*2.20462*3.28084</f>
        <v>#REF!</v>
      </c>
      <c r="DB66" s="642" t="e">
        <f>'CANARD STRUCT'!#REF!*2.20462*3.28084</f>
        <v>#REF!</v>
      </c>
      <c r="DC66" s="642" t="e">
        <f>'CANARD STRUCT'!#REF!*2.20462/3.28084</f>
        <v>#REF!</v>
      </c>
      <c r="DD66" s="642" t="e">
        <f>'CANARD STRUCT'!#REF!*3.28084</f>
        <v>#REF!</v>
      </c>
      <c r="DE66" s="642" t="e">
        <f>'CANARD STRUCT'!#REF!*3.28084</f>
        <v>#REF!</v>
      </c>
      <c r="DF66" s="642" t="e">
        <f>'CANARD STRUCT'!#REF!*2.20462*3.28084</f>
        <v>#REF!</v>
      </c>
      <c r="DG66" s="642" t="e">
        <f>'CANARD STRUCT'!#REF!*2.20462*3.28084</f>
        <v>#REF!</v>
      </c>
      <c r="DH66" s="642" t="e">
        <f>'CANARD STRUCT'!#REF!*2.20462/3.28084</f>
        <v>#REF!</v>
      </c>
      <c r="DI66" s="642" t="e">
        <f>'CANARD STRUCT'!#REF!*3.28084</f>
        <v>#REF!</v>
      </c>
      <c r="DJ66" s="642" t="e">
        <f>'CANARD STRUCT'!#REF!*3.28084</f>
        <v>#REF!</v>
      </c>
      <c r="DK66" s="642" t="e">
        <f>'CANARD STRUCT'!#REF!*3.28084</f>
        <v>#REF!</v>
      </c>
      <c r="DL66" s="642" t="e">
        <f>'CANARD STRUCT'!#REF!*3.28084</f>
        <v>#REF!</v>
      </c>
      <c r="DM66" s="642" t="e">
        <f>'CANARD STRUCT'!#REF!*3.28084</f>
        <v>#REF!</v>
      </c>
      <c r="DN66" s="642" t="e">
        <f>'CANARD STRUCT'!#REF!*3.28084</f>
        <v>#REF!</v>
      </c>
      <c r="DO66" s="642" t="e">
        <f>'CANARD STRUCT'!#REF!</f>
        <v>#REF!</v>
      </c>
      <c r="DP66" s="642" t="e">
        <f>'CANARD STRUCT'!#REF!</f>
        <v>#REF!</v>
      </c>
      <c r="DQ66" s="642" t="e">
        <f>'CANARD STRUCT'!#REF!*3.28084</f>
        <v>#REF!</v>
      </c>
      <c r="DR66" s="642" t="e">
        <f>'CANARD STRUCT'!#REF!*3.28084</f>
        <v>#REF!</v>
      </c>
      <c r="DS66" s="642" t="e">
        <f>'CANARD STRUCT'!#REF!*3.28084^3</f>
        <v>#REF!</v>
      </c>
      <c r="DT66" s="642" t="e">
        <f>'CANARD STRUCT'!#REF!*3.28084</f>
        <v>#REF!</v>
      </c>
      <c r="DU66" s="642" t="e">
        <f>'CANARD STRUCT'!#REF!</f>
        <v>#REF!</v>
      </c>
      <c r="DV66" s="642" t="e">
        <f>'CANARD STRUCT'!#REF!</f>
        <v>#REF!</v>
      </c>
      <c r="DW66" s="642" t="e">
        <f>'CANARD STRUCT'!#REF!*3.28084</f>
        <v>#REF!</v>
      </c>
      <c r="DX66" s="642" t="e">
        <f>'CANARD STRUCT'!#REF!</f>
        <v>#REF!</v>
      </c>
      <c r="DY66" s="642" t="e">
        <f>'CANARD STRUCT'!#REF!</f>
        <v>#REF!</v>
      </c>
      <c r="DZ66" s="642" t="e">
        <f>'CANARD STRUCT'!#REF!</f>
        <v>#REF!</v>
      </c>
      <c r="EA66" s="642" t="e">
        <f>'CANARD STRUCT'!#REF!</f>
        <v>#REF!</v>
      </c>
      <c r="EB66" s="642" t="e">
        <f>'CANARD STRUCT'!#REF!</f>
        <v>#REF!</v>
      </c>
      <c r="EC66" s="641" t="e">
        <f>'CANARD STRUCT'!#REF!</f>
        <v>#REF!</v>
      </c>
    </row>
    <row r="67" spans="1:133" x14ac:dyDescent="0.25">
      <c r="A67" t="s">
        <v>904</v>
      </c>
      <c r="B67" s="663">
        <v>0.70022799999999996</v>
      </c>
      <c r="C67" s="664">
        <v>-1.46E-2</v>
      </c>
      <c r="D67" s="664">
        <v>-1.629</v>
      </c>
      <c r="E67" s="669" t="e">
        <f>'CANARD STRUCT'!#REF!* 3.28084</f>
        <v>#REF!</v>
      </c>
      <c r="F67" s="669" t="e">
        <f>'CANARD STRUCT'!#REF!* 3.28084</f>
        <v>#REF!</v>
      </c>
      <c r="G67" s="669" t="e">
        <f>'CANARD STRUCT'!#REF!* 3.28084</f>
        <v>#REF!</v>
      </c>
      <c r="H67" s="670" t="e">
        <f>'CANARD STRUCT'!#REF!*2.20462</f>
        <v>#REF!</v>
      </c>
      <c r="I67" s="667">
        <v>1</v>
      </c>
      <c r="J67" s="2">
        <v>0</v>
      </c>
      <c r="K67" s="620">
        <v>2</v>
      </c>
      <c r="L67" t="s">
        <v>880</v>
      </c>
      <c r="O67" s="576"/>
      <c r="P67" s="580"/>
      <c r="AU67" s="594"/>
      <c r="AV67" s="574">
        <f ca="1">100*(AX67-$AX$50)/(MAX($AX$50:INDEX(($AX$50:$AX$150),$F$35+1,1))-MIN($AX$50:INDEX(($AX$50:$AX$150),$F$35+1,1)))</f>
        <v>80.000000000000014</v>
      </c>
      <c r="AW67" s="659">
        <f ca="1">OFFSET('Trapezoidal Wing Summary'!C$45,((ROW('Trapezoidal Wing Summary'!$A62)-ROW('Trapezoidal Wing Summary'!$A$45))*100/$F$35),0)+$F$15</f>
        <v>10.606507557256</v>
      </c>
      <c r="AX67" s="659">
        <f ca="1">OFFSET('Trapezoidal Wing Summary'!D$45,((ROW('Trapezoidal Wing Summary'!$A62)-ROW('Trapezoidal Wing Summary'!$A$45))*100/$F$35),0)+$F$16</f>
        <v>7.874016000000001</v>
      </c>
      <c r="AY67" s="659">
        <f ca="1">OFFSET('Trapezoidal Wing Summary'!E$45,((ROW('Trapezoidal Wing Summary'!$A62)-ROW('Trapezoidal Wing Summary'!$A$45))*100/$F$35),0)+$F$17</f>
        <v>12.850247130368</v>
      </c>
      <c r="AZ67" s="41">
        <f ca="1">OFFSET('Trapezoidal Wing Summary'!F$45,((ROW('Trapezoidal Wing Summary'!$A62)-ROW('Trapezoidal Wing Summary'!$A$45))*100/$F$35),0)</f>
        <v>0</v>
      </c>
      <c r="BA67" s="41">
        <f ca="1">OFFSET('Trapezoidal Wing Summary'!G$45,((ROW('Trapezoidal Wing Summary'!$A62)-ROW('Trapezoidal Wing Summary'!$A$45))*100/$F$35),0)</f>
        <v>4359.7163672502393</v>
      </c>
      <c r="BB67" s="41">
        <f ca="1">OFFSET('Trapezoidal Wing Summary'!H$45,((ROW('Trapezoidal Wing Summary'!$A62)-ROW('Trapezoidal Wing Summary'!$A$45))*100/$F$35),0)</f>
        <v>3973.6444365904836</v>
      </c>
      <c r="BC67" s="41">
        <f ca="1">OFFSET('Trapezoidal Wing Summary'!I$45,((ROW('Trapezoidal Wing Summary'!$A62)-ROW('Trapezoidal Wing Summary'!$A$45))*100/$F$35),0)</f>
        <v>0</v>
      </c>
      <c r="BD67" s="41">
        <f ca="1">OFFSET('Trapezoidal Wing Summary'!J$45,((ROW('Trapezoidal Wing Summary'!$A62)-ROW('Trapezoidal Wing Summary'!$A$45))*100/$F$35),0)</f>
        <v>0</v>
      </c>
      <c r="BE67" s="41">
        <f ca="1">OFFSET('Trapezoidal Wing Summary'!K$45,((ROW('Trapezoidal Wing Summary'!$A62)-ROW('Trapezoidal Wing Summary'!$A$45))*100/$F$35),0)</f>
        <v>0</v>
      </c>
      <c r="BF67" s="41">
        <f ca="1">OFFSET('Trapezoidal Wing Summary'!L$45,((ROW('Trapezoidal Wing Summary'!$A62)-ROW('Trapezoidal Wing Summary'!$A$45))*100/$F$35),0)</f>
        <v>974099.12571235129</v>
      </c>
      <c r="BG67" s="41">
        <f ca="1">OFFSET('Trapezoidal Wing Summary'!M$45,((ROW('Trapezoidal Wing Summary'!$A62)-ROW('Trapezoidal Wing Summary'!$A$45))*100/$F$35),0)</f>
        <v>0</v>
      </c>
      <c r="BH67" s="41">
        <f ca="1">OFFSET('Trapezoidal Wing Summary'!N$45,((ROW('Trapezoidal Wing Summary'!$A62)-ROW('Trapezoidal Wing Summary'!$A$45))*100/$F$35),0)</f>
        <v>0</v>
      </c>
      <c r="BI67" s="41">
        <f ca="1">OFFSET('Trapezoidal Wing Summary'!O$45,((ROW('Trapezoidal Wing Summary'!$A62)-ROW('Trapezoidal Wing Summary'!$A$45))*100/$F$35),0)</f>
        <v>0</v>
      </c>
      <c r="BJ67" s="41">
        <f ca="1">OFFSET('Trapezoidal Wing Summary'!P$45,((ROW('Trapezoidal Wing Summary'!$A62)-ROW('Trapezoidal Wing Summary'!$A$45))*100/$F$35),0)</f>
        <v>0</v>
      </c>
      <c r="BK67" s="41">
        <f ca="1">OFFSET('Trapezoidal Wing Summary'!Q$45,((ROW('Trapezoidal Wing Summary'!$A62)-ROW('Trapezoidal Wing Summary'!$A$45))*100/$F$35),0)</f>
        <v>0</v>
      </c>
      <c r="BL67" s="41">
        <f ca="1">OFFSET('Trapezoidal Wing Summary'!R$45,((ROW('Trapezoidal Wing Summary'!$A62)-ROW('Trapezoidal Wing Summary'!$A$45))*100/$F$35),0)</f>
        <v>1.7637665218232768</v>
      </c>
      <c r="BM67" s="41">
        <f ca="1">OFFSET('Trapezoidal Wing Summary'!S$45,((ROW('Trapezoidal Wing Summary'!$A62)-ROW('Trapezoidal Wing Summary'!$A$45))*100/$F$35),0)</f>
        <v>0.30702248756971862</v>
      </c>
      <c r="BN67" s="41">
        <f ca="1">OFFSET('Trapezoidal Wing Summary'!T$45,((ROW('Trapezoidal Wing Summary'!$A62)-ROW('Trapezoidal Wing Summary'!$A$45))*100/$F$35),0)</f>
        <v>0</v>
      </c>
      <c r="BO67" s="41">
        <f ca="1">OFFSET('Trapezoidal Wing Summary'!U$45,((ROW('Trapezoidal Wing Summary'!$A62)-ROW('Trapezoidal Wing Summary'!$A$45))*100/$F$35),0)</f>
        <v>0</v>
      </c>
      <c r="BP67" s="41">
        <f ca="1">OFFSET('Trapezoidal Wing Summary'!V$45,((ROW('Trapezoidal Wing Summary'!$A62)-ROW('Trapezoidal Wing Summary'!$A$45))*100/$F$35),0)</f>
        <v>0</v>
      </c>
      <c r="BQ67" s="41">
        <f ca="1">OFFSET('Trapezoidal Wing Summary'!W$45,((ROW('Trapezoidal Wing Summary'!$A62)-ROW('Trapezoidal Wing Summary'!$A$45))*100/$F$35),0)</f>
        <v>0</v>
      </c>
      <c r="BR67" s="41">
        <f ca="1">OFFSET('Trapezoidal Wing Summary'!X$45,((ROW('Trapezoidal Wing Summary'!$A62)-ROW('Trapezoidal Wing Summary'!$A$45))*100/$F$35),0)</f>
        <v>0</v>
      </c>
      <c r="BS67" s="41">
        <f ca="1">OFFSET('Trapezoidal Wing Summary'!Y$45,((ROW('Trapezoidal Wing Summary'!$A62)-ROW('Trapezoidal Wing Summary'!$A$45))*100/$F$35),0)</f>
        <v>0</v>
      </c>
      <c r="BT67" s="41">
        <f ca="1">OFFSET('Trapezoidal Wing Summary'!Z$45,((ROW('Trapezoidal Wing Summary'!$A62)-ROW('Trapezoidal Wing Summary'!$A$45))*100/$F$35),0)</f>
        <v>0.13093270561121628</v>
      </c>
      <c r="BU67" s="41">
        <f ca="1">OFFSET('Trapezoidal Wing Summary'!AA$45,((ROW('Trapezoidal Wing Summary'!$A62)-ROW('Trapezoidal Wing Summary'!$A$45))*100/$F$35),0)</f>
        <v>0</v>
      </c>
      <c r="BV67" s="41">
        <f ca="1">OFFSET('Trapezoidal Wing Summary'!AB$45,((ROW('Trapezoidal Wing Summary'!$A62)-ROW('Trapezoidal Wing Summary'!$A$45))*100/$F$35),0)</f>
        <v>0</v>
      </c>
      <c r="BW67" s="41">
        <f ca="1">OFFSET('Trapezoidal Wing Summary'!AC$45,((ROW('Trapezoidal Wing Summary'!$A62)-ROW('Trapezoidal Wing Summary'!$A$45))*100/$F$35),0)</f>
        <v>0</v>
      </c>
      <c r="BX67" s="41">
        <f ca="1">OFFSET('Trapezoidal Wing Summary'!AD$45,((ROW('Trapezoidal Wing Summary'!$A62)-ROW('Trapezoidal Wing Summary'!$A$45))*100/$F$35),0)</f>
        <v>2E-3</v>
      </c>
      <c r="BY67" s="41">
        <f ca="1">OFFSET('Trapezoidal Wing Summary'!AE$45,((ROW('Trapezoidal Wing Summary'!$A62)-ROW('Trapezoidal Wing Summary'!$A$45))*100/$F$35),0)</f>
        <v>2E-3</v>
      </c>
      <c r="BZ67" s="41">
        <f ca="1">OFFSET('Trapezoidal Wing Summary'!AF$45,((ROW('Trapezoidal Wing Summary'!$A62)-ROW('Trapezoidal Wing Summary'!$A$45))*100/$F$35),0)</f>
        <v>0</v>
      </c>
      <c r="CA67" s="41">
        <f ca="1">OFFSET('Trapezoidal Wing Summary'!AG$45,((ROW('Trapezoidal Wing Summary'!$A62)-ROW('Trapezoidal Wing Summary'!$A$45))*100/$F$35),0)</f>
        <v>0.12106299599999999</v>
      </c>
      <c r="CB67" s="41">
        <f ca="1">OFFSET('Trapezoidal Wing Summary'!AH$45,((ROW('Trapezoidal Wing Summary'!$A62)-ROW('Trapezoidal Wing Summary'!$A$45))*100/$F$35),0)</f>
        <v>4.7207148323840471E-4</v>
      </c>
      <c r="CC67" s="41">
        <f ca="1">OFFSET('Trapezoidal Wing Summary'!AI$45,((ROW('Trapezoidal Wing Summary'!$A62)-ROW('Trapezoidal Wing Summary'!$A$45))*100/$F$35),0)</f>
        <v>0</v>
      </c>
      <c r="CD67" s="41">
        <f>'REF - ASWING AERO-Imperial'!$R$5</f>
        <v>5.4999999999999997E-3</v>
      </c>
      <c r="CE67" s="41">
        <f>'REF - ASWING AERO-Imperial'!$R$6</f>
        <v>5.4999999999999997E-3</v>
      </c>
      <c r="CF67" s="41">
        <f ca="1">OFFSET('Trapezoidal Wing Summary'!AL$45,((ROW('Trapezoidal Wing Summary'!$A62)-ROW('Trapezoidal Wing Summary'!$A$45))*100/$F$35),0)</f>
        <v>1.3451443999999999</v>
      </c>
      <c r="CG67" s="41">
        <f ca="1">OFFSET('Trapezoidal Wing Summary'!AM$45,((ROW('Trapezoidal Wing Summary'!$A62)-ROW('Trapezoidal Wing Summary'!$A$45))*100/$F$35),0)</f>
        <v>0.25</v>
      </c>
      <c r="CH67" s="41">
        <f ca="1">OFFSET('Trapezoidal Wing Summary'!AN$45,((ROW('Trapezoidal Wing Summary'!$A62)-ROW('Trapezoidal Wing Summary'!$A$45))*100/$F$35),0)</f>
        <v>5.9</v>
      </c>
      <c r="CI67" s="41">
        <f ca="1">OFFSET('Trapezoidal Wing Summary'!AO$45,((ROW('Trapezoidal Wing Summary'!$A62)-ROW('Trapezoidal Wing Summary'!$A$45))*100/$F$35),0)</f>
        <v>-0.15</v>
      </c>
      <c r="CJ67" s="41">
        <f ca="1">OFFSET('Trapezoidal Wing Summary'!AP$45,((ROW('Trapezoidal Wing Summary'!$A62)-ROW('Trapezoidal Wing Summary'!$A$45))*100/$F$35),0)</f>
        <v>2.25</v>
      </c>
      <c r="CK67" s="41">
        <f ca="1">OFFSET('Trapezoidal Wing Summary'!AQ$45,((ROW('Trapezoidal Wing Summary'!$A62)-ROW('Trapezoidal Wing Summary'!$A$45))*100/$F$35),0)</f>
        <v>-1.65</v>
      </c>
      <c r="CL67" s="41">
        <f ca="1">OFFSET('Trapezoidal Wing Summary'!AR$45,((ROW('Trapezoidal Wing Summary'!$A62)-ROW('Trapezoidal Wing Summary'!$A$45))*100/$F$35),0)</f>
        <v>5.9690260418206069</v>
      </c>
      <c r="CM67" s="644" t="e">
        <f>'CANARD STRUCT'!#REF!</f>
        <v>#REF!</v>
      </c>
      <c r="CN67" s="642" t="e">
        <f>'CANARD STRUCT'!#REF!*3.28084</f>
        <v>#REF!</v>
      </c>
      <c r="CO67" s="642" t="e">
        <f>'CANARD STRUCT'!#REF!*3.28084</f>
        <v>#REF!</v>
      </c>
      <c r="CP67" s="642" t="e">
        <f>'CANARD STRUCT'!#REF!*3.28084</f>
        <v>#REF!</v>
      </c>
      <c r="CQ67" s="642" t="e">
        <f>'CANARD STRUCT'!#REF!</f>
        <v>#REF!</v>
      </c>
      <c r="CR67" s="685" t="e">
        <f>'CANARD STRUCT'!#REF!*0.224809*3.28084^2</f>
        <v>#REF!</v>
      </c>
      <c r="CS67" s="685" t="e">
        <f>'CANARD STRUCT'!#REF!*0.224809*3.28084^2</f>
        <v>#REF!</v>
      </c>
      <c r="CT67" s="685" t="e">
        <f>'CANARD STRUCT'!#REF!*0.224809*3.28084^2</f>
        <v>#REF!</v>
      </c>
      <c r="CU67" s="685" t="e">
        <f>'CANARD STRUCT'!#REF!*0.224809*3.28084^2</f>
        <v>#REF!</v>
      </c>
      <c r="CV67" s="685" t="e">
        <f>'CANARD STRUCT'!#REF!*0.224809*3.28084^2</f>
        <v>#REF!</v>
      </c>
      <c r="CW67" s="685" t="e">
        <f>'CANARD STRUCT'!#REF!*0.224809*3.28084^2</f>
        <v>#REF!</v>
      </c>
      <c r="CX67" s="642" t="e">
        <f>'CANARD STRUCT'!#REF!</f>
        <v>#REF!</v>
      </c>
      <c r="CY67" s="642" t="e">
        <f>'CANARD STRUCT'!#REF!*0.224809</f>
        <v>#REF!</v>
      </c>
      <c r="CZ67" s="642" t="e">
        <f>'CANARD STRUCT'!#REF!*0.224809</f>
        <v>#REF!</v>
      </c>
      <c r="DA67" s="642" t="e">
        <f>'CANARD STRUCT'!#REF!*2.20462*3.28084</f>
        <v>#REF!</v>
      </c>
      <c r="DB67" s="642" t="e">
        <f>'CANARD STRUCT'!#REF!*2.20462*3.28084</f>
        <v>#REF!</v>
      </c>
      <c r="DC67" s="642" t="e">
        <f>'CANARD STRUCT'!#REF!*2.20462/3.28084</f>
        <v>#REF!</v>
      </c>
      <c r="DD67" s="642" t="e">
        <f>'CANARD STRUCT'!#REF!*3.28084</f>
        <v>#REF!</v>
      </c>
      <c r="DE67" s="642" t="e">
        <f>'CANARD STRUCT'!#REF!*3.28084</f>
        <v>#REF!</v>
      </c>
      <c r="DF67" s="642" t="e">
        <f>'CANARD STRUCT'!#REF!*2.20462*3.28084</f>
        <v>#REF!</v>
      </c>
      <c r="DG67" s="642" t="e">
        <f>'CANARD STRUCT'!#REF!*2.20462*3.28084</f>
        <v>#REF!</v>
      </c>
      <c r="DH67" s="642" t="e">
        <f>'CANARD STRUCT'!#REF!*2.20462/3.28084</f>
        <v>#REF!</v>
      </c>
      <c r="DI67" s="642" t="e">
        <f>'CANARD STRUCT'!#REF!*3.28084</f>
        <v>#REF!</v>
      </c>
      <c r="DJ67" s="642" t="e">
        <f>'CANARD STRUCT'!#REF!*3.28084</f>
        <v>#REF!</v>
      </c>
      <c r="DK67" s="642" t="e">
        <f>'CANARD STRUCT'!#REF!*3.28084</f>
        <v>#REF!</v>
      </c>
      <c r="DL67" s="642" t="e">
        <f>'CANARD STRUCT'!#REF!*3.28084</f>
        <v>#REF!</v>
      </c>
      <c r="DM67" s="642" t="e">
        <f>'CANARD STRUCT'!#REF!*3.28084</f>
        <v>#REF!</v>
      </c>
      <c r="DN67" s="642" t="e">
        <f>'CANARD STRUCT'!#REF!*3.28084</f>
        <v>#REF!</v>
      </c>
      <c r="DO67" s="642" t="e">
        <f>'CANARD STRUCT'!#REF!</f>
        <v>#REF!</v>
      </c>
      <c r="DP67" s="642" t="e">
        <f>'CANARD STRUCT'!#REF!</f>
        <v>#REF!</v>
      </c>
      <c r="DQ67" s="642" t="e">
        <f>'CANARD STRUCT'!#REF!*3.28084</f>
        <v>#REF!</v>
      </c>
      <c r="DR67" s="642" t="e">
        <f>'CANARD STRUCT'!#REF!*3.28084</f>
        <v>#REF!</v>
      </c>
      <c r="DS67" s="642" t="e">
        <f>'CANARD STRUCT'!#REF!*3.28084^3</f>
        <v>#REF!</v>
      </c>
      <c r="DT67" s="642" t="e">
        <f>'CANARD STRUCT'!#REF!*3.28084</f>
        <v>#REF!</v>
      </c>
      <c r="DU67" s="642" t="e">
        <f>'CANARD STRUCT'!#REF!</f>
        <v>#REF!</v>
      </c>
      <c r="DV67" s="642" t="e">
        <f>'CANARD STRUCT'!#REF!</f>
        <v>#REF!</v>
      </c>
      <c r="DW67" s="642" t="e">
        <f>'CANARD STRUCT'!#REF!*3.28084</f>
        <v>#REF!</v>
      </c>
      <c r="DX67" s="642" t="e">
        <f>'CANARD STRUCT'!#REF!</f>
        <v>#REF!</v>
      </c>
      <c r="DY67" s="642" t="e">
        <f>'CANARD STRUCT'!#REF!</f>
        <v>#REF!</v>
      </c>
      <c r="DZ67" s="642" t="e">
        <f>'CANARD STRUCT'!#REF!</f>
        <v>#REF!</v>
      </c>
      <c r="EA67" s="642" t="e">
        <f>'CANARD STRUCT'!#REF!</f>
        <v>#REF!</v>
      </c>
      <c r="EB67" s="642" t="e">
        <f>'CANARD STRUCT'!#REF!</f>
        <v>#REF!</v>
      </c>
      <c r="EC67" s="641" t="e">
        <f>'CANARD STRUCT'!#REF!</f>
        <v>#REF!</v>
      </c>
    </row>
    <row r="68" spans="1:133" x14ac:dyDescent="0.25">
      <c r="A68" t="s">
        <v>905</v>
      </c>
      <c r="B68" s="663">
        <v>1.129232</v>
      </c>
      <c r="C68" s="664">
        <v>-1.46E-2</v>
      </c>
      <c r="D68" s="664">
        <v>-1.629</v>
      </c>
      <c r="E68" s="669" t="e">
        <f>'CANARD STRUCT'!#REF!* 3.28084</f>
        <v>#REF!</v>
      </c>
      <c r="F68" s="669" t="e">
        <f>'CANARD STRUCT'!#REF!* 3.28084</f>
        <v>#REF!</v>
      </c>
      <c r="G68" s="669" t="e">
        <f>'CANARD STRUCT'!#REF!* 3.28084</f>
        <v>#REF!</v>
      </c>
      <c r="H68" s="670" t="e">
        <f>'CANARD STRUCT'!#REF!*2.20462</f>
        <v>#REF!</v>
      </c>
      <c r="I68" s="667">
        <v>1</v>
      </c>
      <c r="J68" s="2">
        <v>0</v>
      </c>
      <c r="K68" s="620">
        <v>3</v>
      </c>
      <c r="L68" t="s">
        <v>944</v>
      </c>
      <c r="O68" s="576"/>
      <c r="P68" s="580"/>
      <c r="AU68" s="594"/>
      <c r="AV68" s="574">
        <f ca="1">100*(AX68-$AX$50)/(MAX($AX$50:INDEX(($AX$50:$AX$150),$F$35+1,1))-MIN($AX$50:INDEX(($AX$50:$AX$150),$F$35+1,1)))</f>
        <v>85</v>
      </c>
      <c r="AW68" s="659">
        <f ca="1">OFFSET('Trapezoidal Wing Summary'!C$45,((ROW('Trapezoidal Wing Summary'!$A63)-ROW('Trapezoidal Wing Summary'!$A$45))*100/$F$35),0)+$F$15</f>
        <v>10.618810707255999</v>
      </c>
      <c r="AX68" s="659">
        <f ca="1">OFFSET('Trapezoidal Wing Summary'!D$45,((ROW('Trapezoidal Wing Summary'!$A63)-ROW('Trapezoidal Wing Summary'!$A$45))*100/$F$35),0)+$F$16</f>
        <v>8.366142</v>
      </c>
      <c r="AY68" s="659">
        <f ca="1">OFFSET('Trapezoidal Wing Summary'!E$45,((ROW('Trapezoidal Wing Summary'!$A63)-ROW('Trapezoidal Wing Summary'!$A$45))*100/$F$35),0)+$F$17</f>
        <v>12.850247130368</v>
      </c>
      <c r="AZ68" s="41">
        <f ca="1">OFFSET('Trapezoidal Wing Summary'!F$45,((ROW('Trapezoidal Wing Summary'!$A63)-ROW('Trapezoidal Wing Summary'!$A$45))*100/$F$35),0)</f>
        <v>0</v>
      </c>
      <c r="BA68" s="41">
        <f ca="1">OFFSET('Trapezoidal Wing Summary'!G$45,((ROW('Trapezoidal Wing Summary'!$A63)-ROW('Trapezoidal Wing Summary'!$A$45))*100/$F$35),0)</f>
        <v>3948.4465039931933</v>
      </c>
      <c r="BB68" s="41">
        <f ca="1">OFFSET('Trapezoidal Wing Summary'!H$45,((ROW('Trapezoidal Wing Summary'!$A63)-ROW('Trapezoidal Wing Summary'!$A$45))*100/$F$35),0)</f>
        <v>3688.2086449674607</v>
      </c>
      <c r="BC68" s="41">
        <f ca="1">OFFSET('Trapezoidal Wing Summary'!I$45,((ROW('Trapezoidal Wing Summary'!$A63)-ROW('Trapezoidal Wing Summary'!$A$45))*100/$F$35),0)</f>
        <v>0</v>
      </c>
      <c r="BD68" s="41">
        <f ca="1">OFFSET('Trapezoidal Wing Summary'!J$45,((ROW('Trapezoidal Wing Summary'!$A63)-ROW('Trapezoidal Wing Summary'!$A$45))*100/$F$35),0)</f>
        <v>0</v>
      </c>
      <c r="BE68" s="41">
        <f ca="1">OFFSET('Trapezoidal Wing Summary'!K$45,((ROW('Trapezoidal Wing Summary'!$A63)-ROW('Trapezoidal Wing Summary'!$A$45))*100/$F$35),0)</f>
        <v>0</v>
      </c>
      <c r="BF68" s="41">
        <f ca="1">OFFSET('Trapezoidal Wing Summary'!L$45,((ROW('Trapezoidal Wing Summary'!$A63)-ROW('Trapezoidal Wing Summary'!$A$45))*100/$F$35),0)</f>
        <v>871049.56914817682</v>
      </c>
      <c r="BG68" s="41">
        <f ca="1">OFFSET('Trapezoidal Wing Summary'!M$45,((ROW('Trapezoidal Wing Summary'!$A63)-ROW('Trapezoidal Wing Summary'!$A$45))*100/$F$35),0)</f>
        <v>0</v>
      </c>
      <c r="BH68" s="41">
        <f ca="1">OFFSET('Trapezoidal Wing Summary'!N$45,((ROW('Trapezoidal Wing Summary'!$A63)-ROW('Trapezoidal Wing Summary'!$A$45))*100/$F$35),0)</f>
        <v>0</v>
      </c>
      <c r="BI68" s="41">
        <f ca="1">OFFSET('Trapezoidal Wing Summary'!O$45,((ROW('Trapezoidal Wing Summary'!$A63)-ROW('Trapezoidal Wing Summary'!$A$45))*100/$F$35),0)</f>
        <v>0</v>
      </c>
      <c r="BJ68" s="41">
        <f ca="1">OFFSET('Trapezoidal Wing Summary'!P$45,((ROW('Trapezoidal Wing Summary'!$A63)-ROW('Trapezoidal Wing Summary'!$A$45))*100/$F$35),0)</f>
        <v>0</v>
      </c>
      <c r="BK68" s="41">
        <f ca="1">OFFSET('Trapezoidal Wing Summary'!Q$45,((ROW('Trapezoidal Wing Summary'!$A63)-ROW('Trapezoidal Wing Summary'!$A$45))*100/$F$35),0)</f>
        <v>0</v>
      </c>
      <c r="BL68" s="41">
        <f ca="1">OFFSET('Trapezoidal Wing Summary'!R$45,((ROW('Trapezoidal Wing Summary'!$A63)-ROW('Trapezoidal Wing Summary'!$A$45))*100/$F$35),0)</f>
        <v>1.7004075088026731</v>
      </c>
      <c r="BM68" s="41">
        <f ca="1">OFFSET('Trapezoidal Wing Summary'!S$45,((ROW('Trapezoidal Wing Summary'!$A63)-ROW('Trapezoidal Wing Summary'!$A$45))*100/$F$35),0)</f>
        <v>0.29553920383000321</v>
      </c>
      <c r="BN68" s="41">
        <f ca="1">OFFSET('Trapezoidal Wing Summary'!T$45,((ROW('Trapezoidal Wing Summary'!$A63)-ROW('Trapezoidal Wing Summary'!$A$45))*100/$F$35),0)</f>
        <v>0</v>
      </c>
      <c r="BO68" s="41">
        <f ca="1">OFFSET('Trapezoidal Wing Summary'!U$45,((ROW('Trapezoidal Wing Summary'!$A63)-ROW('Trapezoidal Wing Summary'!$A$45))*100/$F$35),0)</f>
        <v>0</v>
      </c>
      <c r="BP68" s="41">
        <f ca="1">OFFSET('Trapezoidal Wing Summary'!V$45,((ROW('Trapezoidal Wing Summary'!$A63)-ROW('Trapezoidal Wing Summary'!$A$45))*100/$F$35),0)</f>
        <v>0</v>
      </c>
      <c r="BQ68" s="41">
        <f ca="1">OFFSET('Trapezoidal Wing Summary'!W$45,((ROW('Trapezoidal Wing Summary'!$A63)-ROW('Trapezoidal Wing Summary'!$A$45))*100/$F$35),0)</f>
        <v>0</v>
      </c>
      <c r="BR68" s="41">
        <f ca="1">OFFSET('Trapezoidal Wing Summary'!X$45,((ROW('Trapezoidal Wing Summary'!$A63)-ROW('Trapezoidal Wing Summary'!$A$45))*100/$F$35),0)</f>
        <v>0</v>
      </c>
      <c r="BS68" s="41">
        <f ca="1">OFFSET('Trapezoidal Wing Summary'!Y$45,((ROW('Trapezoidal Wing Summary'!$A63)-ROW('Trapezoidal Wing Summary'!$A$45))*100/$F$35),0)</f>
        <v>0</v>
      </c>
      <c r="BT68" s="41">
        <f ca="1">OFFSET('Trapezoidal Wing Summary'!Z$45,((ROW('Trapezoidal Wing Summary'!$A63)-ROW('Trapezoidal Wing Summary'!$A$45))*100/$F$35),0)</f>
        <v>0.12745025404887023</v>
      </c>
      <c r="BU68" s="41">
        <f ca="1">OFFSET('Trapezoidal Wing Summary'!AA$45,((ROW('Trapezoidal Wing Summary'!$A63)-ROW('Trapezoidal Wing Summary'!$A$45))*100/$F$35),0)</f>
        <v>0</v>
      </c>
      <c r="BV68" s="41">
        <f ca="1">OFFSET('Trapezoidal Wing Summary'!AB$45,((ROW('Trapezoidal Wing Summary'!$A63)-ROW('Trapezoidal Wing Summary'!$A$45))*100/$F$35),0)</f>
        <v>0</v>
      </c>
      <c r="BW68" s="41">
        <f ca="1">OFFSET('Trapezoidal Wing Summary'!AC$45,((ROW('Trapezoidal Wing Summary'!$A63)-ROW('Trapezoidal Wing Summary'!$A$45))*100/$F$35),0)</f>
        <v>0</v>
      </c>
      <c r="BX68" s="41">
        <f ca="1">OFFSET('Trapezoidal Wing Summary'!AD$45,((ROW('Trapezoidal Wing Summary'!$A63)-ROW('Trapezoidal Wing Summary'!$A$45))*100/$F$35),0)</f>
        <v>2E-3</v>
      </c>
      <c r="BY68" s="41">
        <f ca="1">OFFSET('Trapezoidal Wing Summary'!AE$45,((ROW('Trapezoidal Wing Summary'!$A63)-ROW('Trapezoidal Wing Summary'!$A$45))*100/$F$35),0)</f>
        <v>2E-3</v>
      </c>
      <c r="BZ68" s="41">
        <f ca="1">OFFSET('Trapezoidal Wing Summary'!AF$45,((ROW('Trapezoidal Wing Summary'!$A63)-ROW('Trapezoidal Wing Summary'!$A$45))*100/$F$35),0)</f>
        <v>0</v>
      </c>
      <c r="CA68" s="41">
        <f ca="1">OFFSET('Trapezoidal Wing Summary'!AG$45,((ROW('Trapezoidal Wing Summary'!$A63)-ROW('Trapezoidal Wing Summary'!$A$45))*100/$F$35),0)</f>
        <v>0.11663386199999999</v>
      </c>
      <c r="CB68" s="41">
        <f ca="1">OFFSET('Trapezoidal Wing Summary'!AH$45,((ROW('Trapezoidal Wing Summary'!$A63)-ROW('Trapezoidal Wing Summary'!$A$45))*100/$F$35),0)</f>
        <v>4.3816152987669299E-4</v>
      </c>
      <c r="CC68" s="41">
        <f ca="1">OFFSET('Trapezoidal Wing Summary'!AI$45,((ROW('Trapezoidal Wing Summary'!$A63)-ROW('Trapezoidal Wing Summary'!$A$45))*100/$F$35),0)</f>
        <v>0</v>
      </c>
      <c r="CD68" s="41">
        <f>'REF - ASWING AERO-Imperial'!$R$5</f>
        <v>5.4999999999999997E-3</v>
      </c>
      <c r="CE68" s="41">
        <f>'REF - ASWING AERO-Imperial'!$R$6</f>
        <v>5.4999999999999997E-3</v>
      </c>
      <c r="CF68" s="41">
        <f ca="1">OFFSET('Trapezoidal Wing Summary'!AL$45,((ROW('Trapezoidal Wing Summary'!$A63)-ROW('Trapezoidal Wing Summary'!$A$45))*100/$F$35),0)</f>
        <v>1.2959318</v>
      </c>
      <c r="CG68" s="41">
        <f ca="1">OFFSET('Trapezoidal Wing Summary'!AM$45,((ROW('Trapezoidal Wing Summary'!$A63)-ROW('Trapezoidal Wing Summary'!$A$45))*100/$F$35),0)</f>
        <v>0.25</v>
      </c>
      <c r="CH68" s="41">
        <f ca="1">OFFSET('Trapezoidal Wing Summary'!AN$45,((ROW('Trapezoidal Wing Summary'!$A63)-ROW('Trapezoidal Wing Summary'!$A$45))*100/$F$35),0)</f>
        <v>5.9</v>
      </c>
      <c r="CI68" s="41">
        <f ca="1">OFFSET('Trapezoidal Wing Summary'!AO$45,((ROW('Trapezoidal Wing Summary'!$A63)-ROW('Trapezoidal Wing Summary'!$A$45))*100/$F$35),0)</f>
        <v>-0.15</v>
      </c>
      <c r="CJ68" s="41">
        <f ca="1">OFFSET('Trapezoidal Wing Summary'!AP$45,((ROW('Trapezoidal Wing Summary'!$A63)-ROW('Trapezoidal Wing Summary'!$A$45))*100/$F$35),0)</f>
        <v>2.25</v>
      </c>
      <c r="CK68" s="41">
        <f ca="1">OFFSET('Trapezoidal Wing Summary'!AQ$45,((ROW('Trapezoidal Wing Summary'!$A63)-ROW('Trapezoidal Wing Summary'!$A$45))*100/$F$35),0)</f>
        <v>-1.65</v>
      </c>
      <c r="CL68" s="41">
        <f ca="1">OFFSET('Trapezoidal Wing Summary'!AR$45,((ROW('Trapezoidal Wing Summary'!$A63)-ROW('Trapezoidal Wing Summary'!$A$45))*100/$F$35),0)</f>
        <v>5.9690260418206069</v>
      </c>
      <c r="CM68" s="644" t="e">
        <f>'CANARD STRUCT'!#REF!</f>
        <v>#REF!</v>
      </c>
      <c r="CN68" s="642" t="e">
        <f>'CANARD STRUCT'!#REF!*3.28084</f>
        <v>#REF!</v>
      </c>
      <c r="CO68" s="642" t="e">
        <f>'CANARD STRUCT'!#REF!*3.28084</f>
        <v>#REF!</v>
      </c>
      <c r="CP68" s="642" t="e">
        <f>'CANARD STRUCT'!#REF!*3.28084</f>
        <v>#REF!</v>
      </c>
      <c r="CQ68" s="642" t="e">
        <f>'CANARD STRUCT'!#REF!</f>
        <v>#REF!</v>
      </c>
      <c r="CR68" s="685" t="e">
        <f>'CANARD STRUCT'!#REF!*0.224809*3.28084^2</f>
        <v>#REF!</v>
      </c>
      <c r="CS68" s="685" t="e">
        <f>'CANARD STRUCT'!#REF!*0.224809*3.28084^2</f>
        <v>#REF!</v>
      </c>
      <c r="CT68" s="685" t="e">
        <f>'CANARD STRUCT'!#REF!*0.224809*3.28084^2</f>
        <v>#REF!</v>
      </c>
      <c r="CU68" s="685" t="e">
        <f>'CANARD STRUCT'!#REF!*0.224809*3.28084^2</f>
        <v>#REF!</v>
      </c>
      <c r="CV68" s="685" t="e">
        <f>'CANARD STRUCT'!#REF!*0.224809*3.28084^2</f>
        <v>#REF!</v>
      </c>
      <c r="CW68" s="685" t="e">
        <f>'CANARD STRUCT'!#REF!*0.224809*3.28084^2</f>
        <v>#REF!</v>
      </c>
      <c r="CX68" s="642" t="e">
        <f>'CANARD STRUCT'!#REF!</f>
        <v>#REF!</v>
      </c>
      <c r="CY68" s="642" t="e">
        <f>'CANARD STRUCT'!#REF!*0.224809</f>
        <v>#REF!</v>
      </c>
      <c r="CZ68" s="642" t="e">
        <f>'CANARD STRUCT'!#REF!*0.224809</f>
        <v>#REF!</v>
      </c>
      <c r="DA68" s="642" t="e">
        <f>'CANARD STRUCT'!#REF!*2.20462*3.28084</f>
        <v>#REF!</v>
      </c>
      <c r="DB68" s="642" t="e">
        <f>'CANARD STRUCT'!#REF!*2.20462*3.28084</f>
        <v>#REF!</v>
      </c>
      <c r="DC68" s="642" t="e">
        <f>'CANARD STRUCT'!#REF!*2.20462/3.28084</f>
        <v>#REF!</v>
      </c>
      <c r="DD68" s="642" t="e">
        <f>'CANARD STRUCT'!#REF!*3.28084</f>
        <v>#REF!</v>
      </c>
      <c r="DE68" s="642" t="e">
        <f>'CANARD STRUCT'!#REF!*3.28084</f>
        <v>#REF!</v>
      </c>
      <c r="DF68" s="642" t="e">
        <f>'CANARD STRUCT'!#REF!*2.20462*3.28084</f>
        <v>#REF!</v>
      </c>
      <c r="DG68" s="642" t="e">
        <f>'CANARD STRUCT'!#REF!*2.20462*3.28084</f>
        <v>#REF!</v>
      </c>
      <c r="DH68" s="642" t="e">
        <f>'CANARD STRUCT'!#REF!*2.20462/3.28084</f>
        <v>#REF!</v>
      </c>
      <c r="DI68" s="642" t="e">
        <f>'CANARD STRUCT'!#REF!*3.28084</f>
        <v>#REF!</v>
      </c>
      <c r="DJ68" s="642" t="e">
        <f>'CANARD STRUCT'!#REF!*3.28084</f>
        <v>#REF!</v>
      </c>
      <c r="DK68" s="642" t="e">
        <f>'CANARD STRUCT'!#REF!*3.28084</f>
        <v>#REF!</v>
      </c>
      <c r="DL68" s="642" t="e">
        <f>'CANARD STRUCT'!#REF!*3.28084</f>
        <v>#REF!</v>
      </c>
      <c r="DM68" s="642" t="e">
        <f>'CANARD STRUCT'!#REF!*3.28084</f>
        <v>#REF!</v>
      </c>
      <c r="DN68" s="642" t="e">
        <f>'CANARD STRUCT'!#REF!*3.28084</f>
        <v>#REF!</v>
      </c>
      <c r="DO68" s="642" t="e">
        <f>'CANARD STRUCT'!#REF!</f>
        <v>#REF!</v>
      </c>
      <c r="DP68" s="642" t="e">
        <f>'CANARD STRUCT'!#REF!</f>
        <v>#REF!</v>
      </c>
      <c r="DQ68" s="642" t="e">
        <f>'CANARD STRUCT'!#REF!*3.28084</f>
        <v>#REF!</v>
      </c>
      <c r="DR68" s="642" t="e">
        <f>'CANARD STRUCT'!#REF!*3.28084</f>
        <v>#REF!</v>
      </c>
      <c r="DS68" s="642" t="e">
        <f>'CANARD STRUCT'!#REF!*3.28084^3</f>
        <v>#REF!</v>
      </c>
      <c r="DT68" s="642" t="e">
        <f>'CANARD STRUCT'!#REF!*3.28084</f>
        <v>#REF!</v>
      </c>
      <c r="DU68" s="642" t="e">
        <f>'CANARD STRUCT'!#REF!</f>
        <v>#REF!</v>
      </c>
      <c r="DV68" s="642" t="e">
        <f>'CANARD STRUCT'!#REF!</f>
        <v>#REF!</v>
      </c>
      <c r="DW68" s="642" t="e">
        <f>'CANARD STRUCT'!#REF!*3.28084</f>
        <v>#REF!</v>
      </c>
      <c r="DX68" s="642" t="e">
        <f>'CANARD STRUCT'!#REF!</f>
        <v>#REF!</v>
      </c>
      <c r="DY68" s="642" t="e">
        <f>'CANARD STRUCT'!#REF!</f>
        <v>#REF!</v>
      </c>
      <c r="DZ68" s="642" t="e">
        <f>'CANARD STRUCT'!#REF!</f>
        <v>#REF!</v>
      </c>
      <c r="EA68" s="642" t="e">
        <f>'CANARD STRUCT'!#REF!</f>
        <v>#REF!</v>
      </c>
      <c r="EB68" s="642" t="e">
        <f>'CANARD STRUCT'!#REF!</f>
        <v>#REF!</v>
      </c>
      <c r="EC68" s="641" t="e">
        <f>'CANARD STRUCT'!#REF!</f>
        <v>#REF!</v>
      </c>
    </row>
    <row r="69" spans="1:133" x14ac:dyDescent="0.25">
      <c r="A69" t="s">
        <v>906</v>
      </c>
      <c r="B69" s="663">
        <v>1.54535</v>
      </c>
      <c r="C69" s="664">
        <v>-1.46E-2</v>
      </c>
      <c r="D69" s="664">
        <v>-1.629</v>
      </c>
      <c r="E69" s="669" t="e">
        <f>'CANARD STRUCT'!#REF!* 3.28084</f>
        <v>#REF!</v>
      </c>
      <c r="F69" s="669" t="e">
        <f>'CANARD STRUCT'!#REF!* 3.28084</f>
        <v>#REF!</v>
      </c>
      <c r="G69" s="669" t="e">
        <f>'CANARD STRUCT'!#REF!* 3.28084</f>
        <v>#REF!</v>
      </c>
      <c r="H69" s="670" t="e">
        <f>'CANARD STRUCT'!#REF!*2.20462</f>
        <v>#REF!</v>
      </c>
      <c r="I69" s="667">
        <v>1</v>
      </c>
      <c r="J69" s="2">
        <v>0</v>
      </c>
      <c r="K69" s="620">
        <v>4</v>
      </c>
      <c r="L69" t="s">
        <v>945</v>
      </c>
      <c r="O69" s="576"/>
      <c r="P69" s="580"/>
      <c r="AU69" s="594"/>
      <c r="AV69" s="574">
        <f ca="1">100*(AX69-$AX$50)/(MAX($AX$50:INDEX(($AX$50:$AX$150),$F$35+1,1))-MIN($AX$50:INDEX(($AX$50:$AX$150),$F$35+1,1)))</f>
        <v>90</v>
      </c>
      <c r="AW69" s="659">
        <f ca="1">OFFSET('Trapezoidal Wing Summary'!C$45,((ROW('Trapezoidal Wing Summary'!$A64)-ROW('Trapezoidal Wing Summary'!$A$45))*100/$F$35),0)+$F$15</f>
        <v>10.631113857255999</v>
      </c>
      <c r="AX69" s="659">
        <f ca="1">OFFSET('Trapezoidal Wing Summary'!D$45,((ROW('Trapezoidal Wing Summary'!$A64)-ROW('Trapezoidal Wing Summary'!$A$45))*100/$F$35),0)+$F$16</f>
        <v>8.8582680000000007</v>
      </c>
      <c r="AY69" s="659">
        <f ca="1">OFFSET('Trapezoidal Wing Summary'!E$45,((ROW('Trapezoidal Wing Summary'!$A64)-ROW('Trapezoidal Wing Summary'!$A$45))*100/$F$35),0)+$F$17</f>
        <v>12.850247130368</v>
      </c>
      <c r="AZ69" s="41">
        <f ca="1">OFFSET('Trapezoidal Wing Summary'!F$45,((ROW('Trapezoidal Wing Summary'!$A64)-ROW('Trapezoidal Wing Summary'!$A$45))*100/$F$35),0)</f>
        <v>0</v>
      </c>
      <c r="BA69" s="41">
        <f ca="1">OFFSET('Trapezoidal Wing Summary'!G$45,((ROW('Trapezoidal Wing Summary'!$A64)-ROW('Trapezoidal Wing Summary'!$A$45))*100/$F$35),0)</f>
        <v>922.77497861326765</v>
      </c>
      <c r="BB69" s="41">
        <f ca="1">OFFSET('Trapezoidal Wing Summary'!H$45,((ROW('Trapezoidal Wing Summary'!$A64)-ROW('Trapezoidal Wing Summary'!$A$45))*100/$F$35),0)</f>
        <v>847.99525225113894</v>
      </c>
      <c r="BC69" s="41">
        <f ca="1">OFFSET('Trapezoidal Wing Summary'!I$45,((ROW('Trapezoidal Wing Summary'!$A64)-ROW('Trapezoidal Wing Summary'!$A$45))*100/$F$35),0)</f>
        <v>0</v>
      </c>
      <c r="BD69" s="41">
        <f ca="1">OFFSET('Trapezoidal Wing Summary'!J$45,((ROW('Trapezoidal Wing Summary'!$A64)-ROW('Trapezoidal Wing Summary'!$A$45))*100/$F$35),0)</f>
        <v>0</v>
      </c>
      <c r="BE69" s="41">
        <f ca="1">OFFSET('Trapezoidal Wing Summary'!K$45,((ROW('Trapezoidal Wing Summary'!$A64)-ROW('Trapezoidal Wing Summary'!$A$45))*100/$F$35),0)</f>
        <v>0</v>
      </c>
      <c r="BF69" s="41">
        <f ca="1">OFFSET('Trapezoidal Wing Summary'!L$45,((ROW('Trapezoidal Wing Summary'!$A64)-ROW('Trapezoidal Wing Summary'!$A$45))*100/$F$35),0)</f>
        <v>775536.73373990692</v>
      </c>
      <c r="BG69" s="41">
        <f ca="1">OFFSET('Trapezoidal Wing Summary'!M$45,((ROW('Trapezoidal Wing Summary'!$A64)-ROW('Trapezoidal Wing Summary'!$A$45))*100/$F$35),0)</f>
        <v>0</v>
      </c>
      <c r="BH69" s="41">
        <f ca="1">OFFSET('Trapezoidal Wing Summary'!N$45,((ROW('Trapezoidal Wing Summary'!$A64)-ROW('Trapezoidal Wing Summary'!$A$45))*100/$F$35),0)</f>
        <v>0</v>
      </c>
      <c r="BI69" s="41">
        <f ca="1">OFFSET('Trapezoidal Wing Summary'!O$45,((ROW('Trapezoidal Wing Summary'!$A64)-ROW('Trapezoidal Wing Summary'!$A$45))*100/$F$35),0)</f>
        <v>0</v>
      </c>
      <c r="BJ69" s="41">
        <f ca="1">OFFSET('Trapezoidal Wing Summary'!P$45,((ROW('Trapezoidal Wing Summary'!$A64)-ROW('Trapezoidal Wing Summary'!$A$45))*100/$F$35),0)</f>
        <v>0</v>
      </c>
      <c r="BK69" s="41">
        <f ca="1">OFFSET('Trapezoidal Wing Summary'!Q$45,((ROW('Trapezoidal Wing Summary'!$A64)-ROW('Trapezoidal Wing Summary'!$A$45))*100/$F$35),0)</f>
        <v>0</v>
      </c>
      <c r="BL69" s="41">
        <f ca="1">OFFSET('Trapezoidal Wing Summary'!R$45,((ROW('Trapezoidal Wing Summary'!$A64)-ROW('Trapezoidal Wing Summary'!$A$45))*100/$F$35),0)</f>
        <v>1.6176657823356217</v>
      </c>
      <c r="BM69" s="41">
        <f ca="1">OFFSET('Trapezoidal Wing Summary'!S$45,((ROW('Trapezoidal Wing Summary'!$A64)-ROW('Trapezoidal Wing Summary'!$A$45))*100/$F$35),0)</f>
        <v>0.28742642090017806</v>
      </c>
      <c r="BN69" s="41">
        <f ca="1">OFFSET('Trapezoidal Wing Summary'!T$45,((ROW('Trapezoidal Wing Summary'!$A64)-ROW('Trapezoidal Wing Summary'!$A$45))*100/$F$35),0)</f>
        <v>0</v>
      </c>
      <c r="BO69" s="41">
        <f ca="1">OFFSET('Trapezoidal Wing Summary'!U$45,((ROW('Trapezoidal Wing Summary'!$A64)-ROW('Trapezoidal Wing Summary'!$A$45))*100/$F$35),0)</f>
        <v>0</v>
      </c>
      <c r="BP69" s="41">
        <f ca="1">OFFSET('Trapezoidal Wing Summary'!V$45,((ROW('Trapezoidal Wing Summary'!$A64)-ROW('Trapezoidal Wing Summary'!$A$45))*100/$F$35),0)</f>
        <v>0</v>
      </c>
      <c r="BQ69" s="41">
        <f ca="1">OFFSET('Trapezoidal Wing Summary'!W$45,((ROW('Trapezoidal Wing Summary'!$A64)-ROW('Trapezoidal Wing Summary'!$A$45))*100/$F$35),0)</f>
        <v>0</v>
      </c>
      <c r="BR69" s="41">
        <f ca="1">OFFSET('Trapezoidal Wing Summary'!X$45,((ROW('Trapezoidal Wing Summary'!$A64)-ROW('Trapezoidal Wing Summary'!$A$45))*100/$F$35),0)</f>
        <v>0</v>
      </c>
      <c r="BS69" s="41">
        <f ca="1">OFFSET('Trapezoidal Wing Summary'!Y$45,((ROW('Trapezoidal Wing Summary'!$A64)-ROW('Trapezoidal Wing Summary'!$A$45))*100/$F$35),0)</f>
        <v>0</v>
      </c>
      <c r="BT69" s="41">
        <f ca="1">OFFSET('Trapezoidal Wing Summary'!Z$45,((ROW('Trapezoidal Wing Summary'!$A64)-ROW('Trapezoidal Wing Summary'!$A$45))*100/$F$35),0)</f>
        <v>0.12400209159378711</v>
      </c>
      <c r="BU69" s="41">
        <f ca="1">OFFSET('Trapezoidal Wing Summary'!AA$45,((ROW('Trapezoidal Wing Summary'!$A64)-ROW('Trapezoidal Wing Summary'!$A$45))*100/$F$35),0)</f>
        <v>0</v>
      </c>
      <c r="BV69" s="41">
        <f ca="1">OFFSET('Trapezoidal Wing Summary'!AB$45,((ROW('Trapezoidal Wing Summary'!$A64)-ROW('Trapezoidal Wing Summary'!$A$45))*100/$F$35),0)</f>
        <v>0</v>
      </c>
      <c r="BW69" s="41">
        <f ca="1">OFFSET('Trapezoidal Wing Summary'!AC$45,((ROW('Trapezoidal Wing Summary'!$A64)-ROW('Trapezoidal Wing Summary'!$A$45))*100/$F$35),0)</f>
        <v>0</v>
      </c>
      <c r="BX69" s="41">
        <f ca="1">OFFSET('Trapezoidal Wing Summary'!AD$45,((ROW('Trapezoidal Wing Summary'!$A64)-ROW('Trapezoidal Wing Summary'!$A$45))*100/$F$35),0)</f>
        <v>2E-3</v>
      </c>
      <c r="BY69" s="41">
        <f ca="1">OFFSET('Trapezoidal Wing Summary'!AE$45,((ROW('Trapezoidal Wing Summary'!$A64)-ROW('Trapezoidal Wing Summary'!$A$45))*100/$F$35),0)</f>
        <v>2E-3</v>
      </c>
      <c r="BZ69" s="41">
        <f ca="1">OFFSET('Trapezoidal Wing Summary'!AF$45,((ROW('Trapezoidal Wing Summary'!$A64)-ROW('Trapezoidal Wing Summary'!$A$45))*100/$F$35),0)</f>
        <v>0</v>
      </c>
      <c r="CA69" s="41">
        <f ca="1">OFFSET('Trapezoidal Wing Summary'!AG$45,((ROW('Trapezoidal Wing Summary'!$A64)-ROW('Trapezoidal Wing Summary'!$A$45))*100/$F$35),0)</f>
        <v>0.112204728</v>
      </c>
      <c r="CB69" s="41">
        <f ca="1">OFFSET('Trapezoidal Wing Summary'!AH$45,((ROW('Trapezoidal Wing Summary'!$A64)-ROW('Trapezoidal Wing Summary'!$A$45))*100/$F$35),0)</f>
        <v>4.0551530148498298E-4</v>
      </c>
      <c r="CC69" s="41">
        <f ca="1">OFFSET('Trapezoidal Wing Summary'!AI$45,((ROW('Trapezoidal Wing Summary'!$A64)-ROW('Trapezoidal Wing Summary'!$A$45))*100/$F$35),0)</f>
        <v>0</v>
      </c>
      <c r="CD69" s="41">
        <f>'REF - ASWING AERO-Imperial'!$R$5</f>
        <v>5.4999999999999997E-3</v>
      </c>
      <c r="CE69" s="41">
        <f>'REF - ASWING AERO-Imperial'!$R$6</f>
        <v>5.4999999999999997E-3</v>
      </c>
      <c r="CF69" s="41">
        <f ca="1">OFFSET('Trapezoidal Wing Summary'!AL$45,((ROW('Trapezoidal Wing Summary'!$A64)-ROW('Trapezoidal Wing Summary'!$A$45))*100/$F$35),0)</f>
        <v>1.2467192</v>
      </c>
      <c r="CG69" s="41">
        <f ca="1">OFFSET('Trapezoidal Wing Summary'!AM$45,((ROW('Trapezoidal Wing Summary'!$A64)-ROW('Trapezoidal Wing Summary'!$A$45))*100/$F$35),0)</f>
        <v>0.25</v>
      </c>
      <c r="CH69" s="41">
        <f ca="1">OFFSET('Trapezoidal Wing Summary'!AN$45,((ROW('Trapezoidal Wing Summary'!$A64)-ROW('Trapezoidal Wing Summary'!$A$45))*100/$F$35),0)</f>
        <v>5.9</v>
      </c>
      <c r="CI69" s="41">
        <f ca="1">OFFSET('Trapezoidal Wing Summary'!AO$45,((ROW('Trapezoidal Wing Summary'!$A64)-ROW('Trapezoidal Wing Summary'!$A$45))*100/$F$35),0)</f>
        <v>-0.15</v>
      </c>
      <c r="CJ69" s="41">
        <f ca="1">OFFSET('Trapezoidal Wing Summary'!AP$45,((ROW('Trapezoidal Wing Summary'!$A64)-ROW('Trapezoidal Wing Summary'!$A$45))*100/$F$35),0)</f>
        <v>2.25</v>
      </c>
      <c r="CK69" s="41">
        <f ca="1">OFFSET('Trapezoidal Wing Summary'!AQ$45,((ROW('Trapezoidal Wing Summary'!$A64)-ROW('Trapezoidal Wing Summary'!$A$45))*100/$F$35),0)</f>
        <v>-1.65</v>
      </c>
      <c r="CL69" s="41">
        <f ca="1">OFFSET('Trapezoidal Wing Summary'!AR$45,((ROW('Trapezoidal Wing Summary'!$A64)-ROW('Trapezoidal Wing Summary'!$A$45))*100/$F$35),0)</f>
        <v>5.9690260418206069</v>
      </c>
      <c r="CM69" s="644" t="e">
        <f>'CANARD STRUCT'!#REF!</f>
        <v>#REF!</v>
      </c>
      <c r="CN69" s="642" t="e">
        <f>'CANARD STRUCT'!#REF!*3.28084</f>
        <v>#REF!</v>
      </c>
      <c r="CO69" s="642" t="e">
        <f>'CANARD STRUCT'!#REF!*3.28084</f>
        <v>#REF!</v>
      </c>
      <c r="CP69" s="642" t="e">
        <f>'CANARD STRUCT'!#REF!*3.28084</f>
        <v>#REF!</v>
      </c>
      <c r="CQ69" s="642" t="e">
        <f>'CANARD STRUCT'!#REF!</f>
        <v>#REF!</v>
      </c>
      <c r="CR69" s="685" t="e">
        <f>'CANARD STRUCT'!#REF!*0.224809*3.28084^2</f>
        <v>#REF!</v>
      </c>
      <c r="CS69" s="685" t="e">
        <f>'CANARD STRUCT'!#REF!*0.224809*3.28084^2</f>
        <v>#REF!</v>
      </c>
      <c r="CT69" s="685" t="e">
        <f>'CANARD STRUCT'!#REF!*0.224809*3.28084^2</f>
        <v>#REF!</v>
      </c>
      <c r="CU69" s="685" t="e">
        <f>'CANARD STRUCT'!#REF!*0.224809*3.28084^2</f>
        <v>#REF!</v>
      </c>
      <c r="CV69" s="685" t="e">
        <f>'CANARD STRUCT'!#REF!*0.224809*3.28084^2</f>
        <v>#REF!</v>
      </c>
      <c r="CW69" s="685" t="e">
        <f>'CANARD STRUCT'!#REF!*0.224809*3.28084^2</f>
        <v>#REF!</v>
      </c>
      <c r="CX69" s="642" t="e">
        <f>'CANARD STRUCT'!#REF!</f>
        <v>#REF!</v>
      </c>
      <c r="CY69" s="642" t="e">
        <f>'CANARD STRUCT'!#REF!*0.224809</f>
        <v>#REF!</v>
      </c>
      <c r="CZ69" s="642" t="e">
        <f>'CANARD STRUCT'!#REF!*0.224809</f>
        <v>#REF!</v>
      </c>
      <c r="DA69" s="642" t="e">
        <f>'CANARD STRUCT'!#REF!*2.20462*3.28084</f>
        <v>#REF!</v>
      </c>
      <c r="DB69" s="642" t="e">
        <f>'CANARD STRUCT'!#REF!*2.20462*3.28084</f>
        <v>#REF!</v>
      </c>
      <c r="DC69" s="642" t="e">
        <f>'CANARD STRUCT'!#REF!*2.20462/3.28084</f>
        <v>#REF!</v>
      </c>
      <c r="DD69" s="642" t="e">
        <f>'CANARD STRUCT'!#REF!*3.28084</f>
        <v>#REF!</v>
      </c>
      <c r="DE69" s="642" t="e">
        <f>'CANARD STRUCT'!#REF!*3.28084</f>
        <v>#REF!</v>
      </c>
      <c r="DF69" s="642" t="e">
        <f>'CANARD STRUCT'!#REF!*2.20462*3.28084</f>
        <v>#REF!</v>
      </c>
      <c r="DG69" s="642" t="e">
        <f>'CANARD STRUCT'!#REF!*2.20462*3.28084</f>
        <v>#REF!</v>
      </c>
      <c r="DH69" s="642" t="e">
        <f>'CANARD STRUCT'!#REF!*2.20462/3.28084</f>
        <v>#REF!</v>
      </c>
      <c r="DI69" s="642" t="e">
        <f>'CANARD STRUCT'!#REF!*3.28084</f>
        <v>#REF!</v>
      </c>
      <c r="DJ69" s="642" t="e">
        <f>'CANARD STRUCT'!#REF!*3.28084</f>
        <v>#REF!</v>
      </c>
      <c r="DK69" s="642" t="e">
        <f>'CANARD STRUCT'!#REF!*3.28084</f>
        <v>#REF!</v>
      </c>
      <c r="DL69" s="642" t="e">
        <f>'CANARD STRUCT'!#REF!*3.28084</f>
        <v>#REF!</v>
      </c>
      <c r="DM69" s="642" t="e">
        <f>'CANARD STRUCT'!#REF!*3.28084</f>
        <v>#REF!</v>
      </c>
      <c r="DN69" s="642" t="e">
        <f>'CANARD STRUCT'!#REF!*3.28084</f>
        <v>#REF!</v>
      </c>
      <c r="DO69" s="642" t="e">
        <f>'CANARD STRUCT'!#REF!</f>
        <v>#REF!</v>
      </c>
      <c r="DP69" s="642" t="e">
        <f>'CANARD STRUCT'!#REF!</f>
        <v>#REF!</v>
      </c>
      <c r="DQ69" s="642" t="e">
        <f>'CANARD STRUCT'!#REF!*3.28084</f>
        <v>#REF!</v>
      </c>
      <c r="DR69" s="642" t="e">
        <f>'CANARD STRUCT'!#REF!*3.28084</f>
        <v>#REF!</v>
      </c>
      <c r="DS69" s="642" t="e">
        <f>'CANARD STRUCT'!#REF!*3.28084^3</f>
        <v>#REF!</v>
      </c>
      <c r="DT69" s="642" t="e">
        <f>'CANARD STRUCT'!#REF!*3.28084</f>
        <v>#REF!</v>
      </c>
      <c r="DU69" s="642" t="e">
        <f>'CANARD STRUCT'!#REF!</f>
        <v>#REF!</v>
      </c>
      <c r="DV69" s="642" t="e">
        <f>'CANARD STRUCT'!#REF!</f>
        <v>#REF!</v>
      </c>
      <c r="DW69" s="642" t="e">
        <f>'CANARD STRUCT'!#REF!*3.28084</f>
        <v>#REF!</v>
      </c>
      <c r="DX69" s="642" t="e">
        <f>'CANARD STRUCT'!#REF!</f>
        <v>#REF!</v>
      </c>
      <c r="DY69" s="642" t="e">
        <f>'CANARD STRUCT'!#REF!</f>
        <v>#REF!</v>
      </c>
      <c r="DZ69" s="642" t="e">
        <f>'CANARD STRUCT'!#REF!</f>
        <v>#REF!</v>
      </c>
      <c r="EA69" s="642" t="e">
        <f>'CANARD STRUCT'!#REF!</f>
        <v>#REF!</v>
      </c>
      <c r="EB69" s="642" t="e">
        <f>'CANARD STRUCT'!#REF!</f>
        <v>#REF!</v>
      </c>
      <c r="EC69" s="641" t="e">
        <f>'CANARD STRUCT'!#REF!</f>
        <v>#REF!</v>
      </c>
    </row>
    <row r="70" spans="1:133" x14ac:dyDescent="0.25">
      <c r="A70" t="s">
        <v>907</v>
      </c>
      <c r="B70" s="663">
        <v>1.990928</v>
      </c>
      <c r="C70" s="664">
        <v>-1.46E-2</v>
      </c>
      <c r="D70" s="664">
        <v>-1.629</v>
      </c>
      <c r="E70" s="669" t="e">
        <f>'CANARD STRUCT'!#REF!* 3.28084</f>
        <v>#REF!</v>
      </c>
      <c r="F70" s="669" t="e">
        <f>'CANARD STRUCT'!#REF!* 3.28084</f>
        <v>#REF!</v>
      </c>
      <c r="G70" s="669" t="e">
        <f>'CANARD STRUCT'!#REF!* 3.28084</f>
        <v>#REF!</v>
      </c>
      <c r="H70" s="670" t="e">
        <f>'CANARD STRUCT'!#REF!*2.20462</f>
        <v>#REF!</v>
      </c>
      <c r="I70" s="667">
        <v>1</v>
      </c>
      <c r="J70" s="2">
        <v>0</v>
      </c>
      <c r="K70" s="620">
        <v>5</v>
      </c>
      <c r="L70" t="s">
        <v>942</v>
      </c>
      <c r="O70" s="576"/>
      <c r="P70" s="580"/>
      <c r="AU70" s="594"/>
      <c r="AV70" s="574">
        <f ca="1">100*(AX70-$AX$50)/(MAX($AX$50:INDEX(($AX$50:$AX$150),$F$35+1,1))-MIN($AX$50:INDEX(($AX$50:$AX$150),$F$35+1,1)))</f>
        <v>95</v>
      </c>
      <c r="AW70" s="659">
        <f ca="1">OFFSET('Trapezoidal Wing Summary'!C$45,((ROW('Trapezoidal Wing Summary'!$A65)-ROW('Trapezoidal Wing Summary'!$A$45))*100/$F$35),0)+$F$15</f>
        <v>10.643417007256</v>
      </c>
      <c r="AX70" s="659">
        <f ca="1">OFFSET('Trapezoidal Wing Summary'!D$45,((ROW('Trapezoidal Wing Summary'!$A65)-ROW('Trapezoidal Wing Summary'!$A$45))*100/$F$35),0)+$F$16</f>
        <v>9.3503939999999997</v>
      </c>
      <c r="AY70" s="659">
        <f ca="1">OFFSET('Trapezoidal Wing Summary'!E$45,((ROW('Trapezoidal Wing Summary'!$A65)-ROW('Trapezoidal Wing Summary'!$A$45))*100/$F$35),0)+$F$17</f>
        <v>12.850247130368</v>
      </c>
      <c r="AZ70" s="41">
        <f ca="1">OFFSET('Trapezoidal Wing Summary'!F$45,((ROW('Trapezoidal Wing Summary'!$A65)-ROW('Trapezoidal Wing Summary'!$A$45))*100/$F$35),0)</f>
        <v>0</v>
      </c>
      <c r="BA70" s="41">
        <f ca="1">OFFSET('Trapezoidal Wing Summary'!G$45,((ROW('Trapezoidal Wing Summary'!$A65)-ROW('Trapezoidal Wing Summary'!$A$45))*100/$F$35),0)</f>
        <v>829.61373725099099</v>
      </c>
      <c r="BB70" s="41">
        <f ca="1">OFFSET('Trapezoidal Wing Summary'!H$45,((ROW('Trapezoidal Wing Summary'!$A65)-ROW('Trapezoidal Wing Summary'!$A$45))*100/$F$35),0)</f>
        <v>782.3695808944459</v>
      </c>
      <c r="BC70" s="41">
        <f ca="1">OFFSET('Trapezoidal Wing Summary'!I$45,((ROW('Trapezoidal Wing Summary'!$A65)-ROW('Trapezoidal Wing Summary'!$A$45))*100/$F$35),0)</f>
        <v>0</v>
      </c>
      <c r="BD70" s="41">
        <f ca="1">OFFSET('Trapezoidal Wing Summary'!J$45,((ROW('Trapezoidal Wing Summary'!$A65)-ROW('Trapezoidal Wing Summary'!$A$45))*100/$F$35),0)</f>
        <v>0</v>
      </c>
      <c r="BE70" s="41">
        <f ca="1">OFFSET('Trapezoidal Wing Summary'!K$45,((ROW('Trapezoidal Wing Summary'!$A65)-ROW('Trapezoidal Wing Summary'!$A$45))*100/$F$35),0)</f>
        <v>0</v>
      </c>
      <c r="BF70" s="41">
        <f ca="1">OFFSET('Trapezoidal Wing Summary'!L$45,((ROW('Trapezoidal Wing Summary'!$A65)-ROW('Trapezoidal Wing Summary'!$A$45))*100/$F$35),0)</f>
        <v>687274.41488668509</v>
      </c>
      <c r="BG70" s="41">
        <f ca="1">OFFSET('Trapezoidal Wing Summary'!M$45,((ROW('Trapezoidal Wing Summary'!$A65)-ROW('Trapezoidal Wing Summary'!$A$45))*100/$F$35),0)</f>
        <v>0</v>
      </c>
      <c r="BH70" s="41">
        <f ca="1">OFFSET('Trapezoidal Wing Summary'!N$45,((ROW('Trapezoidal Wing Summary'!$A65)-ROW('Trapezoidal Wing Summary'!$A$45))*100/$F$35),0)</f>
        <v>0</v>
      </c>
      <c r="BI70" s="41">
        <f ca="1">OFFSET('Trapezoidal Wing Summary'!O$45,((ROW('Trapezoidal Wing Summary'!$A65)-ROW('Trapezoidal Wing Summary'!$A$45))*100/$F$35),0)</f>
        <v>0</v>
      </c>
      <c r="BJ70" s="41">
        <f ca="1">OFFSET('Trapezoidal Wing Summary'!P$45,((ROW('Trapezoidal Wing Summary'!$A65)-ROW('Trapezoidal Wing Summary'!$A$45))*100/$F$35),0)</f>
        <v>0</v>
      </c>
      <c r="BK70" s="41">
        <f ca="1">OFFSET('Trapezoidal Wing Summary'!Q$45,((ROW('Trapezoidal Wing Summary'!$A65)-ROW('Trapezoidal Wing Summary'!$A$45))*100/$F$35),0)</f>
        <v>0</v>
      </c>
      <c r="BL70" s="41">
        <f ca="1">OFFSET('Trapezoidal Wing Summary'!R$45,((ROW('Trapezoidal Wing Summary'!$A65)-ROW('Trapezoidal Wing Summary'!$A$45))*100/$F$35),0)</f>
        <v>1.5543067693150183</v>
      </c>
      <c r="BM70" s="41">
        <f ca="1">OFFSET('Trapezoidal Wing Summary'!S$45,((ROW('Trapezoidal Wing Summary'!$A65)-ROW('Trapezoidal Wing Summary'!$A$45))*100/$F$35),0)</f>
        <v>0.27594041034532102</v>
      </c>
      <c r="BN70" s="41">
        <f ca="1">OFFSET('Trapezoidal Wing Summary'!T$45,((ROW('Trapezoidal Wing Summary'!$A65)-ROW('Trapezoidal Wing Summary'!$A$45))*100/$F$35),0)</f>
        <v>0</v>
      </c>
      <c r="BO70" s="41">
        <f ca="1">OFFSET('Trapezoidal Wing Summary'!U$45,((ROW('Trapezoidal Wing Summary'!$A65)-ROW('Trapezoidal Wing Summary'!$A$45))*100/$F$35),0)</f>
        <v>0</v>
      </c>
      <c r="BP70" s="41">
        <f ca="1">OFFSET('Trapezoidal Wing Summary'!V$45,((ROW('Trapezoidal Wing Summary'!$A65)-ROW('Trapezoidal Wing Summary'!$A$45))*100/$F$35),0)</f>
        <v>0</v>
      </c>
      <c r="BQ70" s="41">
        <f ca="1">OFFSET('Trapezoidal Wing Summary'!W$45,((ROW('Trapezoidal Wing Summary'!$A65)-ROW('Trapezoidal Wing Summary'!$A$45))*100/$F$35),0)</f>
        <v>0</v>
      </c>
      <c r="BR70" s="41">
        <f ca="1">OFFSET('Trapezoidal Wing Summary'!X$45,((ROW('Trapezoidal Wing Summary'!$A65)-ROW('Trapezoidal Wing Summary'!$A$45))*100/$F$35),0)</f>
        <v>0</v>
      </c>
      <c r="BS70" s="41">
        <f ca="1">OFFSET('Trapezoidal Wing Summary'!Y$45,((ROW('Trapezoidal Wing Summary'!$A65)-ROW('Trapezoidal Wing Summary'!$A$45))*100/$F$35),0)</f>
        <v>0</v>
      </c>
      <c r="BT70" s="41">
        <f ca="1">OFFSET('Trapezoidal Wing Summary'!Z$45,((ROW('Trapezoidal Wing Summary'!$A65)-ROW('Trapezoidal Wing Summary'!$A$45))*100/$F$35),0)</f>
        <v>0.12058521875716849</v>
      </c>
      <c r="BU70" s="41">
        <f ca="1">OFFSET('Trapezoidal Wing Summary'!AA$45,((ROW('Trapezoidal Wing Summary'!$A65)-ROW('Trapezoidal Wing Summary'!$A$45))*100/$F$35),0)</f>
        <v>0</v>
      </c>
      <c r="BV70" s="41">
        <f ca="1">OFFSET('Trapezoidal Wing Summary'!AB$45,((ROW('Trapezoidal Wing Summary'!$A65)-ROW('Trapezoidal Wing Summary'!$A$45))*100/$F$35),0)</f>
        <v>0</v>
      </c>
      <c r="BW70" s="41">
        <f ca="1">OFFSET('Trapezoidal Wing Summary'!AC$45,((ROW('Trapezoidal Wing Summary'!$A65)-ROW('Trapezoidal Wing Summary'!$A$45))*100/$F$35),0)</f>
        <v>0</v>
      </c>
      <c r="BX70" s="41">
        <f ca="1">OFFSET('Trapezoidal Wing Summary'!AD$45,((ROW('Trapezoidal Wing Summary'!$A65)-ROW('Trapezoidal Wing Summary'!$A$45))*100/$F$35),0)</f>
        <v>2E-3</v>
      </c>
      <c r="BY70" s="41">
        <f ca="1">OFFSET('Trapezoidal Wing Summary'!AE$45,((ROW('Trapezoidal Wing Summary'!$A65)-ROW('Trapezoidal Wing Summary'!$A$45))*100/$F$35),0)</f>
        <v>2E-3</v>
      </c>
      <c r="BZ70" s="41">
        <f ca="1">OFFSET('Trapezoidal Wing Summary'!AF$45,((ROW('Trapezoidal Wing Summary'!$A65)-ROW('Trapezoidal Wing Summary'!$A$45))*100/$F$35),0)</f>
        <v>0</v>
      </c>
      <c r="CA70" s="41">
        <f ca="1">OFFSET('Trapezoidal Wing Summary'!AG$45,((ROW('Trapezoidal Wing Summary'!$A65)-ROW('Trapezoidal Wing Summary'!$A$45))*100/$F$35),0)</f>
        <v>0.10777559399999999</v>
      </c>
      <c r="CB70" s="41">
        <f ca="1">OFFSET('Trapezoidal Wing Summary'!AH$45,((ROW('Trapezoidal Wing Summary'!$A65)-ROW('Trapezoidal Wing Summary'!$A$45))*100/$F$35),0)</f>
        <v>3.7413279806327465E-4</v>
      </c>
      <c r="CC70" s="41">
        <f ca="1">OFFSET('Trapezoidal Wing Summary'!AI$45,((ROW('Trapezoidal Wing Summary'!$A65)-ROW('Trapezoidal Wing Summary'!$A$45))*100/$F$35),0)</f>
        <v>0</v>
      </c>
      <c r="CD70" s="41">
        <f>'REF - ASWING AERO-Imperial'!$R$5</f>
        <v>5.4999999999999997E-3</v>
      </c>
      <c r="CE70" s="41">
        <f>'REF - ASWING AERO-Imperial'!$R$6</f>
        <v>5.4999999999999997E-3</v>
      </c>
      <c r="CF70" s="41">
        <f ca="1">OFFSET('Trapezoidal Wing Summary'!AL$45,((ROW('Trapezoidal Wing Summary'!$A65)-ROW('Trapezoidal Wing Summary'!$A$45))*100/$F$35),0)</f>
        <v>1.1975065999999999</v>
      </c>
      <c r="CG70" s="41">
        <f ca="1">OFFSET('Trapezoidal Wing Summary'!AM$45,((ROW('Trapezoidal Wing Summary'!$A65)-ROW('Trapezoidal Wing Summary'!$A$45))*100/$F$35),0)</f>
        <v>0.25</v>
      </c>
      <c r="CH70" s="41">
        <f ca="1">OFFSET('Trapezoidal Wing Summary'!AN$45,((ROW('Trapezoidal Wing Summary'!$A65)-ROW('Trapezoidal Wing Summary'!$A$45))*100/$F$35),0)</f>
        <v>5.9</v>
      </c>
      <c r="CI70" s="41">
        <f ca="1">OFFSET('Trapezoidal Wing Summary'!AO$45,((ROW('Trapezoidal Wing Summary'!$A65)-ROW('Trapezoidal Wing Summary'!$A$45))*100/$F$35),0)</f>
        <v>-0.15</v>
      </c>
      <c r="CJ70" s="41">
        <f ca="1">OFFSET('Trapezoidal Wing Summary'!AP$45,((ROW('Trapezoidal Wing Summary'!$A65)-ROW('Trapezoidal Wing Summary'!$A$45))*100/$F$35),0)</f>
        <v>2.25</v>
      </c>
      <c r="CK70" s="41">
        <f ca="1">OFFSET('Trapezoidal Wing Summary'!AQ$45,((ROW('Trapezoidal Wing Summary'!$A65)-ROW('Trapezoidal Wing Summary'!$A$45))*100/$F$35),0)</f>
        <v>-1.65</v>
      </c>
      <c r="CL70" s="41">
        <f ca="1">OFFSET('Trapezoidal Wing Summary'!AR$45,((ROW('Trapezoidal Wing Summary'!$A65)-ROW('Trapezoidal Wing Summary'!$A$45))*100/$F$35),0)</f>
        <v>5.9690260418206069</v>
      </c>
      <c r="CM70" s="644" t="e">
        <f>'CANARD STRUCT'!#REF!</f>
        <v>#REF!</v>
      </c>
      <c r="CN70" s="642" t="e">
        <f>'CANARD STRUCT'!#REF!*3.28084</f>
        <v>#REF!</v>
      </c>
      <c r="CO70" s="642" t="e">
        <f>'CANARD STRUCT'!#REF!*3.28084</f>
        <v>#REF!</v>
      </c>
      <c r="CP70" s="642" t="e">
        <f>'CANARD STRUCT'!#REF!*3.28084</f>
        <v>#REF!</v>
      </c>
      <c r="CQ70" s="642" t="e">
        <f>'CANARD STRUCT'!#REF!</f>
        <v>#REF!</v>
      </c>
      <c r="CR70" s="685" t="e">
        <f>'CANARD STRUCT'!#REF!*0.224809*3.28084^2</f>
        <v>#REF!</v>
      </c>
      <c r="CS70" s="685" t="e">
        <f>'CANARD STRUCT'!#REF!*0.224809*3.28084^2</f>
        <v>#REF!</v>
      </c>
      <c r="CT70" s="685" t="e">
        <f>'CANARD STRUCT'!#REF!*0.224809*3.28084^2</f>
        <v>#REF!</v>
      </c>
      <c r="CU70" s="685" t="e">
        <f>'CANARD STRUCT'!#REF!*0.224809*3.28084^2</f>
        <v>#REF!</v>
      </c>
      <c r="CV70" s="685" t="e">
        <f>'CANARD STRUCT'!#REF!*0.224809*3.28084^2</f>
        <v>#REF!</v>
      </c>
      <c r="CW70" s="685" t="e">
        <f>'CANARD STRUCT'!#REF!*0.224809*3.28084^2</f>
        <v>#REF!</v>
      </c>
      <c r="CX70" s="642" t="e">
        <f>'CANARD STRUCT'!#REF!</f>
        <v>#REF!</v>
      </c>
      <c r="CY70" s="642" t="e">
        <f>'CANARD STRUCT'!#REF!*0.224809</f>
        <v>#REF!</v>
      </c>
      <c r="CZ70" s="642" t="e">
        <f>'CANARD STRUCT'!#REF!*0.224809</f>
        <v>#REF!</v>
      </c>
      <c r="DA70" s="642" t="e">
        <f>'CANARD STRUCT'!#REF!*2.20462*3.28084</f>
        <v>#REF!</v>
      </c>
      <c r="DB70" s="642" t="e">
        <f>'CANARD STRUCT'!#REF!*2.20462*3.28084</f>
        <v>#REF!</v>
      </c>
      <c r="DC70" s="642" t="e">
        <f>'CANARD STRUCT'!#REF!*2.20462/3.28084</f>
        <v>#REF!</v>
      </c>
      <c r="DD70" s="642" t="e">
        <f>'CANARD STRUCT'!#REF!*3.28084</f>
        <v>#REF!</v>
      </c>
      <c r="DE70" s="642" t="e">
        <f>'CANARD STRUCT'!#REF!*3.28084</f>
        <v>#REF!</v>
      </c>
      <c r="DF70" s="642" t="e">
        <f>'CANARD STRUCT'!#REF!*2.20462*3.28084</f>
        <v>#REF!</v>
      </c>
      <c r="DG70" s="642" t="e">
        <f>'CANARD STRUCT'!#REF!*2.20462*3.28084</f>
        <v>#REF!</v>
      </c>
      <c r="DH70" s="642" t="e">
        <f>'CANARD STRUCT'!#REF!*2.20462/3.28084</f>
        <v>#REF!</v>
      </c>
      <c r="DI70" s="642" t="e">
        <f>'CANARD STRUCT'!#REF!*3.28084</f>
        <v>#REF!</v>
      </c>
      <c r="DJ70" s="642" t="e">
        <f>'CANARD STRUCT'!#REF!*3.28084</f>
        <v>#REF!</v>
      </c>
      <c r="DK70" s="642" t="e">
        <f>'CANARD STRUCT'!#REF!*3.28084</f>
        <v>#REF!</v>
      </c>
      <c r="DL70" s="642" t="e">
        <f>'CANARD STRUCT'!#REF!*3.28084</f>
        <v>#REF!</v>
      </c>
      <c r="DM70" s="642" t="e">
        <f>'CANARD STRUCT'!#REF!*3.28084</f>
        <v>#REF!</v>
      </c>
      <c r="DN70" s="642" t="e">
        <f>'CANARD STRUCT'!#REF!*3.28084</f>
        <v>#REF!</v>
      </c>
      <c r="DO70" s="642" t="e">
        <f>'CANARD STRUCT'!#REF!</f>
        <v>#REF!</v>
      </c>
      <c r="DP70" s="642" t="e">
        <f>'CANARD STRUCT'!#REF!</f>
        <v>#REF!</v>
      </c>
      <c r="DQ70" s="642" t="e">
        <f>'CANARD STRUCT'!#REF!*3.28084</f>
        <v>#REF!</v>
      </c>
      <c r="DR70" s="642" t="e">
        <f>'CANARD STRUCT'!#REF!*3.28084</f>
        <v>#REF!</v>
      </c>
      <c r="DS70" s="642" t="e">
        <f>'CANARD STRUCT'!#REF!*3.28084^3</f>
        <v>#REF!</v>
      </c>
      <c r="DT70" s="642" t="e">
        <f>'CANARD STRUCT'!#REF!*3.28084</f>
        <v>#REF!</v>
      </c>
      <c r="DU70" s="642" t="e">
        <f>'CANARD STRUCT'!#REF!</f>
        <v>#REF!</v>
      </c>
      <c r="DV70" s="642" t="e">
        <f>'CANARD STRUCT'!#REF!</f>
        <v>#REF!</v>
      </c>
      <c r="DW70" s="642" t="e">
        <f>'CANARD STRUCT'!#REF!*3.28084</f>
        <v>#REF!</v>
      </c>
      <c r="DX70" s="642" t="e">
        <f>'CANARD STRUCT'!#REF!</f>
        <v>#REF!</v>
      </c>
      <c r="DY70" s="642" t="e">
        <f>'CANARD STRUCT'!#REF!</f>
        <v>#REF!</v>
      </c>
      <c r="DZ70" s="642" t="e">
        <f>'CANARD STRUCT'!#REF!</f>
        <v>#REF!</v>
      </c>
      <c r="EA70" s="642" t="e">
        <f>'CANARD STRUCT'!#REF!</f>
        <v>#REF!</v>
      </c>
      <c r="EB70" s="642" t="e">
        <f>'CANARD STRUCT'!#REF!</f>
        <v>#REF!</v>
      </c>
      <c r="EC70" s="641" t="e">
        <f>'CANARD STRUCT'!#REF!</f>
        <v>#REF!</v>
      </c>
    </row>
    <row r="71" spans="1:133" x14ac:dyDescent="0.25">
      <c r="A71" t="s">
        <v>964</v>
      </c>
      <c r="B71" s="664">
        <v>1.2569999999999999</v>
      </c>
      <c r="C71" s="664">
        <v>0</v>
      </c>
      <c r="D71" s="664">
        <v>-1.1719999999999999</v>
      </c>
      <c r="E71" s="669" t="e">
        <f>'CANARD STRUCT'!#REF!* 3.28084</f>
        <v>#REF!</v>
      </c>
      <c r="F71" s="669" t="e">
        <f>'CANARD STRUCT'!#REF!* 3.28084</f>
        <v>#REF!</v>
      </c>
      <c r="G71" s="669" t="e">
        <f>'CANARD STRUCT'!#REF!* 3.28084</f>
        <v>#REF!</v>
      </c>
      <c r="H71" s="670" t="e">
        <f>'CANARD STRUCT'!#REF!*2.20462</f>
        <v>#REF!</v>
      </c>
      <c r="I71" s="667">
        <v>1</v>
      </c>
      <c r="J71" s="2">
        <v>0</v>
      </c>
      <c r="K71" s="620">
        <v>6</v>
      </c>
      <c r="L71" t="s">
        <v>956</v>
      </c>
      <c r="P71" s="580"/>
      <c r="AU71" s="594"/>
      <c r="AV71" s="574">
        <f ca="1">100*(AX71-$AX$50)/(MAX($AX$50:INDEX(($AX$50:$AX$150),$F$35+1,1))-MIN($AX$50:INDEX(($AX$50:$AX$150),$F$35+1,1)))</f>
        <v>100</v>
      </c>
      <c r="AW71" s="659">
        <f ca="1">OFFSET('Trapezoidal Wing Summary'!C$45,((ROW('Trapezoidal Wing Summary'!$A66)-ROW('Trapezoidal Wing Summary'!$A$45))*100/$F$35),0)+$F$15</f>
        <v>10.655720157255999</v>
      </c>
      <c r="AX71" s="659">
        <f ca="1">OFFSET('Trapezoidal Wing Summary'!D$45,((ROW('Trapezoidal Wing Summary'!$A66)-ROW('Trapezoidal Wing Summary'!$A$45))*100/$F$35),0)+$F$16</f>
        <v>9.8425200000000004</v>
      </c>
      <c r="AY71" s="659">
        <f ca="1">OFFSET('Trapezoidal Wing Summary'!E$45,((ROW('Trapezoidal Wing Summary'!$A66)-ROW('Trapezoidal Wing Summary'!$A$45))*100/$F$35),0)+$F$17</f>
        <v>12.850247130368</v>
      </c>
      <c r="AZ71" s="41">
        <f ca="1">OFFSET('Trapezoidal Wing Summary'!F$45,((ROW('Trapezoidal Wing Summary'!$A66)-ROW('Trapezoidal Wing Summary'!$A$45))*100/$F$35),0)</f>
        <v>0</v>
      </c>
      <c r="BA71" s="41">
        <f ca="1">OFFSET('Trapezoidal Wing Summary'!G$45,((ROW('Trapezoidal Wing Summary'!$A66)-ROW('Trapezoidal Wing Summary'!$A$45))*100/$F$35),0)</f>
        <v>741.40867812678061</v>
      </c>
      <c r="BB71" s="41">
        <f ca="1">OFFSET('Trapezoidal Wing Summary'!H$45,((ROW('Trapezoidal Wing Summary'!$A66)-ROW('Trapezoidal Wing Summary'!$A$45))*100/$F$35),0)</f>
        <v>719.386554021915</v>
      </c>
      <c r="BC71" s="41">
        <f ca="1">OFFSET('Trapezoidal Wing Summary'!I$45,((ROW('Trapezoidal Wing Summary'!$A66)-ROW('Trapezoidal Wing Summary'!$A$45))*100/$F$35),0)</f>
        <v>0</v>
      </c>
      <c r="BD71" s="41">
        <f ca="1">OFFSET('Trapezoidal Wing Summary'!J$45,((ROW('Trapezoidal Wing Summary'!$A66)-ROW('Trapezoidal Wing Summary'!$A$45))*100/$F$35),0)</f>
        <v>0</v>
      </c>
      <c r="BE71" s="41">
        <f ca="1">OFFSET('Trapezoidal Wing Summary'!K$45,((ROW('Trapezoidal Wing Summary'!$A66)-ROW('Trapezoidal Wing Summary'!$A$45))*100/$F$35),0)</f>
        <v>0</v>
      </c>
      <c r="BF71" s="41">
        <f ca="1">OFFSET('Trapezoidal Wing Summary'!L$45,((ROW('Trapezoidal Wing Summary'!$A66)-ROW('Trapezoidal Wing Summary'!$A$45))*100/$F$35),0)</f>
        <v>605976.40798765339</v>
      </c>
      <c r="BG71" s="41">
        <f ca="1">OFFSET('Trapezoidal Wing Summary'!M$45,((ROW('Trapezoidal Wing Summary'!$A66)-ROW('Trapezoidal Wing Summary'!$A$45))*100/$F$35),0)</f>
        <v>0</v>
      </c>
      <c r="BH71" s="41">
        <f ca="1">OFFSET('Trapezoidal Wing Summary'!N$45,((ROW('Trapezoidal Wing Summary'!$A66)-ROW('Trapezoidal Wing Summary'!$A$45))*100/$F$35),0)</f>
        <v>0</v>
      </c>
      <c r="BI71" s="41">
        <f ca="1">OFFSET('Trapezoidal Wing Summary'!O$45,((ROW('Trapezoidal Wing Summary'!$A66)-ROW('Trapezoidal Wing Summary'!$A$45))*100/$F$35),0)</f>
        <v>0</v>
      </c>
      <c r="BJ71" s="41">
        <f ca="1">OFFSET('Trapezoidal Wing Summary'!P$45,((ROW('Trapezoidal Wing Summary'!$A66)-ROW('Trapezoidal Wing Summary'!$A$45))*100/$F$35),0)</f>
        <v>0</v>
      </c>
      <c r="BK71" s="41">
        <f ca="1">OFFSET('Trapezoidal Wing Summary'!Q$45,((ROW('Trapezoidal Wing Summary'!$A66)-ROW('Trapezoidal Wing Summary'!$A$45))*100/$F$35),0)</f>
        <v>0</v>
      </c>
      <c r="BL71" s="41">
        <f ca="1">OFFSET('Trapezoidal Wing Summary'!R$45,((ROW('Trapezoidal Wing Summary'!$A66)-ROW('Trapezoidal Wing Summary'!$A$45))*100/$F$35),0)</f>
        <v>1.4909477562944149</v>
      </c>
      <c r="BM71" s="41">
        <f ca="1">OFFSET('Trapezoidal Wing Summary'!S$45,((ROW('Trapezoidal Wing Summary'!$A66)-ROW('Trapezoidal Wing Summary'!$A$45))*100/$F$35),0)</f>
        <v>0.26445442965888227</v>
      </c>
      <c r="BN71" s="41">
        <f ca="1">OFFSET('Trapezoidal Wing Summary'!T$45,((ROW('Trapezoidal Wing Summary'!$A66)-ROW('Trapezoidal Wing Summary'!$A$45))*100/$F$35),0)</f>
        <v>0</v>
      </c>
      <c r="BO71" s="41">
        <f ca="1">OFFSET('Trapezoidal Wing Summary'!U$45,((ROW('Trapezoidal Wing Summary'!$A66)-ROW('Trapezoidal Wing Summary'!$A$45))*100/$F$35),0)</f>
        <v>0</v>
      </c>
      <c r="BP71" s="41">
        <f ca="1">OFFSET('Trapezoidal Wing Summary'!V$45,((ROW('Trapezoidal Wing Summary'!$A66)-ROW('Trapezoidal Wing Summary'!$A$45))*100/$F$35),0)</f>
        <v>0</v>
      </c>
      <c r="BQ71" s="41">
        <f ca="1">OFFSET('Trapezoidal Wing Summary'!W$45,((ROW('Trapezoidal Wing Summary'!$A66)-ROW('Trapezoidal Wing Summary'!$A$45))*100/$F$35),0)</f>
        <v>0</v>
      </c>
      <c r="BR71" s="41">
        <f ca="1">OFFSET('Trapezoidal Wing Summary'!X$45,((ROW('Trapezoidal Wing Summary'!$A66)-ROW('Trapezoidal Wing Summary'!$A$45))*100/$F$35),0)</f>
        <v>0</v>
      </c>
      <c r="BS71" s="41">
        <f ca="1">OFFSET('Trapezoidal Wing Summary'!Y$45,((ROW('Trapezoidal Wing Summary'!$A66)-ROW('Trapezoidal Wing Summary'!$A$45))*100/$F$35),0)</f>
        <v>0</v>
      </c>
      <c r="BT71" s="41">
        <f ca="1">OFFSET('Trapezoidal Wing Summary'!Z$45,((ROW('Trapezoidal Wing Summary'!$A66)-ROW('Trapezoidal Wing Summary'!$A$45))*100/$F$35),0)</f>
        <v>0.1171958942452539</v>
      </c>
      <c r="BU71" s="41">
        <f ca="1">OFFSET('Trapezoidal Wing Summary'!AA$45,((ROW('Trapezoidal Wing Summary'!$A66)-ROW('Trapezoidal Wing Summary'!$A$45))*100/$F$35),0)</f>
        <v>0</v>
      </c>
      <c r="BV71" s="41">
        <f ca="1">OFFSET('Trapezoidal Wing Summary'!AB$45,((ROW('Trapezoidal Wing Summary'!$A66)-ROW('Trapezoidal Wing Summary'!$A$45))*100/$F$35),0)</f>
        <v>0</v>
      </c>
      <c r="BW71" s="41">
        <f ca="1">OFFSET('Trapezoidal Wing Summary'!AC$45,((ROW('Trapezoidal Wing Summary'!$A66)-ROW('Trapezoidal Wing Summary'!$A$45))*100/$F$35),0)</f>
        <v>0</v>
      </c>
      <c r="BX71" s="41">
        <f ca="1">OFFSET('Trapezoidal Wing Summary'!AD$45,((ROW('Trapezoidal Wing Summary'!$A66)-ROW('Trapezoidal Wing Summary'!$A$45))*100/$F$35),0)</f>
        <v>2E-3</v>
      </c>
      <c r="BY71" s="41">
        <f ca="1">OFFSET('Trapezoidal Wing Summary'!AE$45,((ROW('Trapezoidal Wing Summary'!$A66)-ROW('Trapezoidal Wing Summary'!$A$45))*100/$F$35),0)</f>
        <v>2E-3</v>
      </c>
      <c r="BZ71" s="41">
        <f ca="1">OFFSET('Trapezoidal Wing Summary'!AF$45,((ROW('Trapezoidal Wing Summary'!$A66)-ROW('Trapezoidal Wing Summary'!$A$45))*100/$F$35),0)</f>
        <v>0</v>
      </c>
      <c r="CA71" s="41">
        <f ca="1">OFFSET('Trapezoidal Wing Summary'!AG$45,((ROW('Trapezoidal Wing Summary'!$A66)-ROW('Trapezoidal Wing Summary'!$A$45))*100/$F$35),0)</f>
        <v>0.10334645999999999</v>
      </c>
      <c r="CB71" s="41">
        <f ca="1">OFFSET('Trapezoidal Wing Summary'!AH$45,((ROW('Trapezoidal Wing Summary'!$A66)-ROW('Trapezoidal Wing Summary'!$A$45))*100/$F$35),0)</f>
        <v>3.4401401961156797E-4</v>
      </c>
      <c r="CC71" s="41">
        <f ca="1">OFFSET('Trapezoidal Wing Summary'!AI$45,((ROW('Trapezoidal Wing Summary'!$A66)-ROW('Trapezoidal Wing Summary'!$A$45))*100/$F$35),0)</f>
        <v>0</v>
      </c>
      <c r="CD71" s="41">
        <f>'REF - ASWING AERO-Imperial'!$R$5</f>
        <v>5.4999999999999997E-3</v>
      </c>
      <c r="CE71" s="41">
        <f>'REF - ASWING AERO-Imperial'!$R$6</f>
        <v>5.4999999999999997E-3</v>
      </c>
      <c r="CF71" s="41">
        <f ca="1">OFFSET('Trapezoidal Wing Summary'!AL$45,((ROW('Trapezoidal Wing Summary'!$A66)-ROW('Trapezoidal Wing Summary'!$A$45))*100/$F$35),0)</f>
        <v>1.1482939999999999</v>
      </c>
      <c r="CG71" s="41">
        <f ca="1">OFFSET('Trapezoidal Wing Summary'!AM$45,((ROW('Trapezoidal Wing Summary'!$A66)-ROW('Trapezoidal Wing Summary'!$A$45))*100/$F$35),0)</f>
        <v>0.25</v>
      </c>
      <c r="CH71" s="41">
        <f ca="1">OFFSET('Trapezoidal Wing Summary'!AN$45,((ROW('Trapezoidal Wing Summary'!$A66)-ROW('Trapezoidal Wing Summary'!$A$45))*100/$F$35),0)</f>
        <v>5.9</v>
      </c>
      <c r="CI71" s="41">
        <f ca="1">OFFSET('Trapezoidal Wing Summary'!AO$45,((ROW('Trapezoidal Wing Summary'!$A66)-ROW('Trapezoidal Wing Summary'!$A$45))*100/$F$35),0)</f>
        <v>-0.15</v>
      </c>
      <c r="CJ71" s="41">
        <f ca="1">OFFSET('Trapezoidal Wing Summary'!AP$45,((ROW('Trapezoidal Wing Summary'!$A66)-ROW('Trapezoidal Wing Summary'!$A$45))*100/$F$35),0)</f>
        <v>2.25</v>
      </c>
      <c r="CK71" s="41">
        <f ca="1">OFFSET('Trapezoidal Wing Summary'!AQ$45,((ROW('Trapezoidal Wing Summary'!$A66)-ROW('Trapezoidal Wing Summary'!$A$45))*100/$F$35),0)</f>
        <v>-1.65</v>
      </c>
      <c r="CL71" s="41">
        <f ca="1">OFFSET('Trapezoidal Wing Summary'!AR$45,((ROW('Trapezoidal Wing Summary'!$A66)-ROW('Trapezoidal Wing Summary'!$A$45))*100/$F$35),0)</f>
        <v>5.9690260418206069</v>
      </c>
      <c r="CM71" s="644" t="e">
        <f>'CANARD STRUCT'!#REF!</f>
        <v>#REF!</v>
      </c>
      <c r="CN71" s="642" t="e">
        <f>'CANARD STRUCT'!#REF!*3.28084</f>
        <v>#REF!</v>
      </c>
      <c r="CO71" s="642" t="e">
        <f>'CANARD STRUCT'!#REF!*3.28084</f>
        <v>#REF!</v>
      </c>
      <c r="CP71" s="642" t="e">
        <f>'CANARD STRUCT'!#REF!*3.28084</f>
        <v>#REF!</v>
      </c>
      <c r="CQ71" s="642" t="e">
        <f>'CANARD STRUCT'!#REF!</f>
        <v>#REF!</v>
      </c>
      <c r="CR71" s="685" t="e">
        <f>'CANARD STRUCT'!#REF!*0.224809*3.28084^2</f>
        <v>#REF!</v>
      </c>
      <c r="CS71" s="685" t="e">
        <f>'CANARD STRUCT'!#REF!*0.224809*3.28084^2</f>
        <v>#REF!</v>
      </c>
      <c r="CT71" s="685" t="e">
        <f>'CANARD STRUCT'!#REF!*0.224809*3.28084^2</f>
        <v>#REF!</v>
      </c>
      <c r="CU71" s="685" t="e">
        <f>'CANARD STRUCT'!#REF!*0.224809*3.28084^2</f>
        <v>#REF!</v>
      </c>
      <c r="CV71" s="685" t="e">
        <f>'CANARD STRUCT'!#REF!*0.224809*3.28084^2</f>
        <v>#REF!</v>
      </c>
      <c r="CW71" s="685" t="e">
        <f>'CANARD STRUCT'!#REF!*0.224809*3.28084^2</f>
        <v>#REF!</v>
      </c>
      <c r="CX71" s="642" t="e">
        <f>'CANARD STRUCT'!#REF!</f>
        <v>#REF!</v>
      </c>
      <c r="CY71" s="642" t="e">
        <f>'CANARD STRUCT'!#REF!*0.224809</f>
        <v>#REF!</v>
      </c>
      <c r="CZ71" s="642" t="e">
        <f>'CANARD STRUCT'!#REF!*0.224809</f>
        <v>#REF!</v>
      </c>
      <c r="DA71" s="642" t="e">
        <f>'CANARD STRUCT'!#REF!*2.20462*3.28084</f>
        <v>#REF!</v>
      </c>
      <c r="DB71" s="642" t="e">
        <f>'CANARD STRUCT'!#REF!*2.20462*3.28084</f>
        <v>#REF!</v>
      </c>
      <c r="DC71" s="642" t="e">
        <f>'CANARD STRUCT'!#REF!*2.20462/3.28084</f>
        <v>#REF!</v>
      </c>
      <c r="DD71" s="642" t="e">
        <f>'CANARD STRUCT'!#REF!*3.28084</f>
        <v>#REF!</v>
      </c>
      <c r="DE71" s="642" t="e">
        <f>'CANARD STRUCT'!#REF!*3.28084</f>
        <v>#REF!</v>
      </c>
      <c r="DF71" s="642" t="e">
        <f>'CANARD STRUCT'!#REF!*2.20462*3.28084</f>
        <v>#REF!</v>
      </c>
      <c r="DG71" s="642" t="e">
        <f>'CANARD STRUCT'!#REF!*2.20462*3.28084</f>
        <v>#REF!</v>
      </c>
      <c r="DH71" s="642" t="e">
        <f>'CANARD STRUCT'!#REF!*2.20462/3.28084</f>
        <v>#REF!</v>
      </c>
      <c r="DI71" s="642" t="e">
        <f>'CANARD STRUCT'!#REF!*3.28084</f>
        <v>#REF!</v>
      </c>
      <c r="DJ71" s="642" t="e">
        <f>'CANARD STRUCT'!#REF!*3.28084</f>
        <v>#REF!</v>
      </c>
      <c r="DK71" s="642" t="e">
        <f>'CANARD STRUCT'!#REF!*3.28084</f>
        <v>#REF!</v>
      </c>
      <c r="DL71" s="642" t="e">
        <f>'CANARD STRUCT'!#REF!*3.28084</f>
        <v>#REF!</v>
      </c>
      <c r="DM71" s="642" t="e">
        <f>'CANARD STRUCT'!#REF!*3.28084</f>
        <v>#REF!</v>
      </c>
      <c r="DN71" s="642" t="e">
        <f>'CANARD STRUCT'!#REF!*3.28084</f>
        <v>#REF!</v>
      </c>
      <c r="DO71" s="642" t="e">
        <f>'CANARD STRUCT'!#REF!</f>
        <v>#REF!</v>
      </c>
      <c r="DP71" s="642" t="e">
        <f>'CANARD STRUCT'!#REF!</f>
        <v>#REF!</v>
      </c>
      <c r="DQ71" s="642" t="e">
        <f>'CANARD STRUCT'!#REF!*3.28084</f>
        <v>#REF!</v>
      </c>
      <c r="DR71" s="642" t="e">
        <f>'CANARD STRUCT'!#REF!*3.28084</f>
        <v>#REF!</v>
      </c>
      <c r="DS71" s="642" t="e">
        <f>'CANARD STRUCT'!#REF!*3.28084^3</f>
        <v>#REF!</v>
      </c>
      <c r="DT71" s="642" t="e">
        <f>'CANARD STRUCT'!#REF!*3.28084</f>
        <v>#REF!</v>
      </c>
      <c r="DU71" s="642" t="e">
        <f>'CANARD STRUCT'!#REF!</f>
        <v>#REF!</v>
      </c>
      <c r="DV71" s="642" t="e">
        <f>'CANARD STRUCT'!#REF!</f>
        <v>#REF!</v>
      </c>
      <c r="DW71" s="642" t="e">
        <f>'CANARD STRUCT'!#REF!*3.28084</f>
        <v>#REF!</v>
      </c>
      <c r="DX71" s="642" t="e">
        <f>'CANARD STRUCT'!#REF!</f>
        <v>#REF!</v>
      </c>
      <c r="DY71" s="642" t="e">
        <f>'CANARD STRUCT'!#REF!</f>
        <v>#REF!</v>
      </c>
      <c r="DZ71" s="642" t="e">
        <f>'CANARD STRUCT'!#REF!</f>
        <v>#REF!</v>
      </c>
      <c r="EA71" s="642" t="e">
        <f>'CANARD STRUCT'!#REF!</f>
        <v>#REF!</v>
      </c>
      <c r="EB71" s="642" t="e">
        <f>'CANARD STRUCT'!#REF!</f>
        <v>#REF!</v>
      </c>
      <c r="EC71" s="641" t="e">
        <f>'CANARD STRUCT'!#REF!</f>
        <v>#REF!</v>
      </c>
    </row>
    <row r="72" spans="1:133" ht="15.75" customHeight="1" x14ac:dyDescent="0.25">
      <c r="A72" t="s">
        <v>908</v>
      </c>
      <c r="B72" s="664">
        <v>1.29731</v>
      </c>
      <c r="C72" s="664">
        <v>0</v>
      </c>
      <c r="D72" s="664">
        <v>-1.28</v>
      </c>
      <c r="E72" s="669" t="e">
        <f>'CANARD STRUCT'!#REF!* 3.28084</f>
        <v>#REF!</v>
      </c>
      <c r="F72" s="669" t="e">
        <f>'CANARD STRUCT'!#REF!* 3.28084</f>
        <v>#REF!</v>
      </c>
      <c r="G72" s="669" t="e">
        <f>'CANARD STRUCT'!#REF!* 3.28084</f>
        <v>#REF!</v>
      </c>
      <c r="H72" s="670" t="e">
        <f>'CANARD STRUCT'!#REF!*2.20462</f>
        <v>#REF!</v>
      </c>
      <c r="I72" s="667">
        <v>1</v>
      </c>
      <c r="J72" s="2">
        <v>0</v>
      </c>
      <c r="K72" s="620">
        <v>7</v>
      </c>
      <c r="L72" t="s">
        <v>957</v>
      </c>
      <c r="P72" s="580"/>
      <c r="AU72" s="594"/>
      <c r="AW72" s="207"/>
      <c r="AX72" s="207"/>
      <c r="BT72"/>
      <c r="CI72"/>
    </row>
    <row r="73" spans="1:133" x14ac:dyDescent="0.25">
      <c r="A73" t="s">
        <v>965</v>
      </c>
      <c r="B73" s="664">
        <v>2.2802699999999998</v>
      </c>
      <c r="C73" s="664">
        <v>0</v>
      </c>
      <c r="D73" s="664">
        <v>-0.22600000000000001</v>
      </c>
      <c r="E73" s="669" t="e">
        <f>'CANARD STRUCT'!#REF!* 3.28084</f>
        <v>#REF!</v>
      </c>
      <c r="F73" s="669" t="e">
        <f>'CANARD STRUCT'!#REF!* 3.28084</f>
        <v>#REF!</v>
      </c>
      <c r="G73" s="669" t="e">
        <f>'CANARD STRUCT'!#REF!* 3.28084</f>
        <v>#REF!</v>
      </c>
      <c r="H73" s="670" t="e">
        <f>'CANARD STRUCT'!#REF!*2.20462</f>
        <v>#REF!</v>
      </c>
      <c r="I73" s="667">
        <v>1</v>
      </c>
      <c r="J73" s="2">
        <v>0</v>
      </c>
      <c r="K73" s="620">
        <v>8</v>
      </c>
      <c r="L73" t="s">
        <v>958</v>
      </c>
      <c r="P73" s="580"/>
      <c r="AU73" s="594"/>
      <c r="AW73" s="207"/>
      <c r="AX73" s="207"/>
      <c r="BT73"/>
      <c r="CI73"/>
    </row>
    <row r="74" spans="1:133" x14ac:dyDescent="0.25">
      <c r="A74" t="s">
        <v>966</v>
      </c>
      <c r="B74" s="664">
        <v>2.4152300000000002</v>
      </c>
      <c r="C74" s="664">
        <v>0</v>
      </c>
      <c r="D74" s="664">
        <v>1.5</v>
      </c>
      <c r="E74" s="669" t="e">
        <f>'CANARD STRUCT'!#REF!* 3.28084</f>
        <v>#REF!</v>
      </c>
      <c r="F74" s="669" t="e">
        <f>'CANARD STRUCT'!#REF!* 3.28084</f>
        <v>#REF!</v>
      </c>
      <c r="G74" s="669" t="e">
        <f>'CANARD STRUCT'!#REF!* 3.28084</f>
        <v>#REF!</v>
      </c>
      <c r="H74" s="670" t="e">
        <f>'CANARD STRUCT'!#REF!*2.20462</f>
        <v>#REF!</v>
      </c>
      <c r="I74" s="667">
        <v>1</v>
      </c>
      <c r="J74" s="2">
        <v>0</v>
      </c>
      <c r="K74" s="620">
        <v>9</v>
      </c>
      <c r="L74" t="s">
        <v>959</v>
      </c>
      <c r="P74" s="580"/>
      <c r="AU74" s="594"/>
      <c r="AW74" s="207"/>
      <c r="AX74" s="207"/>
      <c r="BT74"/>
      <c r="CI74"/>
    </row>
    <row r="75" spans="1:133" x14ac:dyDescent="0.25">
      <c r="A75" t="s">
        <v>967</v>
      </c>
      <c r="B75" s="664">
        <v>1.4825280000000001</v>
      </c>
      <c r="C75" s="664">
        <v>7.6999999999999999E-2</v>
      </c>
      <c r="D75" s="664">
        <v>-1.678736</v>
      </c>
      <c r="E75" s="669" t="e">
        <f>'CANARD STRUCT'!#REF!* 3.28084</f>
        <v>#REF!</v>
      </c>
      <c r="F75" s="669" t="e">
        <f>'CANARD STRUCT'!#REF!* 3.28084</f>
        <v>#REF!</v>
      </c>
      <c r="G75" s="669" t="e">
        <f>'CANARD STRUCT'!#REF!* 3.28084</f>
        <v>#REF!</v>
      </c>
      <c r="H75" s="670" t="e">
        <f>'CANARD STRUCT'!#REF!*2.20462</f>
        <v>#REF!</v>
      </c>
      <c r="I75" s="667">
        <v>1</v>
      </c>
      <c r="J75" s="2">
        <v>0</v>
      </c>
      <c r="K75" s="620">
        <v>10</v>
      </c>
      <c r="L75" t="s">
        <v>960</v>
      </c>
      <c r="P75" s="580"/>
      <c r="AU75" s="594"/>
      <c r="AW75" s="207"/>
      <c r="AX75" s="207"/>
      <c r="BT75"/>
      <c r="CI75"/>
    </row>
    <row r="76" spans="1:133" ht="15" customHeight="1" x14ac:dyDescent="0.25">
      <c r="K76" s="575"/>
      <c r="P76" s="580"/>
      <c r="AU76" s="594"/>
      <c r="AW76" s="207"/>
      <c r="AX76" s="207"/>
      <c r="BT76"/>
      <c r="CI76"/>
    </row>
    <row r="77" spans="1:133" x14ac:dyDescent="0.25">
      <c r="P77" s="580"/>
      <c r="AU77" s="594"/>
      <c r="AW77" s="207"/>
      <c r="AX77" s="207"/>
      <c r="BT77"/>
      <c r="CI77"/>
    </row>
    <row r="78" spans="1:133" x14ac:dyDescent="0.25">
      <c r="P78" s="580"/>
      <c r="AU78" s="594"/>
      <c r="AW78" s="207"/>
      <c r="AX78" s="207"/>
      <c r="BT78"/>
      <c r="CI78"/>
    </row>
    <row r="79" spans="1:133" ht="30" x14ac:dyDescent="0.25">
      <c r="F79" s="136" t="s">
        <v>975</v>
      </c>
      <c r="H79" s="659" t="e">
        <f>SUM(H52:H77)</f>
        <v>#REF!</v>
      </c>
      <c r="I79" s="5"/>
      <c r="P79" s="580"/>
      <c r="AU79" s="594"/>
      <c r="AW79" s="207"/>
      <c r="AX79" s="207"/>
      <c r="BT79"/>
      <c r="CI79"/>
    </row>
    <row r="80" spans="1:133" ht="31.5" customHeight="1" x14ac:dyDescent="0.25">
      <c r="F80" s="136"/>
      <c r="P80" s="580"/>
      <c r="AU80" s="594"/>
      <c r="AW80" s="207"/>
      <c r="BT80"/>
      <c r="CI80"/>
    </row>
    <row r="81" spans="16:87" x14ac:dyDescent="0.25">
      <c r="P81" s="580"/>
      <c r="AU81" s="594"/>
      <c r="AW81" s="207"/>
      <c r="BT81"/>
      <c r="CI81"/>
    </row>
    <row r="82" spans="16:87" x14ac:dyDescent="0.25">
      <c r="P82" s="580"/>
      <c r="AU82" s="594"/>
      <c r="AW82" s="207"/>
      <c r="BT82"/>
      <c r="CI82"/>
    </row>
    <row r="83" spans="16:87" x14ac:dyDescent="0.25">
      <c r="P83" s="580"/>
      <c r="AU83" s="594"/>
      <c r="AW83" s="207"/>
      <c r="BT83"/>
      <c r="CI83"/>
    </row>
    <row r="84" spans="16:87" x14ac:dyDescent="0.25">
      <c r="P84" s="580"/>
      <c r="AU84" s="594"/>
      <c r="AW84" s="207"/>
      <c r="BT84"/>
      <c r="CI84"/>
    </row>
    <row r="85" spans="16:87" x14ac:dyDescent="0.25">
      <c r="P85" s="580"/>
      <c r="AU85" s="594"/>
      <c r="AW85" s="207"/>
      <c r="BT85"/>
      <c r="CI85"/>
    </row>
    <row r="86" spans="16:87" x14ac:dyDescent="0.25">
      <c r="P86" s="580"/>
      <c r="AU86" s="594"/>
      <c r="BT86"/>
      <c r="CI86"/>
    </row>
    <row r="87" spans="16:87" x14ac:dyDescent="0.25">
      <c r="P87" s="580"/>
      <c r="AU87" s="594"/>
      <c r="BT87"/>
      <c r="CI87"/>
    </row>
    <row r="88" spans="16:87" x14ac:dyDescent="0.25">
      <c r="P88" s="580"/>
      <c r="AU88" s="594"/>
      <c r="BT88"/>
      <c r="CI88"/>
    </row>
    <row r="89" spans="16:87" x14ac:dyDescent="0.25">
      <c r="P89" s="580"/>
      <c r="AU89" s="594"/>
      <c r="BT89"/>
      <c r="CI89"/>
    </row>
    <row r="90" spans="16:87" x14ac:dyDescent="0.25">
      <c r="P90" s="580"/>
      <c r="AU90" s="594"/>
      <c r="BT90"/>
      <c r="CI90"/>
    </row>
    <row r="91" spans="16:87" x14ac:dyDescent="0.25">
      <c r="P91" s="580"/>
      <c r="AU91" s="594"/>
      <c r="BT91"/>
      <c r="CI91"/>
    </row>
    <row r="92" spans="16:87" x14ac:dyDescent="0.25">
      <c r="P92" s="580"/>
      <c r="AU92" s="594"/>
      <c r="BT92"/>
      <c r="CI92"/>
    </row>
    <row r="93" spans="16:87" x14ac:dyDescent="0.25">
      <c r="P93" s="580"/>
      <c r="AU93" s="594"/>
      <c r="BT93"/>
      <c r="CI93"/>
    </row>
    <row r="94" spans="16:87" x14ac:dyDescent="0.25">
      <c r="P94" s="580"/>
      <c r="AU94" s="594"/>
      <c r="BT94"/>
      <c r="CI94"/>
    </row>
    <row r="95" spans="16:87" x14ac:dyDescent="0.25">
      <c r="P95" s="580"/>
      <c r="AU95" s="594"/>
      <c r="BT95"/>
      <c r="CI95"/>
    </row>
    <row r="96" spans="16:87" x14ac:dyDescent="0.25">
      <c r="P96" s="580"/>
      <c r="AU96" s="594"/>
      <c r="BT96"/>
      <c r="CI96"/>
    </row>
    <row r="97" spans="16:87" x14ac:dyDescent="0.25">
      <c r="P97" s="580"/>
      <c r="AU97" s="594"/>
      <c r="BT97"/>
      <c r="CI97"/>
    </row>
    <row r="98" spans="16:87" x14ac:dyDescent="0.25">
      <c r="P98" s="580"/>
      <c r="AU98" s="594"/>
      <c r="BT98"/>
      <c r="CI98"/>
    </row>
    <row r="99" spans="16:87" x14ac:dyDescent="0.25">
      <c r="P99" s="580"/>
      <c r="AU99" s="594"/>
      <c r="BT99"/>
      <c r="CI99"/>
    </row>
    <row r="100" spans="16:87" x14ac:dyDescent="0.25">
      <c r="P100" s="580"/>
      <c r="AU100" s="594"/>
      <c r="BT100"/>
      <c r="CI100"/>
    </row>
    <row r="120" spans="7:7" x14ac:dyDescent="0.25">
      <c r="G120" s="207"/>
    </row>
  </sheetData>
  <mergeCells count="2">
    <mergeCell ref="I49:I50"/>
    <mergeCell ref="A50:A5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D50"/>
  <sheetViews>
    <sheetView workbookViewId="0">
      <selection activeCell="C50" sqref="C50"/>
    </sheetView>
  </sheetViews>
  <sheetFormatPr defaultRowHeight="15" x14ac:dyDescent="0.25"/>
  <cols>
    <col min="1" max="1" width="25.85546875" bestFit="1" customWidth="1"/>
    <col min="2" max="2" width="46.5703125" bestFit="1" customWidth="1"/>
    <col min="3" max="5" width="13.140625" bestFit="1" customWidth="1"/>
    <col min="6" max="6" width="13.140625" customWidth="1"/>
    <col min="7" max="7" width="9.140625" customWidth="1"/>
    <col min="8" max="9" width="8.7109375" customWidth="1"/>
    <col min="10" max="10" width="13.140625" bestFit="1" customWidth="1"/>
    <col min="11" max="12" width="13.140625" customWidth="1"/>
    <col min="13" max="15" width="8.7109375" customWidth="1"/>
    <col min="16" max="18" width="12.140625" customWidth="1"/>
    <col min="19" max="19" width="10.42578125" customWidth="1"/>
    <col min="20" max="20" width="9.85546875" customWidth="1"/>
    <col min="21" max="22" width="13.140625" bestFit="1" customWidth="1"/>
    <col min="23" max="23" width="13.140625" customWidth="1"/>
    <col min="24" max="25" width="14.140625" bestFit="1" customWidth="1"/>
    <col min="26" max="26" width="14.140625" customWidth="1"/>
    <col min="27" max="28" width="13.140625" bestFit="1" customWidth="1"/>
    <col min="29" max="29" width="13.140625" customWidth="1"/>
    <col min="30" max="30" width="8.7109375" customWidth="1"/>
  </cols>
  <sheetData>
    <row r="1" spans="1:5" x14ac:dyDescent="0.25">
      <c r="A1" t="s">
        <v>483</v>
      </c>
    </row>
    <row r="2" spans="1:5" ht="15.75" thickBot="1" x14ac:dyDescent="0.3"/>
    <row r="3" spans="1:5" x14ac:dyDescent="0.25">
      <c r="A3" s="23" t="s">
        <v>62</v>
      </c>
      <c r="B3" s="24" t="s">
        <v>32</v>
      </c>
      <c r="C3" s="24" t="s">
        <v>43</v>
      </c>
      <c r="D3" s="24" t="s">
        <v>5</v>
      </c>
      <c r="E3" s="369">
        <v>50000</v>
      </c>
    </row>
    <row r="4" spans="1:5" x14ac:dyDescent="0.25">
      <c r="A4" s="25" t="s">
        <v>493</v>
      </c>
      <c r="B4" s="2" t="s">
        <v>33</v>
      </c>
      <c r="C4" s="2" t="s">
        <v>44</v>
      </c>
      <c r="D4" s="2" t="s">
        <v>5</v>
      </c>
      <c r="E4" s="370">
        <v>50000</v>
      </c>
    </row>
    <row r="5" spans="1:5" x14ac:dyDescent="0.25">
      <c r="A5" s="25"/>
      <c r="B5" s="2" t="s">
        <v>31</v>
      </c>
      <c r="C5" s="2" t="s">
        <v>37</v>
      </c>
      <c r="D5" s="2" t="s">
        <v>5</v>
      </c>
      <c r="E5" s="370">
        <v>17000000</v>
      </c>
    </row>
    <row r="6" spans="1:5" x14ac:dyDescent="0.25">
      <c r="A6" s="25"/>
      <c r="B6" s="2" t="s">
        <v>454</v>
      </c>
      <c r="C6" s="2" t="s">
        <v>456</v>
      </c>
      <c r="D6" s="127" t="s">
        <v>4</v>
      </c>
      <c r="E6" s="371">
        <v>0.1</v>
      </c>
    </row>
    <row r="7" spans="1:5" ht="15.75" thickBot="1" x14ac:dyDescent="0.3">
      <c r="A7" s="26"/>
      <c r="B7" s="1" t="s">
        <v>30</v>
      </c>
      <c r="C7" s="1" t="s">
        <v>38</v>
      </c>
      <c r="D7" s="1" t="s">
        <v>39</v>
      </c>
      <c r="E7" s="368">
        <v>0.06</v>
      </c>
    </row>
    <row r="8" spans="1:5" x14ac:dyDescent="0.25">
      <c r="A8" s="23" t="s">
        <v>41</v>
      </c>
      <c r="B8" s="24" t="s">
        <v>42</v>
      </c>
      <c r="C8" s="24" t="s">
        <v>47</v>
      </c>
      <c r="D8" s="24" t="s">
        <v>5</v>
      </c>
      <c r="E8" s="369">
        <v>90000</v>
      </c>
    </row>
    <row r="9" spans="1:5" x14ac:dyDescent="0.25">
      <c r="A9" s="25" t="s">
        <v>40</v>
      </c>
      <c r="B9" s="2" t="s">
        <v>45</v>
      </c>
      <c r="C9" s="2" t="s">
        <v>48</v>
      </c>
      <c r="D9" s="2" t="s">
        <v>5</v>
      </c>
      <c r="E9" s="370">
        <v>3700000</v>
      </c>
    </row>
    <row r="10" spans="1:5" x14ac:dyDescent="0.25">
      <c r="A10" s="25" t="s">
        <v>106</v>
      </c>
      <c r="B10" s="2" t="s">
        <v>60</v>
      </c>
      <c r="C10" s="2" t="s">
        <v>46</v>
      </c>
      <c r="D10" s="2" t="s">
        <v>5</v>
      </c>
      <c r="E10" s="370">
        <v>2100000</v>
      </c>
    </row>
    <row r="11" spans="1:5" x14ac:dyDescent="0.25">
      <c r="A11" s="25"/>
      <c r="B11" s="2" t="s">
        <v>216</v>
      </c>
      <c r="C11" s="2" t="s">
        <v>215</v>
      </c>
      <c r="D11" s="127" t="s">
        <v>5</v>
      </c>
      <c r="E11" s="370">
        <v>7800000</v>
      </c>
    </row>
    <row r="12" spans="1:5" x14ac:dyDescent="0.25">
      <c r="A12" s="25"/>
      <c r="B12" s="2" t="s">
        <v>49</v>
      </c>
      <c r="C12" s="2" t="s">
        <v>51</v>
      </c>
      <c r="D12" s="2" t="s">
        <v>39</v>
      </c>
      <c r="E12" s="368">
        <v>0.06</v>
      </c>
    </row>
    <row r="13" spans="1:5" ht="15.75" thickBot="1" x14ac:dyDescent="0.3">
      <c r="A13" s="26"/>
      <c r="B13" s="1" t="s">
        <v>50</v>
      </c>
      <c r="C13" s="1" t="s">
        <v>52</v>
      </c>
      <c r="D13" s="1" t="s">
        <v>4</v>
      </c>
      <c r="E13" s="372">
        <v>8.0000000000000002E-3</v>
      </c>
    </row>
    <row r="14" spans="1:5" x14ac:dyDescent="0.25">
      <c r="A14" s="27" t="s">
        <v>61</v>
      </c>
      <c r="B14" s="3" t="s">
        <v>53</v>
      </c>
      <c r="C14" s="3" t="s">
        <v>54</v>
      </c>
      <c r="D14" s="3" t="s">
        <v>5</v>
      </c>
      <c r="E14" s="369">
        <v>8200</v>
      </c>
    </row>
    <row r="15" spans="1:5" x14ac:dyDescent="0.25">
      <c r="A15" s="143"/>
      <c r="B15" s="2" t="s">
        <v>203</v>
      </c>
      <c r="C15" s="2" t="s">
        <v>204</v>
      </c>
      <c r="D15" s="2" t="s">
        <v>5</v>
      </c>
      <c r="E15" s="370">
        <v>2600</v>
      </c>
    </row>
    <row r="16" spans="1:5" x14ac:dyDescent="0.25">
      <c r="A16" s="25" t="s">
        <v>105</v>
      </c>
      <c r="B16" s="2" t="s">
        <v>55</v>
      </c>
      <c r="C16" s="2" t="s">
        <v>57</v>
      </c>
      <c r="D16" s="2" t="s">
        <v>5</v>
      </c>
      <c r="E16" s="370">
        <v>120</v>
      </c>
    </row>
    <row r="17" spans="1:30" x14ac:dyDescent="0.25">
      <c r="A17" s="25"/>
      <c r="B17" s="2" t="s">
        <v>56</v>
      </c>
      <c r="C17" s="2" t="s">
        <v>57</v>
      </c>
      <c r="D17" s="2" t="s">
        <v>5</v>
      </c>
      <c r="E17" s="370">
        <v>100</v>
      </c>
    </row>
    <row r="18" spans="1:30" ht="15.75" thickBot="1" x14ac:dyDescent="0.3">
      <c r="A18" s="28"/>
      <c r="B18" s="29" t="s">
        <v>58</v>
      </c>
      <c r="C18" s="29" t="s">
        <v>59</v>
      </c>
      <c r="D18" s="29" t="s">
        <v>39</v>
      </c>
      <c r="E18" s="372">
        <v>2.3E-3</v>
      </c>
    </row>
    <row r="20" spans="1:30" x14ac:dyDescent="0.25">
      <c r="A20" s="31"/>
    </row>
    <row r="21" spans="1:30" x14ac:dyDescent="0.25">
      <c r="A21" s="5"/>
    </row>
    <row r="22" spans="1:30" x14ac:dyDescent="0.25">
      <c r="A22" s="204" t="s">
        <v>520</v>
      </c>
      <c r="B22" s="32" t="s">
        <v>64</v>
      </c>
      <c r="C22" s="32" t="s">
        <v>65</v>
      </c>
      <c r="D22" s="32" t="s">
        <v>66</v>
      </c>
      <c r="E22" s="32" t="s">
        <v>67</v>
      </c>
      <c r="F22" s="32" t="s">
        <v>68</v>
      </c>
      <c r="G22" s="32" t="s">
        <v>69</v>
      </c>
      <c r="H22" s="32" t="s">
        <v>70</v>
      </c>
      <c r="I22" s="32" t="s">
        <v>71</v>
      </c>
      <c r="J22" s="32" t="s">
        <v>72</v>
      </c>
      <c r="K22" s="32" t="s">
        <v>73</v>
      </c>
      <c r="L22" s="32" t="s">
        <v>74</v>
      </c>
      <c r="M22" s="32" t="s">
        <v>75</v>
      </c>
      <c r="N22" s="32" t="s">
        <v>76</v>
      </c>
      <c r="O22" s="32" t="s">
        <v>77</v>
      </c>
      <c r="P22" s="32" t="s">
        <v>78</v>
      </c>
      <c r="Q22" s="32" t="s">
        <v>79</v>
      </c>
      <c r="R22" s="32" t="s">
        <v>80</v>
      </c>
      <c r="S22" s="32" t="s">
        <v>81</v>
      </c>
      <c r="T22" s="32" t="s">
        <v>82</v>
      </c>
      <c r="U22" s="32" t="s">
        <v>83</v>
      </c>
      <c r="V22" s="32" t="s">
        <v>84</v>
      </c>
      <c r="W22" s="32" t="s">
        <v>85</v>
      </c>
      <c r="X22" s="32" t="s">
        <v>86</v>
      </c>
      <c r="Y22" s="32" t="s">
        <v>87</v>
      </c>
      <c r="Z22" s="32" t="s">
        <v>88</v>
      </c>
      <c r="AA22" s="32" t="s">
        <v>89</v>
      </c>
      <c r="AB22" s="32" t="s">
        <v>90</v>
      </c>
      <c r="AC22" s="32" t="s">
        <v>91</v>
      </c>
      <c r="AD22" s="32" t="s">
        <v>92</v>
      </c>
    </row>
    <row r="23" spans="1:30" ht="15.75" customHeight="1" x14ac:dyDescent="0.25">
      <c r="B23" s="33"/>
      <c r="C23" s="75"/>
      <c r="D23" s="75" t="s">
        <v>93</v>
      </c>
      <c r="E23" s="75" t="s">
        <v>93</v>
      </c>
      <c r="F23" s="75" t="s">
        <v>93</v>
      </c>
      <c r="G23" s="75" t="s">
        <v>94</v>
      </c>
      <c r="H23" s="75" t="s">
        <v>94</v>
      </c>
      <c r="I23" s="75" t="s">
        <v>94</v>
      </c>
      <c r="J23" s="75" t="s">
        <v>93</v>
      </c>
      <c r="K23" s="75" t="s">
        <v>93</v>
      </c>
      <c r="L23" s="75" t="s">
        <v>93</v>
      </c>
      <c r="M23" s="75" t="s">
        <v>95</v>
      </c>
      <c r="N23" s="75" t="s">
        <v>95</v>
      </c>
      <c r="O23" s="75" t="s">
        <v>95</v>
      </c>
      <c r="P23" s="75" t="s">
        <v>96</v>
      </c>
      <c r="Q23" s="75" t="s">
        <v>96</v>
      </c>
      <c r="R23" s="75" t="s">
        <v>96</v>
      </c>
      <c r="S23" s="75" t="s">
        <v>97</v>
      </c>
      <c r="T23" s="75" t="s">
        <v>98</v>
      </c>
      <c r="U23" s="75" t="s">
        <v>93</v>
      </c>
      <c r="V23" s="75" t="s">
        <v>93</v>
      </c>
      <c r="W23" s="75" t="s">
        <v>93</v>
      </c>
      <c r="X23" s="75" t="s">
        <v>93</v>
      </c>
      <c r="Y23" s="75" t="s">
        <v>93</v>
      </c>
      <c r="Z23" s="75" t="s">
        <v>93</v>
      </c>
      <c r="AA23" s="75" t="s">
        <v>93</v>
      </c>
      <c r="AB23" s="75" t="s">
        <v>93</v>
      </c>
      <c r="AC23" s="33" t="s">
        <v>93</v>
      </c>
      <c r="AD23" s="33" t="s">
        <v>99</v>
      </c>
    </row>
    <row r="24" spans="1:30" x14ac:dyDescent="0.25">
      <c r="B24" s="34" t="s">
        <v>492</v>
      </c>
      <c r="C24" s="76" t="s">
        <v>100</v>
      </c>
      <c r="D24" s="77">
        <v>119000000</v>
      </c>
      <c r="E24" s="77">
        <v>8410000</v>
      </c>
      <c r="F24" s="77">
        <v>8410000</v>
      </c>
      <c r="G24" s="78">
        <v>0.28999999999999998</v>
      </c>
      <c r="H24" s="78">
        <v>0.28999999999999998</v>
      </c>
      <c r="I24" s="78">
        <v>0.3</v>
      </c>
      <c r="J24" s="77">
        <v>4230000</v>
      </c>
      <c r="K24" s="77">
        <v>4230000</v>
      </c>
      <c r="L24" s="77">
        <v>2760000</v>
      </c>
      <c r="M24" s="77">
        <v>1.1800000000000001E-5</v>
      </c>
      <c r="N24" s="77">
        <v>1.1800000000000001E-5</v>
      </c>
      <c r="O24" s="77">
        <v>1.1800000000000001E-5</v>
      </c>
      <c r="P24" s="77">
        <v>45000</v>
      </c>
      <c r="Q24" s="77">
        <v>45000</v>
      </c>
      <c r="R24" s="77">
        <v>45000</v>
      </c>
      <c r="S24" s="77">
        <v>0</v>
      </c>
      <c r="T24" s="77">
        <v>1.61E-6</v>
      </c>
      <c r="U24" s="77">
        <v>2300000</v>
      </c>
      <c r="V24" s="77">
        <v>42800</v>
      </c>
      <c r="W24" s="77">
        <v>42800</v>
      </c>
      <c r="X24" s="77">
        <v>1330000</v>
      </c>
      <c r="Y24" s="77">
        <v>180000</v>
      </c>
      <c r="Z24" s="77">
        <v>180000</v>
      </c>
      <c r="AA24" s="77">
        <v>125000</v>
      </c>
      <c r="AB24" s="78">
        <v>86000</v>
      </c>
      <c r="AC24" s="35">
        <v>86000</v>
      </c>
      <c r="AD24" s="34" t="s">
        <v>101</v>
      </c>
    </row>
    <row r="25" spans="1:30" x14ac:dyDescent="0.25">
      <c r="B25" s="34" t="s">
        <v>102</v>
      </c>
      <c r="C25" s="76" t="s">
        <v>100</v>
      </c>
      <c r="D25" s="77">
        <v>54200000</v>
      </c>
      <c r="E25" s="77">
        <v>54200000</v>
      </c>
      <c r="F25" s="77">
        <v>8410000</v>
      </c>
      <c r="G25" s="78">
        <v>4.2000000000000003E-2</v>
      </c>
      <c r="H25" s="78">
        <v>0.3</v>
      </c>
      <c r="I25" s="78">
        <v>0.3</v>
      </c>
      <c r="J25" s="77">
        <v>4210000</v>
      </c>
      <c r="K25" s="77">
        <v>3450000</v>
      </c>
      <c r="L25" s="77">
        <v>3450000</v>
      </c>
      <c r="M25" s="77">
        <v>1.1800000000000001E-5</v>
      </c>
      <c r="N25" s="77">
        <v>1.1800000000000001E-5</v>
      </c>
      <c r="O25" s="77">
        <v>1.1800000000000001E-5</v>
      </c>
      <c r="P25" s="77">
        <v>45000</v>
      </c>
      <c r="Q25" s="77">
        <v>45000</v>
      </c>
      <c r="R25" s="77">
        <v>45000</v>
      </c>
      <c r="S25" s="77">
        <v>0</v>
      </c>
      <c r="T25" s="77">
        <v>1.5600000000000001E-6</v>
      </c>
      <c r="U25" s="77">
        <v>678000</v>
      </c>
      <c r="V25" s="77">
        <v>678000</v>
      </c>
      <c r="W25" s="77">
        <v>42800</v>
      </c>
      <c r="X25" s="77">
        <v>703000</v>
      </c>
      <c r="Y25" s="77">
        <v>703000</v>
      </c>
      <c r="Z25" s="77">
        <v>180000</v>
      </c>
      <c r="AA25" s="77">
        <v>125000</v>
      </c>
      <c r="AB25" s="78">
        <v>86000</v>
      </c>
      <c r="AC25" s="35">
        <v>86000</v>
      </c>
      <c r="AD25" s="34" t="s">
        <v>101</v>
      </c>
    </row>
    <row r="26" spans="1:30" ht="15.75" customHeight="1" x14ac:dyDescent="0.25">
      <c r="B26" s="36" t="s">
        <v>103</v>
      </c>
      <c r="C26" s="76" t="s">
        <v>104</v>
      </c>
      <c r="D26" s="79">
        <v>57000</v>
      </c>
      <c r="E26" s="79">
        <v>57000</v>
      </c>
      <c r="F26" s="79">
        <v>57000</v>
      </c>
      <c r="G26" s="76">
        <v>0.32</v>
      </c>
      <c r="H26" s="76">
        <v>0.32</v>
      </c>
      <c r="I26" s="76">
        <v>0.32</v>
      </c>
      <c r="J26" s="79">
        <v>18000</v>
      </c>
      <c r="K26" s="79">
        <v>18000</v>
      </c>
      <c r="L26" s="79">
        <v>18000</v>
      </c>
      <c r="M26" s="79">
        <v>1.1800000000000001E-5</v>
      </c>
      <c r="N26" s="79">
        <v>1.1800000000000001E-5</v>
      </c>
      <c r="O26" s="79">
        <v>1.1800000000000001E-5</v>
      </c>
      <c r="P26" s="79">
        <v>45000</v>
      </c>
      <c r="Q26" s="79">
        <v>45000</v>
      </c>
      <c r="R26" s="79">
        <v>45000</v>
      </c>
      <c r="S26" s="79">
        <v>0</v>
      </c>
      <c r="T26" s="79">
        <v>6.5E-8</v>
      </c>
      <c r="U26" s="79">
        <v>1500</v>
      </c>
      <c r="V26" s="79">
        <v>1500</v>
      </c>
      <c r="W26" s="79">
        <v>1500</v>
      </c>
      <c r="X26" s="79">
        <v>850</v>
      </c>
      <c r="Y26" s="79">
        <v>850</v>
      </c>
      <c r="Z26" s="79">
        <v>850</v>
      </c>
      <c r="AA26" s="79">
        <v>750</v>
      </c>
      <c r="AB26" s="79">
        <v>750</v>
      </c>
      <c r="AC26" s="37">
        <v>750</v>
      </c>
      <c r="AD26" s="36" t="s">
        <v>101</v>
      </c>
    </row>
    <row r="27" spans="1:30" ht="15.75" customHeight="1" x14ac:dyDescent="0.25">
      <c r="B27" s="39"/>
      <c r="C27" s="39"/>
      <c r="D27" s="40"/>
      <c r="E27" s="40"/>
      <c r="F27" s="40"/>
      <c r="G27" s="38"/>
      <c r="H27" s="38"/>
      <c r="I27" s="38"/>
      <c r="J27" s="40"/>
      <c r="K27" s="40"/>
      <c r="L27" s="40"/>
      <c r="M27" s="40"/>
      <c r="N27" s="40"/>
      <c r="O27" s="40"/>
      <c r="P27" s="40"/>
      <c r="Q27" s="40"/>
      <c r="R27" s="40"/>
      <c r="S27" s="40"/>
      <c r="T27" s="40"/>
      <c r="U27" s="40"/>
      <c r="V27" s="40"/>
      <c r="W27" s="40"/>
      <c r="X27" s="40"/>
      <c r="Y27" s="40"/>
      <c r="Z27" s="40"/>
      <c r="AA27" s="40"/>
      <c r="AB27" s="40"/>
      <c r="AC27" s="40"/>
      <c r="AD27" s="39"/>
    </row>
    <row r="28" spans="1:30" ht="15.75" thickBot="1" x14ac:dyDescent="0.3"/>
    <row r="29" spans="1:30" ht="15.75" thickBot="1" x14ac:dyDescent="0.3">
      <c r="B29" s="81" t="s">
        <v>64</v>
      </c>
      <c r="C29" s="95" t="s">
        <v>65</v>
      </c>
      <c r="D29" s="98" t="s">
        <v>66</v>
      </c>
      <c r="E29" s="99" t="s">
        <v>67</v>
      </c>
      <c r="F29" s="96" t="s">
        <v>68</v>
      </c>
      <c r="G29" s="88" t="s">
        <v>69</v>
      </c>
      <c r="H29" s="88" t="s">
        <v>70</v>
      </c>
      <c r="I29" s="100" t="s">
        <v>71</v>
      </c>
      <c r="J29" s="107" t="s">
        <v>72</v>
      </c>
      <c r="K29" s="96" t="s">
        <v>73</v>
      </c>
      <c r="L29" s="88" t="s">
        <v>74</v>
      </c>
      <c r="M29" s="89" t="s">
        <v>75</v>
      </c>
      <c r="N29" s="89" t="s">
        <v>76</v>
      </c>
      <c r="O29" s="89" t="s">
        <v>77</v>
      </c>
      <c r="P29" s="89" t="s">
        <v>78</v>
      </c>
      <c r="Q29" s="89" t="s">
        <v>79</v>
      </c>
      <c r="R29" s="89" t="s">
        <v>80</v>
      </c>
      <c r="S29" s="109" t="s">
        <v>81</v>
      </c>
      <c r="T29" s="107" t="s">
        <v>82</v>
      </c>
      <c r="U29" s="110" t="s">
        <v>83</v>
      </c>
      <c r="V29" s="89" t="s">
        <v>84</v>
      </c>
      <c r="W29" s="109" t="s">
        <v>85</v>
      </c>
      <c r="X29" s="87" t="s">
        <v>86</v>
      </c>
      <c r="Y29" s="89" t="s">
        <v>87</v>
      </c>
      <c r="Z29" s="89" t="s">
        <v>88</v>
      </c>
      <c r="AA29" s="90" t="s">
        <v>89</v>
      </c>
      <c r="AB29" s="115" t="s">
        <v>90</v>
      </c>
      <c r="AC29" s="83" t="s">
        <v>91</v>
      </c>
      <c r="AD29" s="32" t="s">
        <v>92</v>
      </c>
    </row>
    <row r="30" spans="1:30" ht="15.75" customHeight="1" x14ac:dyDescent="0.25">
      <c r="B30" s="44"/>
      <c r="C30" s="91"/>
      <c r="D30" s="47" t="s">
        <v>5</v>
      </c>
      <c r="E30" s="48" t="s">
        <v>5</v>
      </c>
      <c r="F30" s="97" t="s">
        <v>5</v>
      </c>
      <c r="G30" s="62" t="s">
        <v>14</v>
      </c>
      <c r="H30" s="63" t="s">
        <v>14</v>
      </c>
      <c r="I30" s="101" t="s">
        <v>14</v>
      </c>
      <c r="J30" s="108" t="s">
        <v>5</v>
      </c>
      <c r="K30" s="104" t="s">
        <v>5</v>
      </c>
      <c r="L30" s="60" t="s">
        <v>5</v>
      </c>
      <c r="M30" s="45"/>
      <c r="N30" s="33"/>
      <c r="O30" s="33"/>
      <c r="P30" s="33"/>
      <c r="Q30" s="33"/>
      <c r="R30" s="33"/>
      <c r="S30" s="44"/>
      <c r="T30" s="68" t="s">
        <v>39</v>
      </c>
      <c r="U30" s="111" t="s">
        <v>5</v>
      </c>
      <c r="V30" s="72" t="s">
        <v>5</v>
      </c>
      <c r="W30" s="112" t="s">
        <v>5</v>
      </c>
      <c r="X30" s="71" t="s">
        <v>5</v>
      </c>
      <c r="Y30" s="72" t="s">
        <v>5</v>
      </c>
      <c r="Z30" s="55" t="s">
        <v>5</v>
      </c>
      <c r="AA30" s="56" t="s">
        <v>5</v>
      </c>
      <c r="AB30" s="84" t="s">
        <v>5</v>
      </c>
      <c r="AC30" s="84" t="s">
        <v>5</v>
      </c>
      <c r="AD30" s="33"/>
    </row>
    <row r="31" spans="1:30" x14ac:dyDescent="0.25">
      <c r="B31" s="82" t="s">
        <v>492</v>
      </c>
      <c r="C31" s="91" t="s">
        <v>100</v>
      </c>
      <c r="D31" s="49">
        <f>D24*0.1450377</f>
        <v>17259486.300000001</v>
      </c>
      <c r="E31" s="51">
        <f t="shared" ref="E31:F31" si="0">E24*0.1450377</f>
        <v>1219767.057</v>
      </c>
      <c r="F31" s="85">
        <f t="shared" si="0"/>
        <v>1219767.057</v>
      </c>
      <c r="G31" s="64">
        <f>G24</f>
        <v>0.28999999999999998</v>
      </c>
      <c r="H31" s="61">
        <f t="shared" ref="H31:I31" si="1">H24</f>
        <v>0.28999999999999998</v>
      </c>
      <c r="I31" s="102">
        <f t="shared" si="1"/>
        <v>0.3</v>
      </c>
      <c r="J31" s="57">
        <f t="shared" ref="J31:L31" si="2">J24*0.1450377</f>
        <v>613509.47100000002</v>
      </c>
      <c r="K31" s="105">
        <f t="shared" si="2"/>
        <v>613509.47100000002</v>
      </c>
      <c r="L31" s="51">
        <f t="shared" si="2"/>
        <v>400304.05199999997</v>
      </c>
      <c r="M31" s="59"/>
      <c r="N31" s="43"/>
      <c r="O31" s="43"/>
      <c r="P31" s="43"/>
      <c r="Q31" s="43"/>
      <c r="R31" s="43"/>
      <c r="S31" s="67"/>
      <c r="T31" s="69">
        <f>T24*0.00003612729*1000^3</f>
        <v>5.8164936900000005E-2</v>
      </c>
      <c r="U31" s="105">
        <f>U24*0.1450377</f>
        <v>333586.70999999996</v>
      </c>
      <c r="V31" s="50">
        <f t="shared" ref="V31:W31" si="3">V24*0.1450377</f>
        <v>6207.6135599999998</v>
      </c>
      <c r="W31" s="113">
        <f t="shared" si="3"/>
        <v>6207.6135599999998</v>
      </c>
      <c r="X31" s="49">
        <f>X24*0.1450377</f>
        <v>192900.141</v>
      </c>
      <c r="Y31" s="50">
        <f t="shared" ref="Y31:Z31" si="4">Y24*0.1450377</f>
        <v>26106.786</v>
      </c>
      <c r="Z31" s="51">
        <f t="shared" si="4"/>
        <v>26106.786</v>
      </c>
      <c r="AA31" s="57">
        <f>AA24*0.1450377</f>
        <v>18129.712499999998</v>
      </c>
      <c r="AB31" s="85">
        <f t="shared" ref="AB31:AC31" si="5">AB24*0.1450377</f>
        <v>12473.242199999999</v>
      </c>
      <c r="AC31" s="85">
        <f t="shared" si="5"/>
        <v>12473.242199999999</v>
      </c>
      <c r="AD31" s="42"/>
    </row>
    <row r="32" spans="1:30" x14ac:dyDescent="0.25">
      <c r="B32" s="82" t="s">
        <v>102</v>
      </c>
      <c r="C32" s="91" t="s">
        <v>100</v>
      </c>
      <c r="D32" s="49">
        <f t="shared" ref="D32:F32" si="6">D25*0.1450377</f>
        <v>7861043.3399999999</v>
      </c>
      <c r="E32" s="51">
        <f t="shared" si="6"/>
        <v>7861043.3399999999</v>
      </c>
      <c r="F32" s="85">
        <f t="shared" si="6"/>
        <v>1219767.057</v>
      </c>
      <c r="G32" s="64">
        <f t="shared" ref="G32:I32" si="7">G25</f>
        <v>4.2000000000000003E-2</v>
      </c>
      <c r="H32" s="61">
        <f t="shared" si="7"/>
        <v>0.3</v>
      </c>
      <c r="I32" s="102">
        <f t="shared" si="7"/>
        <v>0.3</v>
      </c>
      <c r="J32" s="57">
        <f t="shared" ref="J32:L32" si="8">J25*0.1450377</f>
        <v>610608.71699999995</v>
      </c>
      <c r="K32" s="105">
        <f t="shared" si="8"/>
        <v>500380.06499999994</v>
      </c>
      <c r="L32" s="51">
        <f t="shared" si="8"/>
        <v>500380.06499999994</v>
      </c>
      <c r="M32" s="59"/>
      <c r="N32" s="43"/>
      <c r="O32" s="43"/>
      <c r="P32" s="43"/>
      <c r="Q32" s="43"/>
      <c r="R32" s="43"/>
      <c r="S32" s="67"/>
      <c r="T32" s="69">
        <f t="shared" ref="T32:T33" si="9">T25*0.00003612729*1000^3</f>
        <v>5.6358572400000001E-2</v>
      </c>
      <c r="U32" s="105">
        <f t="shared" ref="U32:AC32" si="10">U25*0.1450377</f>
        <v>98335.560599999997</v>
      </c>
      <c r="V32" s="50">
        <f t="shared" si="10"/>
        <v>98335.560599999997</v>
      </c>
      <c r="W32" s="113">
        <f t="shared" si="10"/>
        <v>6207.6135599999998</v>
      </c>
      <c r="X32" s="49">
        <f t="shared" si="10"/>
        <v>101961.50309999999</v>
      </c>
      <c r="Y32" s="50">
        <f t="shared" si="10"/>
        <v>101961.50309999999</v>
      </c>
      <c r="Z32" s="51">
        <f t="shared" si="10"/>
        <v>26106.786</v>
      </c>
      <c r="AA32" s="57">
        <f t="shared" si="10"/>
        <v>18129.712499999998</v>
      </c>
      <c r="AB32" s="85">
        <f t="shared" si="10"/>
        <v>12473.242199999999</v>
      </c>
      <c r="AC32" s="85">
        <f t="shared" si="10"/>
        <v>12473.242199999999</v>
      </c>
      <c r="AD32" s="42"/>
    </row>
    <row r="33" spans="1:30" ht="15.75" customHeight="1" thickBot="1" x14ac:dyDescent="0.3">
      <c r="B33" s="44" t="s">
        <v>103</v>
      </c>
      <c r="C33" s="92" t="s">
        <v>104</v>
      </c>
      <c r="D33" s="52">
        <f t="shared" ref="D33:F33" si="11">D26*0.1450377</f>
        <v>8267.1489000000001</v>
      </c>
      <c r="E33" s="54">
        <f t="shared" si="11"/>
        <v>8267.1489000000001</v>
      </c>
      <c r="F33" s="86">
        <f t="shared" si="11"/>
        <v>8267.1489000000001</v>
      </c>
      <c r="G33" s="65">
        <f t="shared" ref="G33:I33" si="12">G26</f>
        <v>0.32</v>
      </c>
      <c r="H33" s="66">
        <f t="shared" si="12"/>
        <v>0.32</v>
      </c>
      <c r="I33" s="103">
        <f t="shared" si="12"/>
        <v>0.32</v>
      </c>
      <c r="J33" s="58">
        <f t="shared" ref="J33:L33" si="13">J26*0.1450377</f>
        <v>2610.6785999999997</v>
      </c>
      <c r="K33" s="106">
        <f t="shared" si="13"/>
        <v>2610.6785999999997</v>
      </c>
      <c r="L33" s="54">
        <f t="shared" si="13"/>
        <v>2610.6785999999997</v>
      </c>
      <c r="M33" s="93"/>
      <c r="N33" s="46"/>
      <c r="O33" s="46"/>
      <c r="P33" s="46"/>
      <c r="Q33" s="46"/>
      <c r="R33" s="46"/>
      <c r="S33" s="94"/>
      <c r="T33" s="70">
        <f t="shared" si="9"/>
        <v>2.3482738500000002E-3</v>
      </c>
      <c r="U33" s="106">
        <f t="shared" ref="U33:AC33" si="14">U26*0.1450377</f>
        <v>217.55654999999999</v>
      </c>
      <c r="V33" s="53">
        <f t="shared" si="14"/>
        <v>217.55654999999999</v>
      </c>
      <c r="W33" s="114">
        <f t="shared" si="14"/>
        <v>217.55654999999999</v>
      </c>
      <c r="X33" s="52">
        <f t="shared" si="14"/>
        <v>123.282045</v>
      </c>
      <c r="Y33" s="53">
        <f t="shared" si="14"/>
        <v>123.282045</v>
      </c>
      <c r="Z33" s="54">
        <f t="shared" si="14"/>
        <v>123.282045</v>
      </c>
      <c r="AA33" s="58">
        <f t="shared" si="14"/>
        <v>108.77827499999999</v>
      </c>
      <c r="AB33" s="86">
        <f t="shared" si="14"/>
        <v>108.77827499999999</v>
      </c>
      <c r="AC33" s="86">
        <f t="shared" si="14"/>
        <v>108.77827499999999</v>
      </c>
      <c r="AD33" s="33"/>
    </row>
    <row r="36" spans="1:30" x14ac:dyDescent="0.25">
      <c r="A36" s="80" t="s">
        <v>107</v>
      </c>
    </row>
    <row r="37" spans="1:30" x14ac:dyDescent="0.25">
      <c r="B37" s="34" t="s">
        <v>102</v>
      </c>
    </row>
    <row r="38" spans="1:30" x14ac:dyDescent="0.25">
      <c r="B38" t="s">
        <v>108</v>
      </c>
    </row>
    <row r="39" spans="1:30" x14ac:dyDescent="0.25">
      <c r="B39" s="14" t="s">
        <v>66</v>
      </c>
      <c r="C39" s="116">
        <v>2126027.1171399769</v>
      </c>
      <c r="D39" s="2" t="s">
        <v>5</v>
      </c>
      <c r="E39" s="2"/>
    </row>
    <row r="40" spans="1:30" x14ac:dyDescent="0.25">
      <c r="B40" s="14" t="s">
        <v>67</v>
      </c>
      <c r="C40" s="116">
        <v>2126027.1171399769</v>
      </c>
      <c r="D40" s="2" t="s">
        <v>5</v>
      </c>
      <c r="E40" s="2"/>
    </row>
    <row r="41" spans="1:30" ht="12.95" customHeight="1" x14ac:dyDescent="0.25">
      <c r="B41" s="14" t="s">
        <v>72</v>
      </c>
      <c r="C41" s="116">
        <v>3772093.7332053748</v>
      </c>
      <c r="D41" s="2" t="s">
        <v>5</v>
      </c>
      <c r="E41" s="2"/>
    </row>
    <row r="42" spans="1:30" x14ac:dyDescent="0.25">
      <c r="B42" s="14" t="s">
        <v>109</v>
      </c>
      <c r="C42" s="117">
        <v>0.74090793166647295</v>
      </c>
      <c r="D42" s="2"/>
      <c r="E42" s="2"/>
    </row>
    <row r="43" spans="1:30" x14ac:dyDescent="0.25">
      <c r="B43" s="2" t="s">
        <v>110</v>
      </c>
      <c r="C43" s="116"/>
      <c r="D43" s="2"/>
      <c r="E43" s="14" t="s">
        <v>118</v>
      </c>
    </row>
    <row r="44" spans="1:30" x14ac:dyDescent="0.25">
      <c r="B44" s="14" t="s">
        <v>111</v>
      </c>
      <c r="C44" s="116">
        <v>290.12830539565363</v>
      </c>
      <c r="D44" s="2" t="s">
        <v>112</v>
      </c>
      <c r="E44" s="116">
        <v>36266.038174456706</v>
      </c>
      <c r="F44" t="s">
        <v>5</v>
      </c>
      <c r="G44" s="2" t="s">
        <v>5</v>
      </c>
    </row>
    <row r="45" spans="1:30" x14ac:dyDescent="0.25">
      <c r="B45" s="14" t="s">
        <v>113</v>
      </c>
      <c r="C45" s="116">
        <v>-290.12830598269579</v>
      </c>
      <c r="D45" s="2" t="s">
        <v>112</v>
      </c>
      <c r="E45" s="116">
        <v>-36266.038247836972</v>
      </c>
      <c r="F45" t="s">
        <v>5</v>
      </c>
      <c r="G45" s="2" t="s">
        <v>5</v>
      </c>
    </row>
    <row r="46" spans="1:30" x14ac:dyDescent="0.25">
      <c r="B46" s="14" t="s">
        <v>114</v>
      </c>
      <c r="C46" s="116">
        <v>290.12830539565363</v>
      </c>
      <c r="D46" s="2" t="s">
        <v>112</v>
      </c>
      <c r="E46" s="116">
        <v>36266.038174456706</v>
      </c>
      <c r="F46" t="s">
        <v>5</v>
      </c>
      <c r="G46" s="2" t="s">
        <v>5</v>
      </c>
    </row>
    <row r="47" spans="1:30" x14ac:dyDescent="0.25">
      <c r="B47" s="14" t="s">
        <v>115</v>
      </c>
      <c r="C47" s="116">
        <v>-290.12830598269579</v>
      </c>
      <c r="D47" s="2" t="s">
        <v>112</v>
      </c>
      <c r="E47" s="116">
        <v>-36266.038247836972</v>
      </c>
      <c r="F47" t="s">
        <v>5</v>
      </c>
      <c r="G47" s="2" t="s">
        <v>5</v>
      </c>
    </row>
    <row r="48" spans="1:30" x14ac:dyDescent="0.25">
      <c r="B48" s="14" t="s">
        <v>116</v>
      </c>
      <c r="C48" s="116">
        <v>787.07974461249762</v>
      </c>
      <c r="D48" s="2" t="s">
        <v>112</v>
      </c>
      <c r="E48" s="116">
        <v>98384.968076562203</v>
      </c>
      <c r="F48" t="s">
        <v>5</v>
      </c>
      <c r="G48" s="2" t="s">
        <v>5</v>
      </c>
    </row>
    <row r="49" spans="2:5" x14ac:dyDescent="0.25">
      <c r="B49" s="14" t="s">
        <v>117</v>
      </c>
      <c r="C49" s="117">
        <v>8.9999999999999993E-3</v>
      </c>
      <c r="D49" s="2" t="s">
        <v>4</v>
      </c>
      <c r="E49" s="2"/>
    </row>
    <row r="50" spans="2:5" x14ac:dyDescent="0.25">
      <c r="C50" s="11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dimension ref="A1:Q98"/>
  <sheetViews>
    <sheetView zoomScale="130" zoomScaleNormal="130" workbookViewId="0">
      <selection activeCell="U45" sqref="U45"/>
    </sheetView>
  </sheetViews>
  <sheetFormatPr defaultRowHeight="15" x14ac:dyDescent="0.25"/>
  <cols>
    <col min="2" max="2" width="9.140625" bestFit="1" customWidth="1"/>
    <col min="16" max="16" width="10" customWidth="1"/>
    <col min="17" max="17" width="10.140625" customWidth="1"/>
  </cols>
  <sheetData>
    <row r="1" spans="1:17" x14ac:dyDescent="0.25">
      <c r="A1" s="4" t="s">
        <v>222</v>
      </c>
    </row>
    <row r="2" spans="1:17" x14ac:dyDescent="0.25">
      <c r="A2" t="s">
        <v>223</v>
      </c>
    </row>
    <row r="4" spans="1:17" x14ac:dyDescent="0.25">
      <c r="Q4" s="2"/>
    </row>
    <row r="5" spans="1:17" x14ac:dyDescent="0.25">
      <c r="Q5" s="116"/>
    </row>
    <row r="6" spans="1:17" x14ac:dyDescent="0.25">
      <c r="Q6" s="2"/>
    </row>
    <row r="7" spans="1:17" x14ac:dyDescent="0.25">
      <c r="Q7" s="2"/>
    </row>
    <row r="8" spans="1:17" x14ac:dyDescent="0.25">
      <c r="O8" s="4" t="s">
        <v>232</v>
      </c>
      <c r="Q8" s="2"/>
    </row>
    <row r="9" spans="1:17" x14ac:dyDescent="0.25">
      <c r="O9" t="s">
        <v>224</v>
      </c>
      <c r="P9" t="s">
        <v>235</v>
      </c>
      <c r="Q9" s="41" t="s">
        <v>234</v>
      </c>
    </row>
    <row r="10" spans="1:17" x14ac:dyDescent="0.25">
      <c r="O10" s="2">
        <v>0</v>
      </c>
      <c r="P10" s="2">
        <v>5.3</v>
      </c>
      <c r="Q10" s="11">
        <f>-50.995*O10^3+45.565*O10^2-18.064*O10+5.2989</f>
        <v>5.2988999999999997</v>
      </c>
    </row>
    <row r="11" spans="1:17" x14ac:dyDescent="0.25">
      <c r="O11" s="2">
        <v>0.05</v>
      </c>
      <c r="P11" s="2">
        <v>4.5</v>
      </c>
      <c r="Q11" s="11">
        <f t="shared" ref="Q11:Q14" si="0">-50.995*O11^3+45.565*O11^2-18.064*O11+5.2989</f>
        <v>4.5032381249999993</v>
      </c>
    </row>
    <row r="12" spans="1:17" x14ac:dyDescent="0.25">
      <c r="O12" s="2">
        <v>0.1</v>
      </c>
      <c r="P12" s="2">
        <v>3.9</v>
      </c>
      <c r="Q12" s="11">
        <f t="shared" si="0"/>
        <v>3.8971549999999997</v>
      </c>
    </row>
    <row r="13" spans="1:17" x14ac:dyDescent="0.25">
      <c r="O13" s="2">
        <v>0.2</v>
      </c>
      <c r="P13" s="2">
        <v>3.1</v>
      </c>
      <c r="Q13" s="11">
        <f t="shared" si="0"/>
        <v>3.1007400000000001</v>
      </c>
    </row>
    <row r="14" spans="1:17" x14ac:dyDescent="0.25">
      <c r="O14" s="2">
        <v>0.4</v>
      </c>
      <c r="P14" s="2">
        <v>2.1</v>
      </c>
      <c r="Q14" s="11">
        <f t="shared" si="0"/>
        <v>2.1000199999999998</v>
      </c>
    </row>
    <row r="27" spans="17:17" x14ac:dyDescent="0.25">
      <c r="Q27" s="2"/>
    </row>
    <row r="28" spans="17:17" x14ac:dyDescent="0.25">
      <c r="Q28" s="116"/>
    </row>
    <row r="29" spans="17:17" x14ac:dyDescent="0.25">
      <c r="Q29" s="2"/>
    </row>
    <row r="43" spans="1:12" x14ac:dyDescent="0.25">
      <c r="A43" t="s">
        <v>4</v>
      </c>
      <c r="B43" t="s">
        <v>5</v>
      </c>
      <c r="C43" t="s">
        <v>4</v>
      </c>
      <c r="D43" t="s">
        <v>4</v>
      </c>
      <c r="E43" t="s">
        <v>5</v>
      </c>
      <c r="G43" t="s">
        <v>233</v>
      </c>
      <c r="I43" t="s">
        <v>5</v>
      </c>
    </row>
    <row r="44" spans="1:12" x14ac:dyDescent="0.25">
      <c r="A44" t="s">
        <v>225</v>
      </c>
      <c r="B44" t="s">
        <v>226</v>
      </c>
      <c r="C44" t="s">
        <v>227</v>
      </c>
      <c r="D44" t="s">
        <v>138</v>
      </c>
      <c r="E44" t="s">
        <v>228</v>
      </c>
      <c r="F44" t="s">
        <v>224</v>
      </c>
      <c r="G44" t="s">
        <v>229</v>
      </c>
      <c r="H44" t="s">
        <v>230</v>
      </c>
      <c r="I44" t="s">
        <v>231</v>
      </c>
      <c r="K44" t="s">
        <v>236</v>
      </c>
      <c r="L44" t="s">
        <v>237</v>
      </c>
    </row>
    <row r="45" spans="1:12" x14ac:dyDescent="0.25">
      <c r="A45" s="2">
        <v>0.125</v>
      </c>
      <c r="B45" s="116">
        <v>2100000</v>
      </c>
      <c r="C45" s="2">
        <v>3.2000000000000001E-2</v>
      </c>
      <c r="D45" s="2">
        <v>20</v>
      </c>
      <c r="E45" s="2">
        <v>2600</v>
      </c>
      <c r="F45" s="41">
        <f>(PI()^2)*A45*B45*C45/(2*E45*D45^2)</f>
        <v>3.98580177736301E-2</v>
      </c>
      <c r="G45">
        <v>0</v>
      </c>
      <c r="H45" s="207">
        <f>IF((-50.995*F45^3+45.565*F45^2-18.064*F45+5.2989)&gt;2,(-50.995*F45^3+45.565*F45^2-18.064*F45+5.2989),2)</f>
        <v>4.6480630824949634</v>
      </c>
      <c r="I45">
        <f>(PI()^2)*H45*(A45^2)*B45/(4*D45^2)</f>
        <v>940.78654391230316</v>
      </c>
      <c r="K45" s="207">
        <f>AVERAGE($H$45:$H$60)</f>
        <v>2.7181577078629022</v>
      </c>
      <c r="L45" s="209">
        <f>K45/H45-1</f>
        <v>-0.41520636453929893</v>
      </c>
    </row>
    <row r="46" spans="1:12" x14ac:dyDescent="0.25">
      <c r="A46" s="2">
        <v>0.25</v>
      </c>
      <c r="B46" s="116">
        <v>2100000</v>
      </c>
      <c r="C46" s="2">
        <v>3.2000000000000001E-2</v>
      </c>
      <c r="D46" s="2">
        <v>20</v>
      </c>
      <c r="E46" s="2">
        <v>2600</v>
      </c>
      <c r="F46" s="41">
        <f t="shared" ref="F46:F52" si="1">(PI()^2)*A46*B46*C46/(2*E46*D46^2)</f>
        <v>7.97160355472602E-2</v>
      </c>
      <c r="G46">
        <v>0</v>
      </c>
      <c r="H46" s="207">
        <f t="shared" ref="H46:H60" si="2">IF((-50.995*F46^3+45.565*F46^2-18.064*F46+5.2989)&gt;2,(-50.995*F46^3+45.565*F46^2-18.064*F46+5.2989),2)</f>
        <v>4.1226265986123858</v>
      </c>
      <c r="I46">
        <f t="shared" ref="I46:I52" si="3">(PI()^2)*H46*(A46^2)*B46/(4*D46^2)</f>
        <v>3337.7443986561325</v>
      </c>
      <c r="K46" s="207">
        <f t="shared" ref="K46:K60" si="4">AVERAGE($H$45:$H$60)</f>
        <v>2.7181577078629022</v>
      </c>
      <c r="L46" s="209">
        <f t="shared" ref="L46:L60" si="5">K46/H46-1</f>
        <v>-0.3406733200678923</v>
      </c>
    </row>
    <row r="47" spans="1:12" x14ac:dyDescent="0.25">
      <c r="A47" s="2">
        <v>0.375</v>
      </c>
      <c r="B47" s="116">
        <v>2100000</v>
      </c>
      <c r="C47" s="2">
        <v>3.2000000000000001E-2</v>
      </c>
      <c r="D47" s="2">
        <v>20</v>
      </c>
      <c r="E47" s="2">
        <v>2600</v>
      </c>
      <c r="F47" s="41">
        <f t="shared" si="1"/>
        <v>0.1195740533208903</v>
      </c>
      <c r="G47">
        <v>0</v>
      </c>
      <c r="H47" s="207">
        <f t="shared" si="2"/>
        <v>3.7032162521125036</v>
      </c>
      <c r="I47">
        <f t="shared" si="3"/>
        <v>6745.9119242057159</v>
      </c>
      <c r="K47" s="207">
        <f t="shared" si="4"/>
        <v>2.7181577078629022</v>
      </c>
      <c r="L47" s="209">
        <f t="shared" si="5"/>
        <v>-0.26600081582804502</v>
      </c>
    </row>
    <row r="48" spans="1:12" x14ac:dyDescent="0.25">
      <c r="A48" s="2">
        <v>0.5</v>
      </c>
      <c r="B48" s="116">
        <v>2100000</v>
      </c>
      <c r="C48" s="2">
        <v>3.2000000000000001E-2</v>
      </c>
      <c r="D48" s="2">
        <v>20</v>
      </c>
      <c r="E48" s="2">
        <v>2600</v>
      </c>
      <c r="F48" s="41">
        <f t="shared" si="1"/>
        <v>0.1594320710945204</v>
      </c>
      <c r="G48">
        <v>0</v>
      </c>
      <c r="H48" s="207">
        <f t="shared" si="2"/>
        <v>3.3704577467555508</v>
      </c>
      <c r="I48">
        <f t="shared" si="3"/>
        <v>10915.105888005473</v>
      </c>
      <c r="K48" s="207">
        <f t="shared" si="4"/>
        <v>2.7181577078629022</v>
      </c>
      <c r="L48" s="209">
        <f t="shared" si="5"/>
        <v>-0.19353455462260627</v>
      </c>
    </row>
    <row r="49" spans="1:12" x14ac:dyDescent="0.25">
      <c r="A49" s="2">
        <v>0.625</v>
      </c>
      <c r="B49" s="116">
        <v>2100000</v>
      </c>
      <c r="C49" s="2">
        <v>3.2000000000000001E-2</v>
      </c>
      <c r="D49" s="2">
        <v>20</v>
      </c>
      <c r="E49" s="2">
        <v>2600</v>
      </c>
      <c r="F49" s="41">
        <f t="shared" si="1"/>
        <v>0.19929008886815053</v>
      </c>
      <c r="G49">
        <v>0</v>
      </c>
      <c r="H49" s="207">
        <f t="shared" si="2"/>
        <v>3.1049767863017634</v>
      </c>
      <c r="I49">
        <f t="shared" si="3"/>
        <v>15711.492765201361</v>
      </c>
      <c r="K49" s="207">
        <f t="shared" si="4"/>
        <v>2.7181577078629022</v>
      </c>
      <c r="L49" s="209">
        <f t="shared" si="5"/>
        <v>-0.12458034473732371</v>
      </c>
    </row>
    <row r="50" spans="1:12" x14ac:dyDescent="0.25">
      <c r="A50" s="2">
        <v>0.75</v>
      </c>
      <c r="B50" s="116">
        <v>2100000</v>
      </c>
      <c r="C50" s="2">
        <v>3.2000000000000001E-2</v>
      </c>
      <c r="D50" s="2">
        <v>20</v>
      </c>
      <c r="E50" s="2">
        <v>2600</v>
      </c>
      <c r="F50" s="41">
        <f t="shared" si="1"/>
        <v>0.2391481066417806</v>
      </c>
      <c r="G50">
        <v>0</v>
      </c>
      <c r="H50" s="207">
        <f t="shared" si="2"/>
        <v>2.8873990745113769</v>
      </c>
      <c r="I50">
        <f t="shared" si="3"/>
        <v>21039.160038872178</v>
      </c>
      <c r="K50" s="207">
        <f t="shared" si="4"/>
        <v>2.7181577078629022</v>
      </c>
      <c r="L50" s="209">
        <f t="shared" si="5"/>
        <v>-5.8613777410424173E-2</v>
      </c>
    </row>
    <row r="51" spans="1:12" x14ac:dyDescent="0.25">
      <c r="A51" s="2">
        <v>0.875</v>
      </c>
      <c r="B51" s="116">
        <v>2100000</v>
      </c>
      <c r="C51" s="2">
        <v>3.2000000000000001E-2</v>
      </c>
      <c r="D51" s="2">
        <v>20</v>
      </c>
      <c r="E51" s="2">
        <v>2600</v>
      </c>
      <c r="F51" s="41">
        <f t="shared" si="1"/>
        <v>0.27900612441541073</v>
      </c>
      <c r="G51">
        <v>0</v>
      </c>
      <c r="H51" s="207">
        <f t="shared" si="2"/>
        <v>2.6983503151446264</v>
      </c>
      <c r="I51">
        <f t="shared" si="3"/>
        <v>26761.687500260934</v>
      </c>
      <c r="K51" s="207">
        <f t="shared" si="4"/>
        <v>2.7181577078629022</v>
      </c>
      <c r="L51" s="209">
        <f t="shared" si="5"/>
        <v>7.3405564159352288E-3</v>
      </c>
    </row>
    <row r="52" spans="1:12" x14ac:dyDescent="0.25">
      <c r="A52" s="2">
        <v>1</v>
      </c>
      <c r="B52" s="116">
        <v>2100000</v>
      </c>
      <c r="C52" s="2">
        <v>3.2000000000000001E-2</v>
      </c>
      <c r="D52" s="2">
        <v>20</v>
      </c>
      <c r="E52" s="2">
        <v>2600</v>
      </c>
      <c r="F52" s="41">
        <f t="shared" si="1"/>
        <v>0.3188641421890408</v>
      </c>
      <c r="G52">
        <v>0</v>
      </c>
      <c r="H52" s="207">
        <f t="shared" si="2"/>
        <v>2.5184562119617464</v>
      </c>
      <c r="I52">
        <f t="shared" si="3"/>
        <v>32623.718549006138</v>
      </c>
      <c r="K52" s="207">
        <f t="shared" si="4"/>
        <v>2.7181577078629022</v>
      </c>
      <c r="L52" s="209">
        <f t="shared" si="5"/>
        <v>7.9295202732788006E-2</v>
      </c>
    </row>
    <row r="53" spans="1:12" x14ac:dyDescent="0.25">
      <c r="A53" s="2">
        <v>1.125</v>
      </c>
      <c r="B53" s="116">
        <v>2100000</v>
      </c>
      <c r="C53" s="2">
        <v>3.2000000000000001E-2</v>
      </c>
      <c r="D53" s="2">
        <v>20</v>
      </c>
      <c r="E53" s="2">
        <v>2600</v>
      </c>
      <c r="F53" s="41">
        <f t="shared" ref="F53:F60" si="6">(PI()^2)*A53*B53*C53/(2*E53*D53^2)</f>
        <v>0.35872215996267093</v>
      </c>
      <c r="G53">
        <v>0</v>
      </c>
      <c r="H53" s="207">
        <f t="shared" si="2"/>
        <v>2.3283424687229748</v>
      </c>
      <c r="I53">
        <f t="shared" ref="I53:I60" si="7">(PI()^2)*H53*(A53^2)*B53/(4*D53^2)</f>
        <v>38172.531493373193</v>
      </c>
      <c r="K53" s="207">
        <f t="shared" si="4"/>
        <v>2.7181577078629022</v>
      </c>
      <c r="L53" s="209">
        <f t="shared" si="5"/>
        <v>0.16742177938872072</v>
      </c>
    </row>
    <row r="54" spans="1:12" x14ac:dyDescent="0.25">
      <c r="A54" s="2">
        <v>1.25</v>
      </c>
      <c r="B54" s="116">
        <v>2100000</v>
      </c>
      <c r="C54" s="2">
        <v>3.2000000000000001E-2</v>
      </c>
      <c r="D54" s="2">
        <v>20</v>
      </c>
      <c r="E54" s="2">
        <v>2600</v>
      </c>
      <c r="F54" s="41">
        <f t="shared" si="6"/>
        <v>0.39858017773630106</v>
      </c>
      <c r="G54">
        <v>0</v>
      </c>
      <c r="H54" s="207">
        <f t="shared" si="2"/>
        <v>2.1086347891885451</v>
      </c>
      <c r="I54">
        <f t="shared" si="7"/>
        <v>42679.610850485667</v>
      </c>
      <c r="K54" s="207">
        <f t="shared" si="4"/>
        <v>2.7181577078629022</v>
      </c>
      <c r="L54" s="209">
        <f t="shared" si="5"/>
        <v>0.28906044887408733</v>
      </c>
    </row>
    <row r="55" spans="1:12" x14ac:dyDescent="0.25">
      <c r="A55" s="2">
        <v>1.375</v>
      </c>
      <c r="B55" s="116">
        <v>2100000</v>
      </c>
      <c r="C55" s="2">
        <v>3.2000000000000001E-2</v>
      </c>
      <c r="D55" s="2">
        <v>20</v>
      </c>
      <c r="E55" s="2">
        <v>2600</v>
      </c>
      <c r="F55" s="41">
        <f t="shared" si="6"/>
        <v>0.43843819550993113</v>
      </c>
      <c r="G55">
        <v>0</v>
      </c>
      <c r="H55" s="207">
        <f t="shared" si="2"/>
        <v>2</v>
      </c>
      <c r="I55">
        <f t="shared" si="7"/>
        <v>48981.767154625115</v>
      </c>
      <c r="K55" s="207">
        <f t="shared" si="4"/>
        <v>2.7181577078629022</v>
      </c>
      <c r="L55" s="209">
        <f t="shared" si="5"/>
        <v>0.35907885393145111</v>
      </c>
    </row>
    <row r="56" spans="1:12" x14ac:dyDescent="0.25">
      <c r="A56" s="2">
        <v>1.5</v>
      </c>
      <c r="B56" s="116">
        <v>2100000</v>
      </c>
      <c r="C56" s="2">
        <v>3.2000000000000001E-2</v>
      </c>
      <c r="D56" s="2">
        <v>20</v>
      </c>
      <c r="E56" s="2">
        <v>2600</v>
      </c>
      <c r="F56" s="41">
        <f t="shared" si="6"/>
        <v>0.4782962132835612</v>
      </c>
      <c r="G56">
        <v>0</v>
      </c>
      <c r="H56" s="207">
        <f t="shared" si="2"/>
        <v>2</v>
      </c>
      <c r="I56">
        <f t="shared" si="7"/>
        <v>58292.350993934022</v>
      </c>
      <c r="K56" s="207">
        <f t="shared" si="4"/>
        <v>2.7181577078629022</v>
      </c>
      <c r="L56" s="209">
        <f t="shared" si="5"/>
        <v>0.35907885393145111</v>
      </c>
    </row>
    <row r="57" spans="1:12" x14ac:dyDescent="0.25">
      <c r="A57" s="2">
        <v>1.625</v>
      </c>
      <c r="B57" s="116">
        <v>2100000</v>
      </c>
      <c r="C57" s="2">
        <v>3.2000000000000001E-2</v>
      </c>
      <c r="D57" s="2">
        <v>20</v>
      </c>
      <c r="E57" s="2">
        <v>2600</v>
      </c>
      <c r="F57" s="41">
        <f t="shared" si="6"/>
        <v>0.51815423105719127</v>
      </c>
      <c r="G57">
        <v>0</v>
      </c>
      <c r="H57" s="207">
        <f t="shared" si="2"/>
        <v>2</v>
      </c>
      <c r="I57">
        <f t="shared" si="7"/>
        <v>68412.550819269789</v>
      </c>
      <c r="K57" s="207">
        <f t="shared" si="4"/>
        <v>2.7181577078629022</v>
      </c>
      <c r="L57" s="209">
        <f t="shared" si="5"/>
        <v>0.35907885393145111</v>
      </c>
    </row>
    <row r="58" spans="1:12" x14ac:dyDescent="0.25">
      <c r="A58" s="2">
        <v>1.75</v>
      </c>
      <c r="B58" s="116">
        <v>2100000</v>
      </c>
      <c r="C58" s="2">
        <v>3.2000000000000001E-2</v>
      </c>
      <c r="D58" s="2">
        <v>20</v>
      </c>
      <c r="E58" s="2">
        <v>2600</v>
      </c>
      <c r="F58" s="41">
        <f t="shared" si="6"/>
        <v>0.55801224883082146</v>
      </c>
      <c r="G58">
        <v>0</v>
      </c>
      <c r="H58" s="207">
        <f t="shared" si="2"/>
        <v>2</v>
      </c>
      <c r="I58">
        <f t="shared" si="7"/>
        <v>79342.366630632416</v>
      </c>
      <c r="K58" s="207">
        <f t="shared" si="4"/>
        <v>2.7181577078629022</v>
      </c>
      <c r="L58" s="209">
        <f t="shared" si="5"/>
        <v>0.35907885393145111</v>
      </c>
    </row>
    <row r="59" spans="1:12" x14ac:dyDescent="0.25">
      <c r="A59" s="2">
        <v>1.875</v>
      </c>
      <c r="B59" s="116">
        <v>2100000</v>
      </c>
      <c r="C59" s="2">
        <v>3.2000000000000001E-2</v>
      </c>
      <c r="D59" s="2">
        <v>20</v>
      </c>
      <c r="E59" s="2">
        <v>2600</v>
      </c>
      <c r="F59" s="41">
        <f t="shared" si="6"/>
        <v>0.59787026660445153</v>
      </c>
      <c r="G59">
        <v>0</v>
      </c>
      <c r="H59" s="207">
        <f t="shared" si="2"/>
        <v>2</v>
      </c>
      <c r="I59">
        <f t="shared" si="7"/>
        <v>91081.79842802191</v>
      </c>
      <c r="K59" s="207">
        <f t="shared" si="4"/>
        <v>2.7181577078629022</v>
      </c>
      <c r="L59" s="209">
        <f t="shared" si="5"/>
        <v>0.35907885393145111</v>
      </c>
    </row>
    <row r="60" spans="1:12" x14ac:dyDescent="0.25">
      <c r="A60" s="2">
        <v>2</v>
      </c>
      <c r="B60" s="116">
        <v>2100000</v>
      </c>
      <c r="C60" s="2">
        <v>3.2000000000000001E-2</v>
      </c>
      <c r="D60" s="2">
        <v>20</v>
      </c>
      <c r="E60" s="2">
        <v>2600</v>
      </c>
      <c r="F60" s="41">
        <f t="shared" si="6"/>
        <v>0.6377282843780816</v>
      </c>
      <c r="G60">
        <v>0</v>
      </c>
      <c r="H60" s="207">
        <f t="shared" si="2"/>
        <v>2</v>
      </c>
      <c r="I60">
        <f t="shared" si="7"/>
        <v>103630.84621143826</v>
      </c>
      <c r="K60" s="207">
        <f t="shared" si="4"/>
        <v>2.7181577078629022</v>
      </c>
      <c r="L60" s="209">
        <f t="shared" si="5"/>
        <v>0.35907885393145111</v>
      </c>
    </row>
    <row r="61" spans="1:12" x14ac:dyDescent="0.25">
      <c r="A61" s="2"/>
      <c r="B61" s="116"/>
      <c r="C61" s="2"/>
      <c r="D61" s="2"/>
      <c r="E61" s="2"/>
      <c r="F61" s="41"/>
      <c r="H61" s="207"/>
    </row>
    <row r="62" spans="1:12" x14ac:dyDescent="0.25">
      <c r="A62" t="s">
        <v>4</v>
      </c>
      <c r="B62" t="s">
        <v>5</v>
      </c>
      <c r="C62" t="s">
        <v>4</v>
      </c>
      <c r="D62" t="s">
        <v>4</v>
      </c>
      <c r="E62" t="s">
        <v>5</v>
      </c>
      <c r="I62" t="s">
        <v>5</v>
      </c>
    </row>
    <row r="63" spans="1:12" x14ac:dyDescent="0.25">
      <c r="A63" t="s">
        <v>225</v>
      </c>
      <c r="B63" t="s">
        <v>226</v>
      </c>
      <c r="C63" t="s">
        <v>227</v>
      </c>
      <c r="D63" t="s">
        <v>138</v>
      </c>
      <c r="E63" t="s">
        <v>228</v>
      </c>
      <c r="F63" t="s">
        <v>224</v>
      </c>
      <c r="G63" t="s">
        <v>229</v>
      </c>
      <c r="H63" t="s">
        <v>230</v>
      </c>
      <c r="I63" t="s">
        <v>231</v>
      </c>
      <c r="K63" t="s">
        <v>236</v>
      </c>
      <c r="L63" t="s">
        <v>237</v>
      </c>
    </row>
    <row r="64" spans="1:12" x14ac:dyDescent="0.25">
      <c r="A64" s="2">
        <v>0.125</v>
      </c>
      <c r="B64" s="116">
        <v>2100000</v>
      </c>
      <c r="C64" s="2">
        <v>1.6E-2</v>
      </c>
      <c r="D64" s="2">
        <v>20</v>
      </c>
      <c r="E64" s="2">
        <v>2600</v>
      </c>
      <c r="F64" s="41">
        <f>(PI()^2)*A64*B64*C64/(2*E64*D64^2)</f>
        <v>1.992900888681505E-2</v>
      </c>
      <c r="G64">
        <v>0</v>
      </c>
      <c r="H64" s="207">
        <f>IF((-7.6*F64+4.92)&gt;2,(-7.6*F64+4.92),2)</f>
        <v>4.7685395324602053</v>
      </c>
      <c r="I64">
        <f>(PI()^2)*H64*(A64^2)*B64/(4*D64^2)</f>
        <v>965.17145887020945</v>
      </c>
      <c r="K64" s="207">
        <f>AVERAGE($H$64:$H$79)</f>
        <v>3.6325860259117482</v>
      </c>
      <c r="L64" s="209">
        <f>K64/H64-1</f>
        <v>-0.23821832634831719</v>
      </c>
    </row>
    <row r="65" spans="1:12" x14ac:dyDescent="0.25">
      <c r="A65" s="2">
        <v>0.25</v>
      </c>
      <c r="B65" s="116">
        <v>2100000</v>
      </c>
      <c r="C65" s="2">
        <v>1.6E-2</v>
      </c>
      <c r="D65" s="2">
        <v>20</v>
      </c>
      <c r="E65" s="2">
        <v>2600</v>
      </c>
      <c r="F65" s="41">
        <f t="shared" ref="F65:F79" si="8">(PI()^2)*A65*B65*C65/(2*E65*D65^2)</f>
        <v>3.98580177736301E-2</v>
      </c>
      <c r="G65">
        <v>0</v>
      </c>
      <c r="H65" s="207">
        <f t="shared" ref="H65:H79" si="9">IF((-7.6*F65+4.92)&gt;2,(-7.6*F65+4.92),2)</f>
        <v>4.6170790649204108</v>
      </c>
      <c r="I65">
        <f t="shared" ref="I65:I79" si="10">(PI()^2)*H65*(A65^2)*B65/(4*D65^2)</f>
        <v>3738.0610197095175</v>
      </c>
      <c r="K65" s="207">
        <f t="shared" ref="K65:K79" si="11">AVERAGE($H$64:$H$79)</f>
        <v>3.6325860259117482</v>
      </c>
      <c r="L65" s="209">
        <f t="shared" ref="L65:L79" si="12">K65/H65-1</f>
        <v>-0.21322854236753974</v>
      </c>
    </row>
    <row r="66" spans="1:12" x14ac:dyDescent="0.25">
      <c r="A66" s="2">
        <v>0.375</v>
      </c>
      <c r="B66" s="116">
        <v>2100000</v>
      </c>
      <c r="C66" s="2">
        <v>1.6E-2</v>
      </c>
      <c r="D66" s="2">
        <v>20</v>
      </c>
      <c r="E66" s="2">
        <v>2600</v>
      </c>
      <c r="F66" s="41">
        <f t="shared" si="8"/>
        <v>5.978702666044515E-2</v>
      </c>
      <c r="G66">
        <v>0</v>
      </c>
      <c r="H66" s="207">
        <f t="shared" si="9"/>
        <v>4.4656185973806171</v>
      </c>
      <c r="I66">
        <f t="shared" si="10"/>
        <v>8134.731458860947</v>
      </c>
      <c r="K66" s="207">
        <f t="shared" si="11"/>
        <v>3.6325860259117482</v>
      </c>
      <c r="L66" s="209">
        <f t="shared" si="12"/>
        <v>-0.18654360046724505</v>
      </c>
    </row>
    <row r="67" spans="1:12" x14ac:dyDescent="0.25">
      <c r="A67" s="2">
        <v>0.5</v>
      </c>
      <c r="B67" s="116">
        <v>2100000</v>
      </c>
      <c r="C67" s="2">
        <v>1.6E-2</v>
      </c>
      <c r="D67" s="2">
        <v>20</v>
      </c>
      <c r="E67" s="2">
        <v>2600</v>
      </c>
      <c r="F67" s="41">
        <f t="shared" si="8"/>
        <v>7.97160355472602E-2</v>
      </c>
      <c r="G67">
        <v>0</v>
      </c>
      <c r="H67" s="207">
        <f t="shared" si="9"/>
        <v>4.3141581298408225</v>
      </c>
      <c r="I67">
        <f t="shared" si="10"/>
        <v>13971.245552667511</v>
      </c>
      <c r="K67" s="207">
        <f t="shared" si="11"/>
        <v>3.6325860259117482</v>
      </c>
      <c r="L67" s="209">
        <f t="shared" si="12"/>
        <v>-0.15798496100888682</v>
      </c>
    </row>
    <row r="68" spans="1:12" x14ac:dyDescent="0.25">
      <c r="A68" s="2">
        <v>0.625</v>
      </c>
      <c r="B68" s="116">
        <v>2100000</v>
      </c>
      <c r="C68" s="2">
        <v>1.6E-2</v>
      </c>
      <c r="D68" s="2">
        <v>20</v>
      </c>
      <c r="E68" s="2">
        <v>2600</v>
      </c>
      <c r="F68" s="41">
        <f t="shared" si="8"/>
        <v>9.9645044434075264E-2</v>
      </c>
      <c r="G68">
        <v>0</v>
      </c>
      <c r="H68" s="207">
        <f t="shared" si="9"/>
        <v>4.1626976623010279</v>
      </c>
      <c r="I68">
        <f t="shared" si="10"/>
        <v>21063.666077472233</v>
      </c>
      <c r="K68" s="207">
        <f t="shared" si="11"/>
        <v>3.6325860259117482</v>
      </c>
      <c r="L68" s="209">
        <f t="shared" si="12"/>
        <v>-0.12734809957258542</v>
      </c>
    </row>
    <row r="69" spans="1:12" x14ac:dyDescent="0.25">
      <c r="A69" s="2">
        <v>0.75</v>
      </c>
      <c r="B69" s="116">
        <v>2100000</v>
      </c>
      <c r="C69" s="2">
        <v>1.6E-2</v>
      </c>
      <c r="D69" s="2">
        <v>20</v>
      </c>
      <c r="E69" s="2">
        <v>2600</v>
      </c>
      <c r="F69" s="41">
        <f t="shared" si="8"/>
        <v>0.1195740533208903</v>
      </c>
      <c r="G69">
        <v>0</v>
      </c>
      <c r="H69" s="207">
        <f t="shared" si="9"/>
        <v>4.0112371947612333</v>
      </c>
      <c r="I69">
        <f t="shared" si="10"/>
        <v>29228.055809618138</v>
      </c>
      <c r="K69" s="207">
        <f t="shared" si="11"/>
        <v>3.6325860259117482</v>
      </c>
      <c r="L69" s="209">
        <f t="shared" si="12"/>
        <v>-9.4397601155078115E-2</v>
      </c>
    </row>
    <row r="70" spans="1:12" x14ac:dyDescent="0.25">
      <c r="A70" s="2">
        <v>0.875</v>
      </c>
      <c r="B70" s="116">
        <v>2100000</v>
      </c>
      <c r="C70" s="2">
        <v>1.6E-2</v>
      </c>
      <c r="D70" s="2">
        <v>20</v>
      </c>
      <c r="E70" s="2">
        <v>2600</v>
      </c>
      <c r="F70" s="41">
        <f t="shared" si="8"/>
        <v>0.13950306220770536</v>
      </c>
      <c r="G70">
        <v>0</v>
      </c>
      <c r="H70" s="207">
        <f t="shared" si="9"/>
        <v>3.8597767272214392</v>
      </c>
      <c r="I70">
        <f t="shared" si="10"/>
        <v>38280.477525448237</v>
      </c>
      <c r="K70" s="207">
        <f t="shared" si="11"/>
        <v>3.6325860259117482</v>
      </c>
      <c r="L70" s="209">
        <f t="shared" si="12"/>
        <v>-5.8861099324063804E-2</v>
      </c>
    </row>
    <row r="71" spans="1:12" x14ac:dyDescent="0.25">
      <c r="A71" s="2">
        <v>1</v>
      </c>
      <c r="B71" s="116">
        <v>2100000</v>
      </c>
      <c r="C71" s="2">
        <v>1.6E-2</v>
      </c>
      <c r="D71" s="2">
        <v>20</v>
      </c>
      <c r="E71" s="2">
        <v>2600</v>
      </c>
      <c r="F71" s="41">
        <f t="shared" si="8"/>
        <v>0.1594320710945204</v>
      </c>
      <c r="G71">
        <v>0</v>
      </c>
      <c r="H71" s="207">
        <f t="shared" si="9"/>
        <v>3.708316259681645</v>
      </c>
      <c r="I71">
        <f t="shared" si="10"/>
        <v>48036.99400130556</v>
      </c>
      <c r="K71" s="207">
        <f t="shared" si="11"/>
        <v>3.6325860259117482</v>
      </c>
      <c r="L71" s="209">
        <f t="shared" si="12"/>
        <v>-2.0421730097097579E-2</v>
      </c>
    </row>
    <row r="72" spans="1:12" x14ac:dyDescent="0.25">
      <c r="A72" s="2">
        <v>1.125</v>
      </c>
      <c r="B72" s="116">
        <v>2100000</v>
      </c>
      <c r="C72" s="2">
        <v>1.6E-2</v>
      </c>
      <c r="D72" s="2">
        <v>20</v>
      </c>
      <c r="E72" s="2">
        <v>2600</v>
      </c>
      <c r="F72" s="41">
        <f t="shared" si="8"/>
        <v>0.17936107998133546</v>
      </c>
      <c r="G72">
        <v>0</v>
      </c>
      <c r="H72" s="207">
        <f t="shared" si="9"/>
        <v>3.5568557921418504</v>
      </c>
      <c r="I72">
        <f t="shared" si="10"/>
        <v>58313.668013533112</v>
      </c>
      <c r="K72" s="207">
        <f t="shared" si="11"/>
        <v>3.6325860259117482</v>
      </c>
      <c r="L72" s="209">
        <f t="shared" si="12"/>
        <v>2.1291342184073914E-2</v>
      </c>
    </row>
    <row r="73" spans="1:12" x14ac:dyDescent="0.25">
      <c r="A73" s="2">
        <v>1.25</v>
      </c>
      <c r="B73" s="116">
        <v>2100000</v>
      </c>
      <c r="C73" s="2">
        <v>1.6E-2</v>
      </c>
      <c r="D73" s="2">
        <v>20</v>
      </c>
      <c r="E73" s="2">
        <v>2600</v>
      </c>
      <c r="F73" s="41">
        <f t="shared" si="8"/>
        <v>0.19929008886815053</v>
      </c>
      <c r="G73">
        <v>0</v>
      </c>
      <c r="H73" s="207">
        <f t="shared" si="9"/>
        <v>3.4053953246020559</v>
      </c>
      <c r="I73">
        <f t="shared" si="10"/>
        <v>68926.56233847393</v>
      </c>
      <c r="K73" s="207">
        <f t="shared" si="11"/>
        <v>3.6325860259117482</v>
      </c>
      <c r="L73" s="209">
        <f t="shared" si="12"/>
        <v>6.6714927241594557E-2</v>
      </c>
    </row>
    <row r="74" spans="1:12" x14ac:dyDescent="0.25">
      <c r="A74" s="2">
        <v>1.375</v>
      </c>
      <c r="B74" s="116">
        <v>2100000</v>
      </c>
      <c r="C74" s="2">
        <v>1.6E-2</v>
      </c>
      <c r="D74" s="2">
        <v>20</v>
      </c>
      <c r="E74" s="2">
        <v>2600</v>
      </c>
      <c r="F74" s="41">
        <f t="shared" si="8"/>
        <v>0.21921909775496556</v>
      </c>
      <c r="G74">
        <v>0</v>
      </c>
      <c r="H74" s="207">
        <f t="shared" si="9"/>
        <v>3.2539348570622617</v>
      </c>
      <c r="I74">
        <f t="shared" si="10"/>
        <v>79691.739752471025</v>
      </c>
      <c r="K74" s="207">
        <f t="shared" si="11"/>
        <v>3.6325860259117482</v>
      </c>
      <c r="L74" s="209">
        <f t="shared" si="12"/>
        <v>0.11636716329082963</v>
      </c>
    </row>
    <row r="75" spans="1:12" x14ac:dyDescent="0.25">
      <c r="A75" s="2">
        <v>1.5</v>
      </c>
      <c r="B75" s="116">
        <v>2100000</v>
      </c>
      <c r="C75" s="2">
        <v>1.6E-2</v>
      </c>
      <c r="D75" s="2">
        <v>20</v>
      </c>
      <c r="E75" s="2">
        <v>2600</v>
      </c>
      <c r="F75" s="41">
        <f t="shared" si="8"/>
        <v>0.2391481066417806</v>
      </c>
      <c r="G75">
        <v>0</v>
      </c>
      <c r="H75" s="207">
        <f t="shared" si="9"/>
        <v>3.1024743895224676</v>
      </c>
      <c r="I75">
        <f t="shared" si="10"/>
        <v>90425.26303186742</v>
      </c>
      <c r="K75" s="207">
        <f t="shared" si="11"/>
        <v>3.6325860259117482</v>
      </c>
      <c r="L75" s="209">
        <f t="shared" si="12"/>
        <v>0.17086736901988586</v>
      </c>
    </row>
    <row r="76" spans="1:12" x14ac:dyDescent="0.25">
      <c r="A76" s="2">
        <v>1.625</v>
      </c>
      <c r="B76" s="116">
        <v>2100000</v>
      </c>
      <c r="C76" s="2">
        <v>1.6E-2</v>
      </c>
      <c r="D76" s="2">
        <v>20</v>
      </c>
      <c r="E76" s="2">
        <v>2600</v>
      </c>
      <c r="F76" s="41">
        <f t="shared" si="8"/>
        <v>0.25907711552859564</v>
      </c>
      <c r="G76">
        <v>0</v>
      </c>
      <c r="H76" s="207">
        <f t="shared" si="9"/>
        <v>2.951013921982673</v>
      </c>
      <c r="I76">
        <f t="shared" si="10"/>
        <v>100943.19495300614</v>
      </c>
      <c r="K76" s="207">
        <f t="shared" si="11"/>
        <v>3.6325860259117482</v>
      </c>
      <c r="L76" s="209">
        <f t="shared" si="12"/>
        <v>0.23096200897322539</v>
      </c>
    </row>
    <row r="77" spans="1:12" x14ac:dyDescent="0.25">
      <c r="A77" s="2">
        <v>1.75</v>
      </c>
      <c r="B77" s="116">
        <v>2100000</v>
      </c>
      <c r="C77" s="2">
        <v>1.6E-2</v>
      </c>
      <c r="D77" s="2">
        <v>20</v>
      </c>
      <c r="E77" s="2">
        <v>2600</v>
      </c>
      <c r="F77" s="41">
        <f t="shared" si="8"/>
        <v>0.27900612441541073</v>
      </c>
      <c r="G77">
        <v>0</v>
      </c>
      <c r="H77" s="207">
        <f t="shared" si="9"/>
        <v>2.7995534544428784</v>
      </c>
      <c r="I77">
        <f t="shared" si="10"/>
        <v>111061.59829223016</v>
      </c>
      <c r="K77" s="207">
        <f t="shared" si="11"/>
        <v>3.6325860259117482</v>
      </c>
      <c r="L77" s="209">
        <f t="shared" si="12"/>
        <v>0.29755908755621396</v>
      </c>
    </row>
    <row r="78" spans="1:12" x14ac:dyDescent="0.25">
      <c r="A78" s="2">
        <v>1.875</v>
      </c>
      <c r="B78" s="116">
        <v>2100000</v>
      </c>
      <c r="C78" s="2">
        <v>1.6E-2</v>
      </c>
      <c r="D78" s="2">
        <v>20</v>
      </c>
      <c r="E78" s="2">
        <v>2600</v>
      </c>
      <c r="F78" s="41">
        <f t="shared" si="8"/>
        <v>0.29893513330222576</v>
      </c>
      <c r="G78">
        <v>0</v>
      </c>
      <c r="H78" s="207">
        <f t="shared" si="9"/>
        <v>2.6480929869030843</v>
      </c>
      <c r="I78">
        <f t="shared" si="10"/>
        <v>120596.53582588259</v>
      </c>
      <c r="K78" s="207">
        <f t="shared" si="11"/>
        <v>3.6325860259117482</v>
      </c>
      <c r="L78" s="209">
        <f t="shared" si="12"/>
        <v>0.371774346247568</v>
      </c>
    </row>
    <row r="79" spans="1:12" x14ac:dyDescent="0.25">
      <c r="A79" s="2">
        <v>2</v>
      </c>
      <c r="B79" s="116">
        <v>2100000</v>
      </c>
      <c r="C79" s="2">
        <v>1.6E-2</v>
      </c>
      <c r="D79" s="2">
        <v>20</v>
      </c>
      <c r="E79" s="2">
        <v>2600</v>
      </c>
      <c r="F79" s="41">
        <f t="shared" si="8"/>
        <v>0.3188641421890408</v>
      </c>
      <c r="G79">
        <v>0</v>
      </c>
      <c r="H79" s="207">
        <f t="shared" si="9"/>
        <v>2.4966325193632901</v>
      </c>
      <c r="I79">
        <f t="shared" si="10"/>
        <v>129364.07033030638</v>
      </c>
      <c r="K79" s="207">
        <f t="shared" si="11"/>
        <v>3.6325860259117482</v>
      </c>
      <c r="L79" s="209">
        <f t="shared" si="12"/>
        <v>0.45499427638560008</v>
      </c>
    </row>
    <row r="81" spans="1:12" x14ac:dyDescent="0.25">
      <c r="A81" t="s">
        <v>4</v>
      </c>
      <c r="B81" t="s">
        <v>5</v>
      </c>
      <c r="C81" t="s">
        <v>4</v>
      </c>
      <c r="D81" t="s">
        <v>4</v>
      </c>
      <c r="E81" t="s">
        <v>5</v>
      </c>
      <c r="I81" t="s">
        <v>5</v>
      </c>
    </row>
    <row r="82" spans="1:12" x14ac:dyDescent="0.25">
      <c r="A82" t="s">
        <v>225</v>
      </c>
      <c r="B82" t="s">
        <v>226</v>
      </c>
      <c r="C82" t="s">
        <v>227</v>
      </c>
      <c r="D82" t="s">
        <v>138</v>
      </c>
      <c r="E82" t="s">
        <v>228</v>
      </c>
      <c r="F82" t="s">
        <v>224</v>
      </c>
      <c r="G82" t="s">
        <v>229</v>
      </c>
      <c r="H82" t="s">
        <v>230</v>
      </c>
      <c r="I82" t="s">
        <v>231</v>
      </c>
      <c r="K82" t="s">
        <v>236</v>
      </c>
      <c r="L82" t="s">
        <v>237</v>
      </c>
    </row>
    <row r="83" spans="1:12" x14ac:dyDescent="0.25">
      <c r="A83" s="2">
        <v>0.125</v>
      </c>
      <c r="B83" s="116">
        <v>2100000</v>
      </c>
      <c r="C83" s="2">
        <v>1.6E-2</v>
      </c>
      <c r="D83" s="2">
        <v>20</v>
      </c>
      <c r="E83" s="2">
        <v>2600</v>
      </c>
      <c r="F83" s="41">
        <f>(PI()^2)*A83*B83*C83/(2*E83*D83^2)</f>
        <v>1.992900888681505E-2</v>
      </c>
      <c r="G83">
        <v>0</v>
      </c>
      <c r="H83" s="207">
        <f>IF((-7.6*F83+4.92)&gt;2,(-7.6*F83+4.92),2)</f>
        <v>4.7685395324602053</v>
      </c>
      <c r="I83">
        <f>(PI()^2)*H83*(A83^2)*B83/(4*D83^2)</f>
        <v>965.17145887020945</v>
      </c>
      <c r="K83" s="207">
        <f>AVERAGE($H$83:$H$98)</f>
        <v>3.6325860259117482</v>
      </c>
      <c r="L83" s="209">
        <f>K83/H83-1</f>
        <v>-0.23821832634831719</v>
      </c>
    </row>
    <row r="84" spans="1:12" x14ac:dyDescent="0.25">
      <c r="A84" s="2">
        <v>0.25</v>
      </c>
      <c r="B84" s="116">
        <v>2100000</v>
      </c>
      <c r="C84" s="2">
        <v>1.6E-2</v>
      </c>
      <c r="D84" s="2">
        <v>20</v>
      </c>
      <c r="E84" s="2">
        <v>2600</v>
      </c>
      <c r="F84" s="41">
        <f t="shared" ref="F84:F98" si="13">(PI()^2)*A84*B84*C84/(2*E84*D84^2)</f>
        <v>3.98580177736301E-2</v>
      </c>
      <c r="G84">
        <v>0</v>
      </c>
      <c r="H84" s="207">
        <f t="shared" ref="H84:H98" si="14">IF((-7.6*F84+4.92)&gt;2,(-7.6*F84+4.92),2)</f>
        <v>4.6170790649204108</v>
      </c>
      <c r="I84">
        <f t="shared" ref="I84:I98" si="15">(PI()^2)*H84*(A84^2)*B84/(4*D84^2)</f>
        <v>3738.0610197095175</v>
      </c>
      <c r="K84" s="207">
        <f t="shared" ref="K84:K98" si="16">AVERAGE($H$83:$H$98)</f>
        <v>3.6325860259117482</v>
      </c>
      <c r="L84" s="209">
        <f t="shared" ref="L84:L98" si="17">K84/H84-1</f>
        <v>-0.21322854236753974</v>
      </c>
    </row>
    <row r="85" spans="1:12" x14ac:dyDescent="0.25">
      <c r="A85" s="2">
        <v>0.375</v>
      </c>
      <c r="B85" s="116">
        <v>2100000</v>
      </c>
      <c r="C85" s="2">
        <v>1.6E-2</v>
      </c>
      <c r="D85" s="2">
        <v>20</v>
      </c>
      <c r="E85" s="2">
        <v>2600</v>
      </c>
      <c r="F85" s="41">
        <f t="shared" si="13"/>
        <v>5.978702666044515E-2</v>
      </c>
      <c r="G85">
        <v>0</v>
      </c>
      <c r="H85" s="207">
        <f t="shared" si="14"/>
        <v>4.4656185973806171</v>
      </c>
      <c r="I85">
        <f t="shared" si="15"/>
        <v>8134.731458860947</v>
      </c>
      <c r="K85" s="207">
        <f t="shared" si="16"/>
        <v>3.6325860259117482</v>
      </c>
      <c r="L85" s="209">
        <f t="shared" si="17"/>
        <v>-0.18654360046724505</v>
      </c>
    </row>
    <row r="86" spans="1:12" x14ac:dyDescent="0.25">
      <c r="A86" s="2">
        <v>0.5</v>
      </c>
      <c r="B86" s="116">
        <v>2100000</v>
      </c>
      <c r="C86" s="2">
        <v>1.6E-2</v>
      </c>
      <c r="D86" s="2">
        <v>20</v>
      </c>
      <c r="E86" s="2">
        <v>2600</v>
      </c>
      <c r="F86" s="41">
        <f t="shared" si="13"/>
        <v>7.97160355472602E-2</v>
      </c>
      <c r="G86">
        <v>0</v>
      </c>
      <c r="H86" s="207">
        <f t="shared" si="14"/>
        <v>4.3141581298408225</v>
      </c>
      <c r="I86">
        <f t="shared" si="15"/>
        <v>13971.245552667511</v>
      </c>
      <c r="K86" s="207">
        <f t="shared" si="16"/>
        <v>3.6325860259117482</v>
      </c>
      <c r="L86" s="209">
        <f t="shared" si="17"/>
        <v>-0.15798496100888682</v>
      </c>
    </row>
    <row r="87" spans="1:12" x14ac:dyDescent="0.25">
      <c r="A87" s="2">
        <v>0.625</v>
      </c>
      <c r="B87" s="116">
        <v>2100000</v>
      </c>
      <c r="C87" s="2">
        <v>1.6E-2</v>
      </c>
      <c r="D87" s="2">
        <v>20</v>
      </c>
      <c r="E87" s="2">
        <v>2600</v>
      </c>
      <c r="F87" s="41">
        <f t="shared" si="13"/>
        <v>9.9645044434075264E-2</v>
      </c>
      <c r="G87">
        <v>0</v>
      </c>
      <c r="H87" s="207">
        <f t="shared" si="14"/>
        <v>4.1626976623010279</v>
      </c>
      <c r="I87">
        <f t="shared" si="15"/>
        <v>21063.666077472233</v>
      </c>
      <c r="K87" s="207">
        <f t="shared" si="16"/>
        <v>3.6325860259117482</v>
      </c>
      <c r="L87" s="209">
        <f t="shared" si="17"/>
        <v>-0.12734809957258542</v>
      </c>
    </row>
    <row r="88" spans="1:12" x14ac:dyDescent="0.25">
      <c r="A88" s="2">
        <v>0.75</v>
      </c>
      <c r="B88" s="116">
        <v>2100000</v>
      </c>
      <c r="C88" s="2">
        <v>1.6E-2</v>
      </c>
      <c r="D88" s="2">
        <v>20</v>
      </c>
      <c r="E88" s="2">
        <v>2600</v>
      </c>
      <c r="F88" s="41">
        <f t="shared" si="13"/>
        <v>0.1195740533208903</v>
      </c>
      <c r="G88">
        <v>0</v>
      </c>
      <c r="H88" s="207">
        <f t="shared" si="14"/>
        <v>4.0112371947612333</v>
      </c>
      <c r="I88">
        <f t="shared" si="15"/>
        <v>29228.055809618138</v>
      </c>
      <c r="K88" s="207">
        <f t="shared" si="16"/>
        <v>3.6325860259117482</v>
      </c>
      <c r="L88" s="209">
        <f t="shared" si="17"/>
        <v>-9.4397601155078115E-2</v>
      </c>
    </row>
    <row r="89" spans="1:12" x14ac:dyDescent="0.25">
      <c r="A89" s="2">
        <v>0.875</v>
      </c>
      <c r="B89" s="116">
        <v>2100000</v>
      </c>
      <c r="C89" s="2">
        <v>1.6E-2</v>
      </c>
      <c r="D89" s="2">
        <v>20</v>
      </c>
      <c r="E89" s="2">
        <v>2600</v>
      </c>
      <c r="F89" s="41">
        <f t="shared" si="13"/>
        <v>0.13950306220770536</v>
      </c>
      <c r="G89">
        <v>0</v>
      </c>
      <c r="H89" s="207">
        <f t="shared" si="14"/>
        <v>3.8597767272214392</v>
      </c>
      <c r="I89">
        <f t="shared" si="15"/>
        <v>38280.477525448237</v>
      </c>
      <c r="K89" s="207">
        <f t="shared" si="16"/>
        <v>3.6325860259117482</v>
      </c>
      <c r="L89" s="209">
        <f t="shared" si="17"/>
        <v>-5.8861099324063804E-2</v>
      </c>
    </row>
    <row r="90" spans="1:12" x14ac:dyDescent="0.25">
      <c r="A90" s="2">
        <v>1</v>
      </c>
      <c r="B90" s="116">
        <v>2100000</v>
      </c>
      <c r="C90" s="2">
        <v>1.6E-2</v>
      </c>
      <c r="D90" s="2">
        <v>20</v>
      </c>
      <c r="E90" s="2">
        <v>2600</v>
      </c>
      <c r="F90" s="41">
        <f t="shared" si="13"/>
        <v>0.1594320710945204</v>
      </c>
      <c r="G90">
        <v>0</v>
      </c>
      <c r="H90" s="207">
        <f t="shared" si="14"/>
        <v>3.708316259681645</v>
      </c>
      <c r="I90">
        <f t="shared" si="15"/>
        <v>48036.99400130556</v>
      </c>
      <c r="K90" s="207">
        <f t="shared" si="16"/>
        <v>3.6325860259117482</v>
      </c>
      <c r="L90" s="209">
        <f t="shared" si="17"/>
        <v>-2.0421730097097579E-2</v>
      </c>
    </row>
    <row r="91" spans="1:12" x14ac:dyDescent="0.25">
      <c r="A91" s="2">
        <v>1.125</v>
      </c>
      <c r="B91" s="116">
        <v>2100000</v>
      </c>
      <c r="C91" s="2">
        <v>1.6E-2</v>
      </c>
      <c r="D91" s="2">
        <v>20</v>
      </c>
      <c r="E91" s="2">
        <v>2600</v>
      </c>
      <c r="F91" s="41">
        <f t="shared" si="13"/>
        <v>0.17936107998133546</v>
      </c>
      <c r="G91">
        <v>0</v>
      </c>
      <c r="H91" s="207">
        <f t="shared" si="14"/>
        <v>3.5568557921418504</v>
      </c>
      <c r="I91">
        <f t="shared" si="15"/>
        <v>58313.668013533112</v>
      </c>
      <c r="K91" s="207">
        <f t="shared" si="16"/>
        <v>3.6325860259117482</v>
      </c>
      <c r="L91" s="209">
        <f t="shared" si="17"/>
        <v>2.1291342184073914E-2</v>
      </c>
    </row>
    <row r="92" spans="1:12" x14ac:dyDescent="0.25">
      <c r="A92" s="2">
        <v>1.25</v>
      </c>
      <c r="B92" s="116">
        <v>2100000</v>
      </c>
      <c r="C92" s="2">
        <v>1.6E-2</v>
      </c>
      <c r="D92" s="2">
        <v>20</v>
      </c>
      <c r="E92" s="2">
        <v>2600</v>
      </c>
      <c r="F92" s="41">
        <f t="shared" si="13"/>
        <v>0.19929008886815053</v>
      </c>
      <c r="G92">
        <v>0</v>
      </c>
      <c r="H92" s="207">
        <f t="shared" si="14"/>
        <v>3.4053953246020559</v>
      </c>
      <c r="I92">
        <f t="shared" si="15"/>
        <v>68926.56233847393</v>
      </c>
      <c r="K92" s="207">
        <f t="shared" si="16"/>
        <v>3.6325860259117482</v>
      </c>
      <c r="L92" s="209">
        <f t="shared" si="17"/>
        <v>6.6714927241594557E-2</v>
      </c>
    </row>
    <row r="93" spans="1:12" x14ac:dyDescent="0.25">
      <c r="A93" s="2">
        <v>1.375</v>
      </c>
      <c r="B93" s="116">
        <v>2100000</v>
      </c>
      <c r="C93" s="2">
        <v>1.6E-2</v>
      </c>
      <c r="D93" s="2">
        <v>20</v>
      </c>
      <c r="E93" s="2">
        <v>2600</v>
      </c>
      <c r="F93" s="41">
        <f t="shared" si="13"/>
        <v>0.21921909775496556</v>
      </c>
      <c r="G93">
        <v>0</v>
      </c>
      <c r="H93" s="207">
        <f t="shared" si="14"/>
        <v>3.2539348570622617</v>
      </c>
      <c r="I93">
        <f t="shared" si="15"/>
        <v>79691.739752471025</v>
      </c>
      <c r="K93" s="207">
        <f t="shared" si="16"/>
        <v>3.6325860259117482</v>
      </c>
      <c r="L93" s="209">
        <f t="shared" si="17"/>
        <v>0.11636716329082963</v>
      </c>
    </row>
    <row r="94" spans="1:12" x14ac:dyDescent="0.25">
      <c r="A94" s="2">
        <v>1.5</v>
      </c>
      <c r="B94" s="116">
        <v>2100000</v>
      </c>
      <c r="C94" s="2">
        <v>1.6E-2</v>
      </c>
      <c r="D94" s="2">
        <v>20</v>
      </c>
      <c r="E94" s="2">
        <v>2600</v>
      </c>
      <c r="F94" s="41">
        <f t="shared" si="13"/>
        <v>0.2391481066417806</v>
      </c>
      <c r="G94">
        <v>0</v>
      </c>
      <c r="H94" s="207">
        <f t="shared" si="14"/>
        <v>3.1024743895224676</v>
      </c>
      <c r="I94">
        <f t="shared" si="15"/>
        <v>90425.26303186742</v>
      </c>
      <c r="K94" s="207">
        <f t="shared" si="16"/>
        <v>3.6325860259117482</v>
      </c>
      <c r="L94" s="209">
        <f t="shared" si="17"/>
        <v>0.17086736901988586</v>
      </c>
    </row>
    <row r="95" spans="1:12" x14ac:dyDescent="0.25">
      <c r="A95" s="2">
        <v>1.625</v>
      </c>
      <c r="B95" s="116">
        <v>2100000</v>
      </c>
      <c r="C95" s="2">
        <v>1.6E-2</v>
      </c>
      <c r="D95" s="2">
        <v>20</v>
      </c>
      <c r="E95" s="2">
        <v>2600</v>
      </c>
      <c r="F95" s="41">
        <f t="shared" si="13"/>
        <v>0.25907711552859564</v>
      </c>
      <c r="G95">
        <v>0</v>
      </c>
      <c r="H95" s="207">
        <f t="shared" si="14"/>
        <v>2.951013921982673</v>
      </c>
      <c r="I95">
        <f t="shared" si="15"/>
        <v>100943.19495300614</v>
      </c>
      <c r="K95" s="207">
        <f t="shared" si="16"/>
        <v>3.6325860259117482</v>
      </c>
      <c r="L95" s="209">
        <f t="shared" si="17"/>
        <v>0.23096200897322539</v>
      </c>
    </row>
    <row r="96" spans="1:12" x14ac:dyDescent="0.25">
      <c r="A96" s="2">
        <v>1.75</v>
      </c>
      <c r="B96" s="116">
        <v>2100000</v>
      </c>
      <c r="C96" s="2">
        <v>1.6E-2</v>
      </c>
      <c r="D96" s="2">
        <v>20</v>
      </c>
      <c r="E96" s="2">
        <v>2600</v>
      </c>
      <c r="F96" s="41">
        <f t="shared" si="13"/>
        <v>0.27900612441541073</v>
      </c>
      <c r="G96">
        <v>0</v>
      </c>
      <c r="H96" s="207">
        <f t="shared" si="14"/>
        <v>2.7995534544428784</v>
      </c>
      <c r="I96">
        <f t="shared" si="15"/>
        <v>111061.59829223016</v>
      </c>
      <c r="K96" s="207">
        <f t="shared" si="16"/>
        <v>3.6325860259117482</v>
      </c>
      <c r="L96" s="209">
        <f t="shared" si="17"/>
        <v>0.29755908755621396</v>
      </c>
    </row>
    <row r="97" spans="1:12" x14ac:dyDescent="0.25">
      <c r="A97" s="2">
        <v>1.875</v>
      </c>
      <c r="B97" s="116">
        <v>2100000</v>
      </c>
      <c r="C97" s="2">
        <v>1.6E-2</v>
      </c>
      <c r="D97" s="2">
        <v>20</v>
      </c>
      <c r="E97" s="2">
        <v>2600</v>
      </c>
      <c r="F97" s="41">
        <f t="shared" si="13"/>
        <v>0.29893513330222576</v>
      </c>
      <c r="G97">
        <v>0</v>
      </c>
      <c r="H97" s="207">
        <f t="shared" si="14"/>
        <v>2.6480929869030843</v>
      </c>
      <c r="I97">
        <f t="shared" si="15"/>
        <v>120596.53582588259</v>
      </c>
      <c r="K97" s="207">
        <f t="shared" si="16"/>
        <v>3.6325860259117482</v>
      </c>
      <c r="L97" s="209">
        <f t="shared" si="17"/>
        <v>0.371774346247568</v>
      </c>
    </row>
    <row r="98" spans="1:12" x14ac:dyDescent="0.25">
      <c r="A98" s="2">
        <v>2</v>
      </c>
      <c r="B98" s="116">
        <v>2100000</v>
      </c>
      <c r="C98" s="2">
        <v>1.6E-2</v>
      </c>
      <c r="D98" s="2">
        <v>20</v>
      </c>
      <c r="E98" s="2">
        <v>2600</v>
      </c>
      <c r="F98" s="41">
        <f t="shared" si="13"/>
        <v>0.3188641421890408</v>
      </c>
      <c r="G98">
        <v>0</v>
      </c>
      <c r="H98" s="207">
        <f t="shared" si="14"/>
        <v>2.4966325193632901</v>
      </c>
      <c r="I98">
        <f t="shared" si="15"/>
        <v>129364.07033030638</v>
      </c>
      <c r="K98" s="207">
        <f t="shared" si="16"/>
        <v>3.6325860259117482</v>
      </c>
      <c r="L98" s="209">
        <f t="shared" si="17"/>
        <v>0.45499427638560008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1F041-CBCC-4F4D-83C6-32A8951DF9BF}">
  <dimension ref="A1:N303"/>
  <sheetViews>
    <sheetView workbookViewId="0">
      <selection activeCell="AG18" sqref="AG18"/>
    </sheetView>
  </sheetViews>
  <sheetFormatPr defaultRowHeight="15" x14ac:dyDescent="0.25"/>
  <cols>
    <col min="1" max="1" width="9.42578125" bestFit="1" customWidth="1"/>
  </cols>
  <sheetData>
    <row r="1" spans="1:1" x14ac:dyDescent="0.25">
      <c r="A1" s="538">
        <v>45012</v>
      </c>
    </row>
    <row r="2" spans="1:1" x14ac:dyDescent="0.25">
      <c r="A2" t="s">
        <v>607</v>
      </c>
    </row>
    <row r="239" spans="1:1" s="539" customFormat="1" x14ac:dyDescent="0.25"/>
    <row r="240" spans="1:1" x14ac:dyDescent="0.25">
      <c r="A240" s="4" t="s">
        <v>620</v>
      </c>
    </row>
    <row r="241" spans="1:14" x14ac:dyDescent="0.25">
      <c r="N241" s="4" t="s">
        <v>609</v>
      </c>
    </row>
    <row r="242" spans="1:14" x14ac:dyDescent="0.25">
      <c r="A242" t="s">
        <v>642</v>
      </c>
      <c r="N242" t="s">
        <v>621</v>
      </c>
    </row>
    <row r="243" spans="1:14" x14ac:dyDescent="0.25">
      <c r="A243" t="s">
        <v>643</v>
      </c>
      <c r="N243" t="s">
        <v>622</v>
      </c>
    </row>
    <row r="244" spans="1:14" x14ac:dyDescent="0.25">
      <c r="A244" t="s">
        <v>644</v>
      </c>
      <c r="N244" t="s">
        <v>623</v>
      </c>
    </row>
    <row r="245" spans="1:14" x14ac:dyDescent="0.25">
      <c r="N245" t="s">
        <v>624</v>
      </c>
    </row>
    <row r="246" spans="1:14" x14ac:dyDescent="0.25">
      <c r="N246" t="s">
        <v>625</v>
      </c>
    </row>
    <row r="247" spans="1:14" x14ac:dyDescent="0.25">
      <c r="N247" t="s">
        <v>626</v>
      </c>
    </row>
    <row r="248" spans="1:14" x14ac:dyDescent="0.25">
      <c r="A248" t="s">
        <v>610</v>
      </c>
      <c r="B248" t="s">
        <v>2</v>
      </c>
      <c r="C248" t="s">
        <v>645</v>
      </c>
      <c r="N248" t="s">
        <v>627</v>
      </c>
    </row>
    <row r="249" spans="1:14" x14ac:dyDescent="0.25">
      <c r="A249" t="s">
        <v>611</v>
      </c>
      <c r="B249" t="s">
        <v>612</v>
      </c>
      <c r="C249" t="s">
        <v>611</v>
      </c>
      <c r="N249" t="s">
        <v>628</v>
      </c>
    </row>
    <row r="250" spans="1:14" x14ac:dyDescent="0.25">
      <c r="A250" t="s">
        <v>646</v>
      </c>
      <c r="B250" t="s">
        <v>614</v>
      </c>
      <c r="C250">
        <v>0</v>
      </c>
      <c r="D250" t="s">
        <v>647</v>
      </c>
      <c r="N250" t="s">
        <v>628</v>
      </c>
    </row>
    <row r="251" spans="1:14" x14ac:dyDescent="0.25">
      <c r="A251" t="s">
        <v>648</v>
      </c>
      <c r="B251" t="s">
        <v>614</v>
      </c>
      <c r="C251">
        <v>0</v>
      </c>
      <c r="D251" t="s">
        <v>649</v>
      </c>
      <c r="N251" t="s">
        <v>629</v>
      </c>
    </row>
    <row r="252" spans="1:14" x14ac:dyDescent="0.25">
      <c r="A252" t="s">
        <v>650</v>
      </c>
      <c r="B252" t="s">
        <v>614</v>
      </c>
      <c r="C252">
        <v>0</v>
      </c>
      <c r="D252" t="s">
        <v>651</v>
      </c>
      <c r="N252" t="s">
        <v>630</v>
      </c>
    </row>
    <row r="253" spans="1:14" x14ac:dyDescent="0.25">
      <c r="A253" t="s">
        <v>652</v>
      </c>
      <c r="B253" t="s">
        <v>653</v>
      </c>
      <c r="C253">
        <v>0</v>
      </c>
      <c r="D253" t="s">
        <v>654</v>
      </c>
      <c r="N253" t="s">
        <v>631</v>
      </c>
    </row>
    <row r="254" spans="1:14" x14ac:dyDescent="0.25">
      <c r="A254" t="s">
        <v>655</v>
      </c>
      <c r="B254" t="s">
        <v>656</v>
      </c>
      <c r="C254" t="s">
        <v>657</v>
      </c>
      <c r="D254" t="s">
        <v>658</v>
      </c>
      <c r="N254" t="s">
        <v>632</v>
      </c>
    </row>
    <row r="255" spans="1:14" x14ac:dyDescent="0.25">
      <c r="A255" t="s">
        <v>659</v>
      </c>
      <c r="B255" t="s">
        <v>656</v>
      </c>
      <c r="C255" t="s">
        <v>657</v>
      </c>
      <c r="D255" t="s">
        <v>660</v>
      </c>
      <c r="N255" t="s">
        <v>633</v>
      </c>
    </row>
    <row r="256" spans="1:14" x14ac:dyDescent="0.25">
      <c r="A256" t="s">
        <v>661</v>
      </c>
      <c r="B256" t="s">
        <v>656</v>
      </c>
      <c r="C256">
        <v>0</v>
      </c>
      <c r="D256" t="s">
        <v>662</v>
      </c>
      <c r="N256" t="s">
        <v>634</v>
      </c>
    </row>
    <row r="257" spans="1:14" x14ac:dyDescent="0.25">
      <c r="A257" t="s">
        <v>663</v>
      </c>
      <c r="B257" t="s">
        <v>656</v>
      </c>
      <c r="C257">
        <v>0</v>
      </c>
      <c r="D257" t="s">
        <v>664</v>
      </c>
      <c r="N257" t="s">
        <v>635</v>
      </c>
    </row>
    <row r="258" spans="1:14" x14ac:dyDescent="0.25">
      <c r="A258" t="s">
        <v>665</v>
      </c>
      <c r="B258" t="s">
        <v>656</v>
      </c>
      <c r="C258">
        <v>0</v>
      </c>
      <c r="D258" t="s">
        <v>666</v>
      </c>
      <c r="N258" t="s">
        <v>636</v>
      </c>
    </row>
    <row r="259" spans="1:14" x14ac:dyDescent="0.25">
      <c r="A259" t="s">
        <v>667</v>
      </c>
      <c r="B259" t="s">
        <v>656</v>
      </c>
      <c r="C259" t="s">
        <v>657</v>
      </c>
      <c r="D259" t="s">
        <v>668</v>
      </c>
    </row>
    <row r="260" spans="1:14" x14ac:dyDescent="0.25">
      <c r="A260" t="s">
        <v>608</v>
      </c>
      <c r="B260" t="s">
        <v>617</v>
      </c>
      <c r="C260" t="s">
        <v>657</v>
      </c>
      <c r="D260" t="s">
        <v>669</v>
      </c>
    </row>
    <row r="261" spans="1:14" x14ac:dyDescent="0.25">
      <c r="A261" t="s">
        <v>670</v>
      </c>
      <c r="B261" t="s">
        <v>617</v>
      </c>
      <c r="C261" t="s">
        <v>657</v>
      </c>
      <c r="D261" t="s">
        <v>671</v>
      </c>
    </row>
    <row r="262" spans="1:14" x14ac:dyDescent="0.25">
      <c r="A262" t="s">
        <v>672</v>
      </c>
      <c r="B262" t="s">
        <v>617</v>
      </c>
      <c r="C262" t="s">
        <v>657</v>
      </c>
      <c r="D262" t="s">
        <v>673</v>
      </c>
      <c r="N262" t="s">
        <v>637</v>
      </c>
    </row>
    <row r="263" spans="1:14" x14ac:dyDescent="0.25">
      <c r="A263" t="s">
        <v>674</v>
      </c>
      <c r="B263" t="s">
        <v>619</v>
      </c>
      <c r="C263">
        <v>0</v>
      </c>
      <c r="D263" t="s">
        <v>675</v>
      </c>
      <c r="N263" t="s">
        <v>638</v>
      </c>
    </row>
    <row r="264" spans="1:14" x14ac:dyDescent="0.25">
      <c r="A264" t="s">
        <v>676</v>
      </c>
      <c r="B264" t="s">
        <v>619</v>
      </c>
      <c r="C264">
        <v>0</v>
      </c>
      <c r="D264" t="s">
        <v>677</v>
      </c>
      <c r="N264" t="s">
        <v>623</v>
      </c>
    </row>
    <row r="265" spans="1:14" x14ac:dyDescent="0.25">
      <c r="A265" t="s">
        <v>678</v>
      </c>
      <c r="B265" t="s">
        <v>679</v>
      </c>
      <c r="C265">
        <v>0</v>
      </c>
      <c r="D265" t="s">
        <v>680</v>
      </c>
      <c r="N265" t="s">
        <v>632</v>
      </c>
    </row>
    <row r="266" spans="1:14" x14ac:dyDescent="0.25">
      <c r="A266" t="s">
        <v>681</v>
      </c>
      <c r="B266" t="s">
        <v>614</v>
      </c>
      <c r="C266">
        <v>0</v>
      </c>
      <c r="D266" t="s">
        <v>682</v>
      </c>
      <c r="N266" t="s">
        <v>633</v>
      </c>
    </row>
    <row r="267" spans="1:14" x14ac:dyDescent="0.25">
      <c r="A267" t="s">
        <v>683</v>
      </c>
      <c r="B267" t="s">
        <v>614</v>
      </c>
      <c r="C267">
        <v>0</v>
      </c>
      <c r="D267" t="s">
        <v>684</v>
      </c>
      <c r="N267" t="s">
        <v>639</v>
      </c>
    </row>
    <row r="268" spans="1:14" x14ac:dyDescent="0.25">
      <c r="A268" t="s">
        <v>685</v>
      </c>
      <c r="B268" t="s">
        <v>619</v>
      </c>
      <c r="C268">
        <v>0</v>
      </c>
      <c r="D268" t="s">
        <v>686</v>
      </c>
      <c r="N268" t="s">
        <v>640</v>
      </c>
    </row>
    <row r="269" spans="1:14" x14ac:dyDescent="0.25">
      <c r="A269" t="s">
        <v>687</v>
      </c>
      <c r="B269" t="s">
        <v>619</v>
      </c>
      <c r="C269">
        <v>0</v>
      </c>
      <c r="D269" t="s">
        <v>688</v>
      </c>
      <c r="N269" t="s">
        <v>641</v>
      </c>
    </row>
    <row r="270" spans="1:14" x14ac:dyDescent="0.25">
      <c r="A270" t="s">
        <v>689</v>
      </c>
      <c r="B270" t="s">
        <v>679</v>
      </c>
      <c r="C270">
        <v>0</v>
      </c>
      <c r="D270" t="s">
        <v>690</v>
      </c>
    </row>
    <row r="271" spans="1:14" x14ac:dyDescent="0.25">
      <c r="A271" t="s">
        <v>691</v>
      </c>
      <c r="B271" t="s">
        <v>614</v>
      </c>
      <c r="C271">
        <v>0</v>
      </c>
      <c r="D271" t="s">
        <v>692</v>
      </c>
    </row>
    <row r="272" spans="1:14" x14ac:dyDescent="0.25">
      <c r="A272" t="s">
        <v>693</v>
      </c>
      <c r="B272" t="s">
        <v>614</v>
      </c>
      <c r="C272">
        <v>0</v>
      </c>
      <c r="D272" t="s">
        <v>694</v>
      </c>
    </row>
    <row r="273" spans="1:4" x14ac:dyDescent="0.25">
      <c r="A273" t="s">
        <v>695</v>
      </c>
      <c r="B273" t="s">
        <v>614</v>
      </c>
      <c r="C273">
        <v>0</v>
      </c>
      <c r="D273" t="s">
        <v>696</v>
      </c>
    </row>
    <row r="274" spans="1:4" x14ac:dyDescent="0.25">
      <c r="A274" t="s">
        <v>697</v>
      </c>
      <c r="B274" t="s">
        <v>614</v>
      </c>
      <c r="C274">
        <v>0</v>
      </c>
      <c r="D274" t="s">
        <v>698</v>
      </c>
    </row>
    <row r="275" spans="1:4" x14ac:dyDescent="0.25">
      <c r="A275" t="s">
        <v>699</v>
      </c>
      <c r="B275" t="s">
        <v>614</v>
      </c>
      <c r="C275">
        <v>0</v>
      </c>
      <c r="D275" t="s">
        <v>700</v>
      </c>
    </row>
    <row r="276" spans="1:4" x14ac:dyDescent="0.25">
      <c r="A276" t="s">
        <v>701</v>
      </c>
      <c r="B276" t="s">
        <v>614</v>
      </c>
      <c r="C276">
        <v>0</v>
      </c>
      <c r="D276" t="s">
        <v>702</v>
      </c>
    </row>
    <row r="277" spans="1:4" x14ac:dyDescent="0.25">
      <c r="A277" t="s">
        <v>703</v>
      </c>
      <c r="B277" t="s">
        <v>704</v>
      </c>
      <c r="C277">
        <v>0</v>
      </c>
      <c r="D277" t="s">
        <v>705</v>
      </c>
    </row>
    <row r="278" spans="1:4" x14ac:dyDescent="0.25">
      <c r="A278" t="s">
        <v>706</v>
      </c>
      <c r="B278" t="s">
        <v>704</v>
      </c>
      <c r="C278">
        <v>0</v>
      </c>
      <c r="D278" t="s">
        <v>707</v>
      </c>
    </row>
    <row r="279" spans="1:4" x14ac:dyDescent="0.25">
      <c r="A279" t="s">
        <v>708</v>
      </c>
      <c r="B279" t="s">
        <v>614</v>
      </c>
      <c r="C279">
        <v>0</v>
      </c>
      <c r="D279" t="s">
        <v>709</v>
      </c>
    </row>
    <row r="280" spans="1:4" x14ac:dyDescent="0.25">
      <c r="A280" t="s">
        <v>710</v>
      </c>
      <c r="B280" t="s">
        <v>614</v>
      </c>
      <c r="C280">
        <v>0</v>
      </c>
      <c r="D280" t="s">
        <v>711</v>
      </c>
    </row>
    <row r="281" spans="1:4" x14ac:dyDescent="0.25">
      <c r="A281" t="s">
        <v>712</v>
      </c>
      <c r="B281" t="s">
        <v>618</v>
      </c>
      <c r="C281">
        <v>0</v>
      </c>
      <c r="D281" t="s">
        <v>713</v>
      </c>
    </row>
    <row r="282" spans="1:4" x14ac:dyDescent="0.25">
      <c r="D282" t="s">
        <v>714</v>
      </c>
    </row>
    <row r="283" spans="1:4" x14ac:dyDescent="0.25">
      <c r="D283" t="s">
        <v>715</v>
      </c>
    </row>
    <row r="284" spans="1:4" x14ac:dyDescent="0.25">
      <c r="A284" t="s">
        <v>716</v>
      </c>
      <c r="B284" t="s">
        <v>614</v>
      </c>
      <c r="C284">
        <v>0</v>
      </c>
      <c r="D284" t="s">
        <v>717</v>
      </c>
    </row>
    <row r="285" spans="1:4" x14ac:dyDescent="0.25">
      <c r="A285" t="s">
        <v>718</v>
      </c>
      <c r="C285">
        <v>0</v>
      </c>
      <c r="D285" t="s">
        <v>719</v>
      </c>
    </row>
    <row r="286" spans="1:4" x14ac:dyDescent="0.25">
      <c r="A286" t="s">
        <v>720</v>
      </c>
      <c r="C286">
        <v>0</v>
      </c>
      <c r="D286" t="s">
        <v>721</v>
      </c>
    </row>
    <row r="288" spans="1:4" x14ac:dyDescent="0.25">
      <c r="A288" t="s">
        <v>722</v>
      </c>
      <c r="B288" t="s">
        <v>614</v>
      </c>
      <c r="C288" t="s">
        <v>723</v>
      </c>
      <c r="D288" t="s">
        <v>724</v>
      </c>
    </row>
    <row r="289" spans="1:4" x14ac:dyDescent="0.25">
      <c r="A289" t="s">
        <v>725</v>
      </c>
      <c r="C289">
        <v>0.5</v>
      </c>
      <c r="D289" t="s">
        <v>726</v>
      </c>
    </row>
    <row r="290" spans="1:4" x14ac:dyDescent="0.25">
      <c r="A290" t="s">
        <v>727</v>
      </c>
      <c r="B290" t="s">
        <v>653</v>
      </c>
      <c r="C290">
        <v>0</v>
      </c>
      <c r="D290" t="s">
        <v>728</v>
      </c>
    </row>
    <row r="291" spans="1:4" x14ac:dyDescent="0.25">
      <c r="A291" t="s">
        <v>729</v>
      </c>
      <c r="C291">
        <v>0</v>
      </c>
      <c r="D291" t="s">
        <v>730</v>
      </c>
    </row>
    <row r="292" spans="1:4" x14ac:dyDescent="0.25">
      <c r="A292" t="s">
        <v>731</v>
      </c>
      <c r="C292">
        <v>2</v>
      </c>
      <c r="D292" t="s">
        <v>732</v>
      </c>
    </row>
    <row r="293" spans="1:4" x14ac:dyDescent="0.25">
      <c r="A293" t="s">
        <v>733</v>
      </c>
      <c r="C293">
        <v>-2</v>
      </c>
      <c r="D293" t="s">
        <v>734</v>
      </c>
    </row>
    <row r="294" spans="1:4" x14ac:dyDescent="0.25">
      <c r="A294" t="s">
        <v>735</v>
      </c>
      <c r="B294" t="s">
        <v>736</v>
      </c>
      <c r="C294" t="s">
        <v>737</v>
      </c>
      <c r="D294" t="s">
        <v>738</v>
      </c>
    </row>
    <row r="295" spans="1:4" x14ac:dyDescent="0.25">
      <c r="A295" t="s">
        <v>739</v>
      </c>
      <c r="B295" t="s">
        <v>740</v>
      </c>
      <c r="C295">
        <v>0</v>
      </c>
      <c r="D295" t="s">
        <v>741</v>
      </c>
    </row>
    <row r="296" spans="1:4" x14ac:dyDescent="0.25">
      <c r="A296" t="s">
        <v>742</v>
      </c>
      <c r="B296" t="s">
        <v>740</v>
      </c>
      <c r="C296">
        <v>0</v>
      </c>
      <c r="D296" t="s">
        <v>743</v>
      </c>
    </row>
    <row r="297" spans="1:4" x14ac:dyDescent="0.25">
      <c r="A297" t="s">
        <v>744</v>
      </c>
      <c r="B297" t="s">
        <v>740</v>
      </c>
      <c r="C297">
        <v>0</v>
      </c>
      <c r="D297" t="s">
        <v>745</v>
      </c>
    </row>
    <row r="298" spans="1:4" x14ac:dyDescent="0.25">
      <c r="A298" t="s">
        <v>746</v>
      </c>
      <c r="B298" t="s">
        <v>740</v>
      </c>
      <c r="C298">
        <v>0</v>
      </c>
      <c r="D298" t="s">
        <v>747</v>
      </c>
    </row>
    <row r="299" spans="1:4" x14ac:dyDescent="0.25">
      <c r="A299" t="s">
        <v>748</v>
      </c>
      <c r="B299" t="s">
        <v>740</v>
      </c>
      <c r="C299">
        <v>0</v>
      </c>
      <c r="D299" t="s">
        <v>749</v>
      </c>
    </row>
    <row r="300" spans="1:4" x14ac:dyDescent="0.25">
      <c r="A300" t="s">
        <v>750</v>
      </c>
      <c r="B300" t="s">
        <v>740</v>
      </c>
      <c r="C300">
        <v>0</v>
      </c>
      <c r="D300" t="s">
        <v>751</v>
      </c>
    </row>
    <row r="301" spans="1:4" x14ac:dyDescent="0.25">
      <c r="A301" t="s">
        <v>752</v>
      </c>
    </row>
    <row r="302" spans="1:4" x14ac:dyDescent="0.25">
      <c r="A302" t="s">
        <v>752</v>
      </c>
    </row>
    <row r="303" spans="1:4" x14ac:dyDescent="0.25">
      <c r="A303" t="s">
        <v>752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Revisions</vt:lpstr>
      <vt:lpstr>Prosperity Reference</vt:lpstr>
      <vt:lpstr>Inputs</vt:lpstr>
      <vt:lpstr>Inputs-Imperial</vt:lpstr>
      <vt:lpstr>Loads</vt:lpstr>
      <vt:lpstr>Sizing</vt:lpstr>
      <vt:lpstr>Laminate Zones</vt:lpstr>
      <vt:lpstr>Weight </vt:lpstr>
      <vt:lpstr>Stiffness</vt:lpstr>
      <vt:lpstr>CANARD AERO</vt:lpstr>
      <vt:lpstr>Trapezoidal Wing Summary</vt:lpstr>
      <vt:lpstr>CANARD STRUCT</vt:lpstr>
      <vt:lpstr>REF - ASWING AERO-Imperial</vt:lpstr>
      <vt:lpstr>REF - ASWING STRUCT-Imperial</vt:lpstr>
      <vt:lpstr>REF - Materials</vt:lpstr>
      <vt:lpstr>REF - Shear Buckling</vt:lpstr>
      <vt:lpstr>REF - ASWING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USER</cp:lastModifiedBy>
  <dcterms:created xsi:type="dcterms:W3CDTF">2021-03-09T20:05:22Z</dcterms:created>
  <dcterms:modified xsi:type="dcterms:W3CDTF">2023-05-02T17:49:25Z</dcterms:modified>
</cp:coreProperties>
</file>